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5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6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7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794537-EADB-4C4A-A69D-23A9AB4A74D1}" xr6:coauthVersionLast="47" xr6:coauthVersionMax="47" xr10:uidLastSave="{00000000-0000-0000-0000-000000000000}"/>
  <bookViews>
    <workbookView xWindow="-120" yWindow="-120" windowWidth="38640" windowHeight="15720" tabRatio="816"/>
  </bookViews>
  <sheets>
    <sheet name="Table of Contents" sheetId="1" r:id="rId1"/>
    <sheet name="Scope" sheetId="2" r:id="rId2"/>
    <sheet name="Assumptions" sheetId="3" r:id="rId3"/>
    <sheet name="Summary" sheetId="5" r:id="rId4"/>
    <sheet name="Mob_Estimate" sheetId="8" r:id="rId5"/>
    <sheet name="Mob_Schedule" sheetId="9" state="hidden" r:id="rId6"/>
    <sheet name="Mob_Staffing" sheetId="10" state="hidden" r:id="rId7"/>
    <sheet name="Training" sheetId="11" state="hidden" r:id="rId8"/>
    <sheet name="ScopeSplit" sheetId="12" state="hidden" r:id="rId9"/>
    <sheet name="Mob_Backup" sheetId="15" state="hidden" r:id="rId10"/>
    <sheet name="O&amp;M_Estimate" sheetId="16" r:id="rId11"/>
    <sheet name="Plant_Staff" sheetId="42" state="hidden" r:id="rId12"/>
    <sheet name="Labor_ Lookup" sheetId="41" state="hidden" r:id="rId13"/>
    <sheet name="O&amp;M Backup_Detail" sheetId="25" state="hidden" r:id="rId14"/>
    <sheet name="Plant Configuration" sheetId="43" state="hidden" r:id="rId15"/>
    <sheet name="Initial_Spares(7EA) " sheetId="26" state="hidden" r:id="rId16"/>
    <sheet name="Initial_Spares(7FA)" sheetId="64" state="hidden" r:id="rId17"/>
    <sheet name="Initial_Spares(W501D5)" sheetId="63" state="hidden" r:id="rId18"/>
    <sheet name="GT sched cost (LM6000)" sheetId="58" state="hidden" r:id="rId19"/>
    <sheet name="GT schd cost(7EA)" sheetId="47" state="hidden" r:id="rId20"/>
    <sheet name="Initial_Spares(W501D5A)" sheetId="68" state="hidden" r:id="rId21"/>
    <sheet name="GT schd cost(W501D5)" sheetId="55" state="hidden" r:id="rId22"/>
    <sheet name="rotation(W501D5)" sheetId="56" state="hidden" r:id="rId23"/>
    <sheet name="GTDB(W501D5)" sheetId="57" state="hidden" r:id="rId24"/>
    <sheet name="GT schd cost(W501D5A)" sheetId="65" state="hidden" r:id="rId25"/>
    <sheet name="rotation(W501D5A)" sheetId="66" state="hidden" r:id="rId26"/>
    <sheet name="GTDB(W501D5A)" sheetId="67" state="hidden" r:id="rId27"/>
    <sheet name="rotation(7EA)" sheetId="48" state="hidden" r:id="rId28"/>
    <sheet name="GTDB(7EA)" sheetId="49" state="hidden" r:id="rId29"/>
    <sheet name="Initial_Spares(6B)" sheetId="62" state="hidden" r:id="rId30"/>
    <sheet name="GT schd cost(6B)" sheetId="59" state="hidden" r:id="rId31"/>
    <sheet name="rotation(6B)" sheetId="60" state="hidden" r:id="rId32"/>
    <sheet name="GTDB(6B)" sheetId="61" state="hidden" r:id="rId33"/>
    <sheet name="GT schd cost(7FA)" sheetId="52" r:id="rId34"/>
    <sheet name="rotation(7FA)" sheetId="53" state="hidden" r:id="rId35"/>
    <sheet name="GTDB(7FA)" sheetId="54" state="hidden" r:id="rId36"/>
  </sheets>
  <definedNames>
    <definedName name="_xlnm._FilterDatabase" localSheetId="9" hidden="1">Mob_Backup!$A$16:$D$278</definedName>
    <definedName name="_xlnm._FilterDatabase" localSheetId="13" hidden="1">'O&amp;M Backup_Detail'!#REF!</definedName>
    <definedName name="ACwvu.jjj." localSheetId="3" hidden="1">Summary!#REF!</definedName>
    <definedName name="CompleteFilterPrint" localSheetId="13">'O&amp;M Backup_Detail'!$A$7:$L$273</definedName>
    <definedName name="guam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localSheetId="2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localSheetId="2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Labor_Salary">'Labor_ Lookup'!$B$4:$AA$44</definedName>
    <definedName name="modifiedavailmod" localSheetId="2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modifiedavailmod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modifiedavailmod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modifiedavailmod" localSheetId="2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modifiedavailmod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localSheetId="2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localSheetId="2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localSheetId="3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localSheetId="2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localSheetId="3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localSheetId="2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localSheetId="25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new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localSheetId="2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localSheetId="2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lant_Configuration">'Plant Configuration'!$B$5:$Q$337</definedName>
    <definedName name="Power_Plant_Name" localSheetId="15">"Ilijan, Phillipines (1200 MW)"</definedName>
    <definedName name="Power_Plant_Name" localSheetId="16">"Ilijan, Phillipines (1200 MW)"</definedName>
    <definedName name="Power_Plant_Name" localSheetId="17">"Ilijan, Phillipines (1200 MW)"</definedName>
    <definedName name="Power_Plant_Name" localSheetId="20">"Ilijan, Phillipines (1200 MW)"</definedName>
    <definedName name="_xlnm.Print_Area" localSheetId="32">'GTDB(6B)'!$A$1:$G$44</definedName>
    <definedName name="_xlnm.Print_Area" localSheetId="28">'GTDB(7EA)'!$A$1:$F$49</definedName>
    <definedName name="_xlnm.Print_Area" localSheetId="35">'GTDB(7FA)'!$A$1:$F$49</definedName>
    <definedName name="_xlnm.Print_Area" localSheetId="23">'GTDB(W501D5)'!$A$1:$F$50</definedName>
    <definedName name="_xlnm.Print_Area" localSheetId="26">'GTDB(W501D5A)'!$A$1:$F$50</definedName>
    <definedName name="_xlnm.Print_Area" localSheetId="29">'Initial_Spares(6B)'!$A$1:$C$49</definedName>
    <definedName name="_xlnm.Print_Area" localSheetId="15">'Initial_Spares(7EA) '!$A$1:$H$50</definedName>
    <definedName name="_xlnm.Print_Area" localSheetId="16">'Initial_Spares(7FA)'!$A$1:$H$50</definedName>
    <definedName name="_xlnm.Print_Area" localSheetId="17">'Initial_Spares(W501D5)'!$A$1:$H$49</definedName>
    <definedName name="_xlnm.Print_Area" localSheetId="20">'Initial_Spares(W501D5A)'!$A$1:$H$49</definedName>
    <definedName name="_xlnm.Print_Area" localSheetId="12">'Labor_ Lookup'!$B$1:$S$113</definedName>
    <definedName name="_xlnm.Print_Area" localSheetId="9">Mob_Backup!$E$3:$K$311</definedName>
    <definedName name="_xlnm.Print_Area" localSheetId="4">Mob_Estimate!$A$1:$D$48</definedName>
    <definedName name="_xlnm.Print_Area" localSheetId="5">Mob_Schedule!$A$1:$X$55</definedName>
    <definedName name="_xlnm.Print_Area" localSheetId="13">'O&amp;M Backup_Detail'!$A$7:$L$297</definedName>
    <definedName name="_xlnm.Print_Area" localSheetId="10">'O&amp;M_Estimate'!$A$1:$H$58</definedName>
    <definedName name="_xlnm.Print_Area" localSheetId="14">'Plant Configuration'!$B$1:$E$329</definedName>
    <definedName name="_xlnm.Print_Area" localSheetId="11">Plant_Staff!$A$1:$M$177</definedName>
    <definedName name="_xlnm.Print_Area" localSheetId="31">'rotation(6B)'!$A$3:$AA$58</definedName>
    <definedName name="_xlnm.Print_Area" localSheetId="27">'rotation(7EA)'!$A$3:$AA$70</definedName>
    <definedName name="_xlnm.Print_Area" localSheetId="34">'rotation(7FA)'!$A$3:$AA$70</definedName>
    <definedName name="_xlnm.Print_Area" localSheetId="22">'rotation(W501D5)'!$A$3:$AA$92</definedName>
    <definedName name="_xlnm.Print_Area" localSheetId="25">'rotation(W501D5A)'!$A$3:$AA$92</definedName>
    <definedName name="_xlnm.Print_Area" localSheetId="1">Scope!$A$1:$G$76</definedName>
    <definedName name="_xlnm.Print_Area" localSheetId="8">ScopeSplit!$A$1:$F$122</definedName>
    <definedName name="_xlnm.Print_Area" localSheetId="3">Summary!$A$1:$K$56</definedName>
    <definedName name="_xlnm.Print_Titles" localSheetId="11">Plant_Staff!$1:$2</definedName>
    <definedName name="Project_Name">"Project_Name"</definedName>
    <definedName name="SALARY" localSheetId="18">#REF!</definedName>
    <definedName name="Swvu.jjj." localSheetId="3" hidden="1">Summary!#REF!</definedName>
    <definedName name="UpLt_CommOps" localSheetId="10">'O&amp;M_Estimate'!#REF!</definedName>
    <definedName name="wrn.Ilijan._.Print.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5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3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3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5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3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3" hidden="1">Summary!$A$1:$I$56</definedName>
    <definedName name="Z_27B46881_0F5B_11D2_8727_00600802E52E_.wvu.PrintArea" localSheetId="3" hidden="1">Summary!$A$1:$I$50</definedName>
    <definedName name="Z_42889D47_02B9_43E3_9871_035CE2C6ABFC_.wvu.Rows" localSheetId="18" hidden="1">'GT sched cost (LM6000)'!$35:$68</definedName>
    <definedName name="Z_44B1FD93_6C50_11D3_9B06_006097CA9A6E_.wvu.PrintArea" localSheetId="3" hidden="1">Summary!$A$1:$I$56</definedName>
    <definedName name="Z_4E04AEA2_F061_11D3_B354_005004B48B2E_.wvu.Rows" localSheetId="18" hidden="1">'GT sched cost (LM6000)'!$35:$68</definedName>
    <definedName name="Z_7B3B2BED_CD8B_11D3_96CC_0050048E3156_.wvu.Rows" localSheetId="18" hidden="1">'GT sched cost (LM6000)'!$35:$68</definedName>
    <definedName name="Z_7B8B4280_75B9_11D3_B354_0050048AD64B_.wvu.PrintArea" localSheetId="3" hidden="1">Summary!$A$1:$I$56</definedName>
    <definedName name="Z_7C8030C1_816E_11D3_9B1F_000064657374_.wvu.PrintArea" localSheetId="3" hidden="1">Summary!$A$1:$I$56</definedName>
    <definedName name="Z_887EA5F3_7E5C_11D3_9B1C_006097CA9A6E_.wvu.PrintArea" localSheetId="3" hidden="1">Summary!$A$1:$I$56</definedName>
    <definedName name="Z_97C9EDC3_809C_11D3_9B1E_006097CA9A6E_.wvu.PrintArea" localSheetId="3" hidden="1">Summary!$A$1:$I$56</definedName>
    <definedName name="Z_ADAAEFB1_7735_11D3_9B11_006097CA9A6E_.wvu.PrintArea" localSheetId="3" hidden="1">Summary!$A$1:$I$56</definedName>
    <definedName name="Z_B14BA500_7FDD_11D3_9B1D_000064657374_.wvu.PrintArea" localSheetId="3" hidden="1">Summary!$A$1:$I$56</definedName>
    <definedName name="Z_DBA7BBC1_C371_11D3_BF15_005004F2CA52_.wvu.PrintArea" localSheetId="3" hidden="1">Summary!$A$1:$I$56</definedName>
    <definedName name="Z_DD4FE528_7357_11D3_9B0D_006097CA9A6E_.wvu.PrintArea" localSheetId="3" hidden="1">Summary!$A$1:$I$56</definedName>
    <definedName name="Z_F8408542_C03D_11D2_9A75_00600802E52E_.wvu.PrintArea" localSheetId="3" hidden="1">Summary!$A$1:$I$50</definedName>
  </definedNames>
  <calcPr calcId="0" fullCalcOnLoad="1" iterate="1"/>
  <customWorkbookViews>
    <customWorkbookView name="jjj (Summary)" guid="{DBA7BBC1-C371-11D3-BF15-005004F2CA52}" maximized="1" xWindow="2" yWindow="2" windowWidth="636" windowHeight="340" tabRatio="890" activeSheetId="5"/>
  </customWorkbookViews>
</workbook>
</file>

<file path=xl/calcChain.xml><?xml version="1.0" encoding="utf-8"?>
<calcChain xmlns="http://schemas.openxmlformats.org/spreadsheetml/2006/main">
  <c r="A1" i="3" l="1"/>
  <c r="C13" i="3"/>
  <c r="B14" i="3"/>
  <c r="C14" i="3"/>
  <c r="C17" i="3"/>
  <c r="C18" i="3"/>
  <c r="B58" i="3"/>
  <c r="B59" i="3"/>
  <c r="B60" i="3"/>
  <c r="B61" i="3"/>
  <c r="B62" i="3"/>
  <c r="B63" i="3"/>
  <c r="B64" i="3"/>
  <c r="B65" i="3"/>
  <c r="A2" i="59"/>
  <c r="A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A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A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A8" i="59"/>
  <c r="D8" i="59"/>
  <c r="E8" i="59"/>
  <c r="F8" i="59"/>
  <c r="G8" i="59"/>
  <c r="H8" i="59"/>
  <c r="I8" i="59"/>
  <c r="J8" i="59"/>
  <c r="K8" i="59"/>
  <c r="L8" i="59"/>
  <c r="M8" i="59"/>
  <c r="N8" i="59"/>
  <c r="O8" i="59"/>
  <c r="P8" i="59"/>
  <c r="Q8" i="59"/>
  <c r="R8" i="59"/>
  <c r="S8" i="59"/>
  <c r="T8" i="59"/>
  <c r="U8" i="59"/>
  <c r="V8" i="59"/>
  <c r="W8" i="59"/>
  <c r="A9" i="59"/>
  <c r="D9" i="59"/>
  <c r="E9" i="59"/>
  <c r="F9" i="59"/>
  <c r="G9" i="59"/>
  <c r="H9" i="59"/>
  <c r="I9" i="59"/>
  <c r="J9" i="59"/>
  <c r="K9" i="59"/>
  <c r="L9" i="59"/>
  <c r="M9" i="59"/>
  <c r="N9" i="59"/>
  <c r="O9" i="59"/>
  <c r="P9" i="59"/>
  <c r="Q9" i="59"/>
  <c r="R9" i="59"/>
  <c r="S9" i="59"/>
  <c r="T9" i="59"/>
  <c r="U9" i="59"/>
  <c r="V9" i="59"/>
  <c r="W9" i="59"/>
  <c r="D11" i="59"/>
  <c r="E11" i="59"/>
  <c r="F11" i="59"/>
  <c r="G11" i="59"/>
  <c r="H11" i="59"/>
  <c r="I11" i="59"/>
  <c r="J11" i="59"/>
  <c r="K11" i="59"/>
  <c r="L11" i="59"/>
  <c r="M11" i="59"/>
  <c r="N11" i="59"/>
  <c r="O11" i="59"/>
  <c r="P11" i="59"/>
  <c r="Q11" i="59"/>
  <c r="R11" i="59"/>
  <c r="S11" i="59"/>
  <c r="T11" i="59"/>
  <c r="U11" i="59"/>
  <c r="V11" i="59"/>
  <c r="W11" i="59"/>
  <c r="X11" i="59"/>
  <c r="A15" i="59"/>
  <c r="B15" i="59"/>
  <c r="C15" i="59"/>
  <c r="D15" i="59"/>
  <c r="E15" i="59"/>
  <c r="F15" i="59"/>
  <c r="G15" i="59"/>
  <c r="H15" i="59"/>
  <c r="I15" i="59"/>
  <c r="J15" i="59"/>
  <c r="K15" i="59"/>
  <c r="L15" i="59"/>
  <c r="M15" i="59"/>
  <c r="N15" i="59"/>
  <c r="O15" i="59"/>
  <c r="P15" i="59"/>
  <c r="Q15" i="59"/>
  <c r="R15" i="59"/>
  <c r="S15" i="59"/>
  <c r="T15" i="59"/>
  <c r="U15" i="59"/>
  <c r="V15" i="59"/>
  <c r="W15" i="59"/>
  <c r="X15" i="59"/>
  <c r="A16" i="59"/>
  <c r="B16" i="59"/>
  <c r="C16" i="59"/>
  <c r="D16" i="59"/>
  <c r="E16" i="59"/>
  <c r="F16" i="59"/>
  <c r="G16" i="59"/>
  <c r="H16" i="59"/>
  <c r="I16" i="59"/>
  <c r="J16" i="59"/>
  <c r="K16" i="59"/>
  <c r="L16" i="59"/>
  <c r="M16" i="59"/>
  <c r="N16" i="59"/>
  <c r="O16" i="59"/>
  <c r="P16" i="59"/>
  <c r="Q16" i="59"/>
  <c r="R16" i="59"/>
  <c r="S16" i="59"/>
  <c r="T16" i="59"/>
  <c r="U16" i="59"/>
  <c r="V16" i="59"/>
  <c r="W16" i="59"/>
  <c r="X16" i="59"/>
  <c r="A17" i="59"/>
  <c r="B17" i="59"/>
  <c r="C17" i="59"/>
  <c r="D17" i="59"/>
  <c r="E17" i="59"/>
  <c r="F17" i="59"/>
  <c r="G17" i="59"/>
  <c r="H17" i="59"/>
  <c r="I17" i="59"/>
  <c r="J17" i="59"/>
  <c r="K17" i="59"/>
  <c r="L17" i="59"/>
  <c r="M17" i="59"/>
  <c r="N17" i="59"/>
  <c r="O17" i="59"/>
  <c r="P17" i="59"/>
  <c r="Q17" i="59"/>
  <c r="R17" i="59"/>
  <c r="S17" i="59"/>
  <c r="T17" i="59"/>
  <c r="U17" i="59"/>
  <c r="V17" i="59"/>
  <c r="W17" i="59"/>
  <c r="X17" i="59"/>
  <c r="A18" i="59"/>
  <c r="B18" i="59"/>
  <c r="C18" i="59"/>
  <c r="D18" i="59"/>
  <c r="E18" i="59"/>
  <c r="F18" i="59"/>
  <c r="G18" i="59"/>
  <c r="H18" i="59"/>
  <c r="I18" i="59"/>
  <c r="J18" i="59"/>
  <c r="K18" i="59"/>
  <c r="L18" i="59"/>
  <c r="M18" i="59"/>
  <c r="N18" i="59"/>
  <c r="O18" i="59"/>
  <c r="P18" i="59"/>
  <c r="Q18" i="59"/>
  <c r="R18" i="59"/>
  <c r="S18" i="59"/>
  <c r="T18" i="59"/>
  <c r="U18" i="59"/>
  <c r="V18" i="59"/>
  <c r="W18" i="59"/>
  <c r="X18" i="59"/>
  <c r="A19" i="59"/>
  <c r="B19" i="59"/>
  <c r="C19" i="59"/>
  <c r="D19" i="59"/>
  <c r="E19" i="59"/>
  <c r="F19" i="59"/>
  <c r="G19" i="59"/>
  <c r="H19" i="59"/>
  <c r="I19" i="59"/>
  <c r="J19" i="59"/>
  <c r="K19" i="59"/>
  <c r="L19" i="59"/>
  <c r="M19" i="59"/>
  <c r="N19" i="59"/>
  <c r="O19" i="59"/>
  <c r="P19" i="59"/>
  <c r="Q19" i="59"/>
  <c r="R19" i="59"/>
  <c r="S19" i="59"/>
  <c r="T19" i="59"/>
  <c r="U19" i="59"/>
  <c r="V19" i="59"/>
  <c r="W19" i="59"/>
  <c r="X19" i="59"/>
  <c r="A20" i="59"/>
  <c r="B20" i="59"/>
  <c r="C20" i="59"/>
  <c r="D20" i="59"/>
  <c r="E20" i="59"/>
  <c r="F20" i="59"/>
  <c r="G20" i="59"/>
  <c r="H20" i="59"/>
  <c r="I20" i="59"/>
  <c r="J20" i="59"/>
  <c r="K20" i="59"/>
  <c r="L20" i="59"/>
  <c r="M20" i="59"/>
  <c r="N20" i="59"/>
  <c r="O20" i="59"/>
  <c r="P20" i="59"/>
  <c r="Q20" i="59"/>
  <c r="R20" i="59"/>
  <c r="S20" i="59"/>
  <c r="T20" i="59"/>
  <c r="U20" i="59"/>
  <c r="V20" i="59"/>
  <c r="W20" i="59"/>
  <c r="X20" i="59"/>
  <c r="A21" i="59"/>
  <c r="B21" i="59"/>
  <c r="C21" i="59"/>
  <c r="D21" i="59"/>
  <c r="E21" i="59"/>
  <c r="F21" i="59"/>
  <c r="G21" i="59"/>
  <c r="H21" i="59"/>
  <c r="I21" i="59"/>
  <c r="J21" i="59"/>
  <c r="K21" i="59"/>
  <c r="L21" i="59"/>
  <c r="M21" i="59"/>
  <c r="N21" i="59"/>
  <c r="O21" i="59"/>
  <c r="P21" i="59"/>
  <c r="Q21" i="59"/>
  <c r="R21" i="59"/>
  <c r="S21" i="59"/>
  <c r="T21" i="59"/>
  <c r="U21" i="59"/>
  <c r="V21" i="59"/>
  <c r="W21" i="59"/>
  <c r="X21" i="59"/>
  <c r="A22" i="59"/>
  <c r="B22" i="59"/>
  <c r="C22" i="59"/>
  <c r="D22" i="59"/>
  <c r="E22" i="59"/>
  <c r="F22" i="59"/>
  <c r="G22" i="59"/>
  <c r="H22" i="59"/>
  <c r="I22" i="59"/>
  <c r="J22" i="59"/>
  <c r="K22" i="59"/>
  <c r="L22" i="59"/>
  <c r="M22" i="59"/>
  <c r="N22" i="59"/>
  <c r="O22" i="59"/>
  <c r="P22" i="59"/>
  <c r="Q22" i="59"/>
  <c r="R22" i="59"/>
  <c r="S22" i="59"/>
  <c r="T22" i="59"/>
  <c r="U22" i="59"/>
  <c r="V22" i="59"/>
  <c r="W22" i="59"/>
  <c r="X22" i="59"/>
  <c r="A23" i="59"/>
  <c r="B23" i="59"/>
  <c r="C23" i="59"/>
  <c r="D23" i="59"/>
  <c r="E23" i="59"/>
  <c r="F23" i="59"/>
  <c r="G23" i="59"/>
  <c r="H23" i="59"/>
  <c r="I23" i="59"/>
  <c r="J23" i="59"/>
  <c r="K23" i="59"/>
  <c r="L23" i="59"/>
  <c r="M23" i="59"/>
  <c r="N23" i="59"/>
  <c r="O23" i="59"/>
  <c r="P23" i="59"/>
  <c r="Q23" i="59"/>
  <c r="R23" i="59"/>
  <c r="S23" i="59"/>
  <c r="T23" i="59"/>
  <c r="U23" i="59"/>
  <c r="V23" i="59"/>
  <c r="W23" i="59"/>
  <c r="X23" i="59"/>
  <c r="A24" i="59"/>
  <c r="B24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A25" i="59"/>
  <c r="B25" i="59"/>
  <c r="C25" i="59"/>
  <c r="D25" i="59"/>
  <c r="E25" i="59"/>
  <c r="F25" i="59"/>
  <c r="G25" i="59"/>
  <c r="H25" i="59"/>
  <c r="I25" i="59"/>
  <c r="J25" i="59"/>
  <c r="K25" i="59"/>
  <c r="L25" i="59"/>
  <c r="M25" i="59"/>
  <c r="N25" i="59"/>
  <c r="O25" i="59"/>
  <c r="P25" i="59"/>
  <c r="Q25" i="59"/>
  <c r="R25" i="59"/>
  <c r="S25" i="59"/>
  <c r="T25" i="59"/>
  <c r="U25" i="59"/>
  <c r="V25" i="59"/>
  <c r="W25" i="59"/>
  <c r="X25" i="59"/>
  <c r="A26" i="59"/>
  <c r="B26" i="59"/>
  <c r="C26" i="59"/>
  <c r="D26" i="59"/>
  <c r="E26" i="59"/>
  <c r="F26" i="59"/>
  <c r="G26" i="59"/>
  <c r="H26" i="59"/>
  <c r="I26" i="59"/>
  <c r="J26" i="59"/>
  <c r="K26" i="59"/>
  <c r="L26" i="59"/>
  <c r="M26" i="59"/>
  <c r="N26" i="59"/>
  <c r="O26" i="59"/>
  <c r="P26" i="59"/>
  <c r="Q26" i="59"/>
  <c r="R26" i="59"/>
  <c r="S26" i="59"/>
  <c r="T26" i="59"/>
  <c r="U26" i="59"/>
  <c r="V26" i="59"/>
  <c r="W26" i="59"/>
  <c r="X26" i="59"/>
  <c r="A27" i="59"/>
  <c r="B27" i="59"/>
  <c r="C27" i="59"/>
  <c r="D27" i="59"/>
  <c r="E27" i="59"/>
  <c r="F27" i="59"/>
  <c r="G27" i="59"/>
  <c r="H27" i="59"/>
  <c r="I27" i="59"/>
  <c r="J27" i="59"/>
  <c r="K27" i="59"/>
  <c r="L27" i="59"/>
  <c r="M27" i="59"/>
  <c r="N27" i="59"/>
  <c r="O27" i="59"/>
  <c r="P27" i="59"/>
  <c r="Q27" i="59"/>
  <c r="R27" i="59"/>
  <c r="S27" i="59"/>
  <c r="T27" i="59"/>
  <c r="U27" i="59"/>
  <c r="V27" i="59"/>
  <c r="W27" i="59"/>
  <c r="X27" i="59"/>
  <c r="B28" i="59"/>
  <c r="D28" i="59"/>
  <c r="E28" i="59"/>
  <c r="F28" i="59"/>
  <c r="G28" i="59"/>
  <c r="H28" i="59"/>
  <c r="I28" i="59"/>
  <c r="J28" i="59"/>
  <c r="K28" i="59"/>
  <c r="L28" i="59"/>
  <c r="M28" i="59"/>
  <c r="N28" i="59"/>
  <c r="O28" i="59"/>
  <c r="P28" i="59"/>
  <c r="Q28" i="59"/>
  <c r="R28" i="59"/>
  <c r="S28" i="59"/>
  <c r="T28" i="59"/>
  <c r="U28" i="59"/>
  <c r="V28" i="59"/>
  <c r="W28" i="59"/>
  <c r="X28" i="59"/>
  <c r="B29" i="59"/>
  <c r="D29" i="59"/>
  <c r="E29" i="59"/>
  <c r="F29" i="59"/>
  <c r="G29" i="59"/>
  <c r="H29" i="59"/>
  <c r="I29" i="59"/>
  <c r="J29" i="59"/>
  <c r="K29" i="59"/>
  <c r="L29" i="59"/>
  <c r="M29" i="59"/>
  <c r="N29" i="59"/>
  <c r="O29" i="59"/>
  <c r="P29" i="59"/>
  <c r="Q29" i="59"/>
  <c r="R29" i="59"/>
  <c r="S29" i="59"/>
  <c r="T29" i="59"/>
  <c r="U29" i="59"/>
  <c r="V29" i="59"/>
  <c r="W29" i="59"/>
  <c r="X29" i="59"/>
  <c r="B30" i="59"/>
  <c r="D30" i="59"/>
  <c r="E30" i="59"/>
  <c r="F30" i="59"/>
  <c r="G30" i="59"/>
  <c r="H30" i="59"/>
  <c r="I30" i="59"/>
  <c r="J30" i="59"/>
  <c r="K30" i="59"/>
  <c r="L30" i="59"/>
  <c r="M30" i="59"/>
  <c r="N30" i="59"/>
  <c r="O30" i="59"/>
  <c r="P30" i="59"/>
  <c r="Q30" i="59"/>
  <c r="R30" i="59"/>
  <c r="S30" i="59"/>
  <c r="T30" i="59"/>
  <c r="U30" i="59"/>
  <c r="V30" i="59"/>
  <c r="W30" i="59"/>
  <c r="X30" i="59"/>
  <c r="C31" i="59"/>
  <c r="D31" i="59"/>
  <c r="E31" i="59"/>
  <c r="F31" i="59"/>
  <c r="G31" i="59"/>
  <c r="H31" i="59"/>
  <c r="I31" i="59"/>
  <c r="J31" i="59"/>
  <c r="K31" i="59"/>
  <c r="L31" i="59"/>
  <c r="M31" i="59"/>
  <c r="N31" i="59"/>
  <c r="O31" i="59"/>
  <c r="P31" i="59"/>
  <c r="Q31" i="59"/>
  <c r="R31" i="59"/>
  <c r="S31" i="59"/>
  <c r="T31" i="59"/>
  <c r="U31" i="59"/>
  <c r="V31" i="59"/>
  <c r="W31" i="59"/>
  <c r="X31" i="59"/>
  <c r="C32" i="59"/>
  <c r="D32" i="59"/>
  <c r="E32" i="59"/>
  <c r="F32" i="59"/>
  <c r="G32" i="59"/>
  <c r="H32" i="59"/>
  <c r="I32" i="59"/>
  <c r="J32" i="59"/>
  <c r="K32" i="59"/>
  <c r="L32" i="59"/>
  <c r="M32" i="59"/>
  <c r="N32" i="59"/>
  <c r="O32" i="59"/>
  <c r="P32" i="59"/>
  <c r="Q32" i="59"/>
  <c r="R32" i="59"/>
  <c r="S32" i="59"/>
  <c r="T32" i="59"/>
  <c r="U32" i="59"/>
  <c r="V32" i="59"/>
  <c r="W32" i="59"/>
  <c r="X32" i="59"/>
  <c r="C33" i="59"/>
  <c r="D33" i="59"/>
  <c r="E33" i="59"/>
  <c r="F33" i="59"/>
  <c r="G33" i="59"/>
  <c r="H33" i="59"/>
  <c r="I33" i="59"/>
  <c r="J33" i="59"/>
  <c r="K33" i="59"/>
  <c r="L33" i="59"/>
  <c r="M33" i="59"/>
  <c r="N33" i="59"/>
  <c r="O33" i="59"/>
  <c r="P33" i="59"/>
  <c r="Q33" i="59"/>
  <c r="R33" i="59"/>
  <c r="S33" i="59"/>
  <c r="T33" i="59"/>
  <c r="U33" i="59"/>
  <c r="V33" i="59"/>
  <c r="W33" i="59"/>
  <c r="X33" i="59"/>
  <c r="A38" i="59"/>
  <c r="B38" i="59"/>
  <c r="D38" i="59"/>
  <c r="E38" i="59"/>
  <c r="F38" i="59"/>
  <c r="G38" i="59"/>
  <c r="H38" i="59"/>
  <c r="I38" i="59"/>
  <c r="J38" i="59"/>
  <c r="K38" i="59"/>
  <c r="L38" i="59"/>
  <c r="M38" i="59"/>
  <c r="N38" i="59"/>
  <c r="O38" i="59"/>
  <c r="P38" i="59"/>
  <c r="Q38" i="59"/>
  <c r="R38" i="59"/>
  <c r="S38" i="59"/>
  <c r="T38" i="59"/>
  <c r="U38" i="59"/>
  <c r="V38" i="59"/>
  <c r="W38" i="59"/>
  <c r="X38" i="59"/>
  <c r="A39" i="59"/>
  <c r="B39" i="59"/>
  <c r="D39" i="59"/>
  <c r="E39" i="59"/>
  <c r="F39" i="59"/>
  <c r="G39" i="59"/>
  <c r="H39" i="59"/>
  <c r="I39" i="59"/>
  <c r="J39" i="59"/>
  <c r="K39" i="59"/>
  <c r="L39" i="59"/>
  <c r="M39" i="59"/>
  <c r="N39" i="59"/>
  <c r="O39" i="59"/>
  <c r="P39" i="59"/>
  <c r="Q39" i="59"/>
  <c r="R39" i="59"/>
  <c r="S39" i="59"/>
  <c r="T39" i="59"/>
  <c r="U39" i="59"/>
  <c r="V39" i="59"/>
  <c r="W39" i="59"/>
  <c r="X39" i="59"/>
  <c r="A40" i="59"/>
  <c r="B40" i="59"/>
  <c r="D40" i="59"/>
  <c r="E40" i="59"/>
  <c r="F40" i="59"/>
  <c r="G40" i="59"/>
  <c r="H40" i="59"/>
  <c r="I40" i="59"/>
  <c r="J40" i="59"/>
  <c r="K40" i="59"/>
  <c r="L40" i="59"/>
  <c r="M40" i="59"/>
  <c r="N40" i="59"/>
  <c r="O40" i="59"/>
  <c r="P40" i="59"/>
  <c r="Q40" i="59"/>
  <c r="R40" i="59"/>
  <c r="S40" i="59"/>
  <c r="T40" i="59"/>
  <c r="U40" i="59"/>
  <c r="V40" i="59"/>
  <c r="W40" i="59"/>
  <c r="X40" i="59"/>
  <c r="A41" i="59"/>
  <c r="B41" i="59"/>
  <c r="D41" i="59"/>
  <c r="E41" i="59"/>
  <c r="F41" i="59"/>
  <c r="G41" i="59"/>
  <c r="H41" i="59"/>
  <c r="I41" i="59"/>
  <c r="J41" i="59"/>
  <c r="K41" i="59"/>
  <c r="L41" i="59"/>
  <c r="M41" i="59"/>
  <c r="N41" i="59"/>
  <c r="O41" i="59"/>
  <c r="P41" i="59"/>
  <c r="Q41" i="59"/>
  <c r="R41" i="59"/>
  <c r="S41" i="59"/>
  <c r="T41" i="59"/>
  <c r="U41" i="59"/>
  <c r="V41" i="59"/>
  <c r="W41" i="59"/>
  <c r="X41" i="59"/>
  <c r="A42" i="59"/>
  <c r="B42" i="59"/>
  <c r="D42" i="59"/>
  <c r="E42" i="59"/>
  <c r="F42" i="59"/>
  <c r="G42" i="59"/>
  <c r="H42" i="59"/>
  <c r="I42" i="59"/>
  <c r="J42" i="59"/>
  <c r="K42" i="59"/>
  <c r="L42" i="59"/>
  <c r="M42" i="59"/>
  <c r="N42" i="59"/>
  <c r="O42" i="59"/>
  <c r="P42" i="59"/>
  <c r="Q42" i="59"/>
  <c r="R42" i="59"/>
  <c r="S42" i="59"/>
  <c r="T42" i="59"/>
  <c r="U42" i="59"/>
  <c r="V42" i="59"/>
  <c r="W42" i="59"/>
  <c r="X42" i="59"/>
  <c r="A43" i="59"/>
  <c r="B43" i="59"/>
  <c r="D43" i="59"/>
  <c r="E43" i="59"/>
  <c r="F43" i="59"/>
  <c r="G43" i="59"/>
  <c r="H43" i="59"/>
  <c r="I43" i="59"/>
  <c r="J43" i="59"/>
  <c r="K43" i="59"/>
  <c r="L43" i="59"/>
  <c r="M43" i="59"/>
  <c r="N43" i="59"/>
  <c r="O43" i="59"/>
  <c r="P43" i="59"/>
  <c r="Q43" i="59"/>
  <c r="R43" i="59"/>
  <c r="S43" i="59"/>
  <c r="T43" i="59"/>
  <c r="U43" i="59"/>
  <c r="V43" i="59"/>
  <c r="W43" i="59"/>
  <c r="X43" i="59"/>
  <c r="A44" i="59"/>
  <c r="B44" i="59"/>
  <c r="D44" i="59"/>
  <c r="E44" i="59"/>
  <c r="F44" i="59"/>
  <c r="G44" i="59"/>
  <c r="H44" i="59"/>
  <c r="I44" i="59"/>
  <c r="J44" i="59"/>
  <c r="K44" i="59"/>
  <c r="L44" i="59"/>
  <c r="M44" i="59"/>
  <c r="N44" i="59"/>
  <c r="O44" i="59"/>
  <c r="P44" i="59"/>
  <c r="Q44" i="59"/>
  <c r="R44" i="59"/>
  <c r="S44" i="59"/>
  <c r="T44" i="59"/>
  <c r="U44" i="59"/>
  <c r="V44" i="59"/>
  <c r="W44" i="59"/>
  <c r="X44" i="59"/>
  <c r="A45" i="59"/>
  <c r="B45" i="59"/>
  <c r="D45" i="59"/>
  <c r="E45" i="59"/>
  <c r="F45" i="59"/>
  <c r="G45" i="59"/>
  <c r="H45" i="59"/>
  <c r="I45" i="59"/>
  <c r="J45" i="59"/>
  <c r="K45" i="59"/>
  <c r="L45" i="59"/>
  <c r="M45" i="59"/>
  <c r="N45" i="59"/>
  <c r="O45" i="59"/>
  <c r="P45" i="59"/>
  <c r="Q45" i="59"/>
  <c r="R45" i="59"/>
  <c r="S45" i="59"/>
  <c r="T45" i="59"/>
  <c r="U45" i="59"/>
  <c r="V45" i="59"/>
  <c r="W45" i="59"/>
  <c r="X45" i="59"/>
  <c r="A46" i="59"/>
  <c r="B46" i="59"/>
  <c r="D46" i="59"/>
  <c r="E46" i="59"/>
  <c r="F46" i="59"/>
  <c r="G46" i="59"/>
  <c r="H46" i="59"/>
  <c r="I46" i="59"/>
  <c r="J46" i="59"/>
  <c r="K46" i="59"/>
  <c r="L46" i="59"/>
  <c r="M46" i="59"/>
  <c r="N46" i="59"/>
  <c r="O46" i="59"/>
  <c r="P46" i="59"/>
  <c r="Q46" i="59"/>
  <c r="R46" i="59"/>
  <c r="S46" i="59"/>
  <c r="T46" i="59"/>
  <c r="U46" i="59"/>
  <c r="V46" i="59"/>
  <c r="W46" i="59"/>
  <c r="X46" i="59"/>
  <c r="A47" i="59"/>
  <c r="B47" i="59"/>
  <c r="D47" i="59"/>
  <c r="E47" i="59"/>
  <c r="F47" i="59"/>
  <c r="G47" i="59"/>
  <c r="H47" i="59"/>
  <c r="I47" i="59"/>
  <c r="J47" i="59"/>
  <c r="K47" i="59"/>
  <c r="L47" i="59"/>
  <c r="M47" i="59"/>
  <c r="N47" i="59"/>
  <c r="O47" i="59"/>
  <c r="P47" i="59"/>
  <c r="Q47" i="59"/>
  <c r="R47" i="59"/>
  <c r="S47" i="59"/>
  <c r="T47" i="59"/>
  <c r="U47" i="59"/>
  <c r="V47" i="59"/>
  <c r="W47" i="59"/>
  <c r="X47" i="59"/>
  <c r="A48" i="59"/>
  <c r="B48" i="59"/>
  <c r="D48" i="59"/>
  <c r="E48" i="59"/>
  <c r="F48" i="59"/>
  <c r="G48" i="59"/>
  <c r="H48" i="59"/>
  <c r="I48" i="59"/>
  <c r="J48" i="59"/>
  <c r="K48" i="59"/>
  <c r="L48" i="59"/>
  <c r="M48" i="59"/>
  <c r="N48" i="59"/>
  <c r="O48" i="59"/>
  <c r="P48" i="59"/>
  <c r="Q48" i="59"/>
  <c r="R48" i="59"/>
  <c r="S48" i="59"/>
  <c r="T48" i="59"/>
  <c r="U48" i="59"/>
  <c r="V48" i="59"/>
  <c r="W48" i="59"/>
  <c r="X48" i="59"/>
  <c r="A49" i="59"/>
  <c r="B49" i="59"/>
  <c r="D49" i="59"/>
  <c r="E49" i="59"/>
  <c r="F49" i="59"/>
  <c r="G49" i="59"/>
  <c r="H49" i="59"/>
  <c r="I49" i="59"/>
  <c r="J49" i="59"/>
  <c r="K49" i="59"/>
  <c r="L49" i="59"/>
  <c r="M49" i="59"/>
  <c r="N49" i="59"/>
  <c r="O49" i="59"/>
  <c r="P49" i="59"/>
  <c r="Q49" i="59"/>
  <c r="R49" i="59"/>
  <c r="S49" i="59"/>
  <c r="T49" i="59"/>
  <c r="U49" i="59"/>
  <c r="V49" i="59"/>
  <c r="W49" i="59"/>
  <c r="X49" i="59"/>
  <c r="A50" i="59"/>
  <c r="B50" i="59"/>
  <c r="D50" i="59"/>
  <c r="E50" i="59"/>
  <c r="F50" i="59"/>
  <c r="G50" i="59"/>
  <c r="H50" i="59"/>
  <c r="I50" i="59"/>
  <c r="J50" i="59"/>
  <c r="K50" i="59"/>
  <c r="L50" i="59"/>
  <c r="M50" i="59"/>
  <c r="N50" i="59"/>
  <c r="O50" i="59"/>
  <c r="P50" i="59"/>
  <c r="Q50" i="59"/>
  <c r="R50" i="59"/>
  <c r="S50" i="59"/>
  <c r="T50" i="59"/>
  <c r="U50" i="59"/>
  <c r="V50" i="59"/>
  <c r="W50" i="59"/>
  <c r="X50" i="59"/>
  <c r="D52" i="59"/>
  <c r="E52" i="59"/>
  <c r="F52" i="59"/>
  <c r="G52" i="59"/>
  <c r="H52" i="59"/>
  <c r="I52" i="59"/>
  <c r="J52" i="59"/>
  <c r="K52" i="59"/>
  <c r="L52" i="59"/>
  <c r="M52" i="59"/>
  <c r="N52" i="59"/>
  <c r="O52" i="59"/>
  <c r="P52" i="59"/>
  <c r="Q52" i="59"/>
  <c r="R52" i="59"/>
  <c r="S52" i="59"/>
  <c r="T52" i="59"/>
  <c r="U52" i="59"/>
  <c r="V52" i="59"/>
  <c r="W52" i="59"/>
  <c r="X52" i="59"/>
  <c r="D53" i="59"/>
  <c r="E53" i="59"/>
  <c r="F53" i="59"/>
  <c r="G53" i="59"/>
  <c r="H53" i="59"/>
  <c r="I53" i="59"/>
  <c r="J53" i="59"/>
  <c r="K53" i="59"/>
  <c r="L53" i="59"/>
  <c r="M53" i="59"/>
  <c r="N53" i="59"/>
  <c r="O53" i="59"/>
  <c r="P53" i="59"/>
  <c r="Q53" i="59"/>
  <c r="R53" i="59"/>
  <c r="S53" i="59"/>
  <c r="T53" i="59"/>
  <c r="U53" i="59"/>
  <c r="V53" i="59"/>
  <c r="W53" i="59"/>
  <c r="X53" i="59"/>
  <c r="D55" i="59"/>
  <c r="E55" i="59"/>
  <c r="F55" i="59"/>
  <c r="G55" i="59"/>
  <c r="H55" i="59"/>
  <c r="I55" i="59"/>
  <c r="J55" i="59"/>
  <c r="K55" i="59"/>
  <c r="L55" i="59"/>
  <c r="M55" i="59"/>
  <c r="N55" i="59"/>
  <c r="O55" i="59"/>
  <c r="P55" i="59"/>
  <c r="Q55" i="59"/>
  <c r="R55" i="59"/>
  <c r="S55" i="59"/>
  <c r="T55" i="59"/>
  <c r="U55" i="59"/>
  <c r="V55" i="59"/>
  <c r="W55" i="59"/>
  <c r="X55" i="59"/>
  <c r="A2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A14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A15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A16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A17" i="47"/>
  <c r="B17" i="47"/>
  <c r="C17" i="47"/>
  <c r="D17" i="47"/>
  <c r="E17" i="47"/>
  <c r="F17" i="47"/>
  <c r="G17" i="47"/>
  <c r="H17" i="47"/>
  <c r="I17" i="47"/>
  <c r="J17" i="47"/>
  <c r="K17" i="47"/>
  <c r="L17" i="47"/>
  <c r="M17" i="47"/>
  <c r="N17" i="47"/>
  <c r="O17" i="47"/>
  <c r="P17" i="47"/>
  <c r="Q17" i="47"/>
  <c r="R17" i="47"/>
  <c r="S17" i="47"/>
  <c r="T17" i="47"/>
  <c r="U17" i="47"/>
  <c r="V17" i="47"/>
  <c r="W17" i="47"/>
  <c r="X17" i="47"/>
  <c r="A18" i="47"/>
  <c r="B18" i="47"/>
  <c r="C18" i="47"/>
  <c r="D18" i="47"/>
  <c r="E18" i="47"/>
  <c r="F18" i="47"/>
  <c r="G18" i="47"/>
  <c r="H18" i="47"/>
  <c r="I18" i="47"/>
  <c r="J18" i="47"/>
  <c r="K18" i="47"/>
  <c r="L18" i="47"/>
  <c r="M18" i="47"/>
  <c r="N18" i="47"/>
  <c r="O18" i="47"/>
  <c r="P18" i="47"/>
  <c r="Q18" i="47"/>
  <c r="R18" i="47"/>
  <c r="S18" i="47"/>
  <c r="T18" i="47"/>
  <c r="U18" i="47"/>
  <c r="V18" i="47"/>
  <c r="W18" i="47"/>
  <c r="X18" i="47"/>
  <c r="A19" i="47"/>
  <c r="B19" i="47"/>
  <c r="C19" i="47"/>
  <c r="D19" i="47"/>
  <c r="E19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A20" i="47"/>
  <c r="B20" i="47"/>
  <c r="C20" i="47"/>
  <c r="D20" i="47"/>
  <c r="E20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A21" i="47"/>
  <c r="B21" i="47"/>
  <c r="C21" i="47"/>
  <c r="D21" i="47"/>
  <c r="E21" i="47"/>
  <c r="F21" i="47"/>
  <c r="G21" i="47"/>
  <c r="H21" i="47"/>
  <c r="I21" i="47"/>
  <c r="J21" i="47"/>
  <c r="K21" i="47"/>
  <c r="L21" i="47"/>
  <c r="M21" i="47"/>
  <c r="N21" i="47"/>
  <c r="O21" i="47"/>
  <c r="P21" i="47"/>
  <c r="Q21" i="47"/>
  <c r="R21" i="47"/>
  <c r="S21" i="47"/>
  <c r="T21" i="47"/>
  <c r="U21" i="47"/>
  <c r="V21" i="47"/>
  <c r="W21" i="47"/>
  <c r="X21" i="47"/>
  <c r="A22" i="47"/>
  <c r="B22" i="47"/>
  <c r="C22" i="47"/>
  <c r="D22" i="47"/>
  <c r="E22" i="47"/>
  <c r="F22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A23" i="47"/>
  <c r="B23" i="47"/>
  <c r="C23" i="47"/>
  <c r="D23" i="47"/>
  <c r="E23" i="47"/>
  <c r="F23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A24" i="47"/>
  <c r="B24" i="47"/>
  <c r="C24" i="47"/>
  <c r="D24" i="47"/>
  <c r="E24" i="47"/>
  <c r="F24" i="47"/>
  <c r="G24" i="47"/>
  <c r="H24" i="47"/>
  <c r="I24" i="47"/>
  <c r="J24" i="47"/>
  <c r="K24" i="47"/>
  <c r="L24" i="47"/>
  <c r="M24" i="47"/>
  <c r="N24" i="47"/>
  <c r="O24" i="47"/>
  <c r="P24" i="47"/>
  <c r="Q24" i="47"/>
  <c r="R24" i="47"/>
  <c r="S24" i="47"/>
  <c r="T24" i="47"/>
  <c r="U24" i="47"/>
  <c r="V24" i="47"/>
  <c r="W24" i="47"/>
  <c r="X24" i="47"/>
  <c r="A25" i="47"/>
  <c r="B25" i="47"/>
  <c r="C25" i="47"/>
  <c r="D25" i="47"/>
  <c r="E25" i="47"/>
  <c r="F25" i="47"/>
  <c r="G25" i="47"/>
  <c r="H25" i="47"/>
  <c r="I25" i="47"/>
  <c r="J25" i="47"/>
  <c r="K25" i="47"/>
  <c r="L25" i="47"/>
  <c r="M25" i="47"/>
  <c r="N25" i="47"/>
  <c r="O25" i="47"/>
  <c r="P25" i="47"/>
  <c r="Q25" i="47"/>
  <c r="R25" i="47"/>
  <c r="S25" i="47"/>
  <c r="T25" i="47"/>
  <c r="U25" i="47"/>
  <c r="V25" i="47"/>
  <c r="W25" i="47"/>
  <c r="X25" i="47"/>
  <c r="A26" i="47"/>
  <c r="B26" i="47"/>
  <c r="C26" i="47"/>
  <c r="D26" i="47"/>
  <c r="E26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B27" i="47"/>
  <c r="D27" i="47"/>
  <c r="E27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B28" i="47"/>
  <c r="D28" i="47"/>
  <c r="E28" i="47"/>
  <c r="F28" i="47"/>
  <c r="G28" i="47"/>
  <c r="H28" i="47"/>
  <c r="I28" i="47"/>
  <c r="J28" i="47"/>
  <c r="K28" i="47"/>
  <c r="L28" i="47"/>
  <c r="M28" i="47"/>
  <c r="N28" i="47"/>
  <c r="O28" i="47"/>
  <c r="P28" i="47"/>
  <c r="Q28" i="47"/>
  <c r="R28" i="47"/>
  <c r="S28" i="47"/>
  <c r="T28" i="47"/>
  <c r="U28" i="47"/>
  <c r="V28" i="47"/>
  <c r="W28" i="47"/>
  <c r="X28" i="47"/>
  <c r="B29" i="47"/>
  <c r="D29" i="47"/>
  <c r="E29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C30" i="47"/>
  <c r="D30" i="47"/>
  <c r="E30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C31" i="47"/>
  <c r="D31" i="47"/>
  <c r="E31" i="47"/>
  <c r="F31" i="47"/>
  <c r="G31" i="47"/>
  <c r="H31" i="47"/>
  <c r="I31" i="47"/>
  <c r="J31" i="47"/>
  <c r="K31" i="47"/>
  <c r="L31" i="47"/>
  <c r="M31" i="47"/>
  <c r="N31" i="47"/>
  <c r="O31" i="47"/>
  <c r="P31" i="47"/>
  <c r="Q31" i="47"/>
  <c r="R31" i="47"/>
  <c r="S31" i="47"/>
  <c r="T31" i="47"/>
  <c r="U31" i="47"/>
  <c r="V31" i="47"/>
  <c r="W31" i="47"/>
  <c r="X31" i="47"/>
  <c r="C32" i="47"/>
  <c r="D32" i="47"/>
  <c r="E32" i="47"/>
  <c r="F32" i="47"/>
  <c r="G32" i="47"/>
  <c r="H32" i="47"/>
  <c r="I32" i="47"/>
  <c r="J32" i="47"/>
  <c r="K32" i="47"/>
  <c r="L32" i="47"/>
  <c r="M32" i="47"/>
  <c r="N32" i="47"/>
  <c r="O32" i="47"/>
  <c r="P32" i="47"/>
  <c r="Q32" i="47"/>
  <c r="R32" i="47"/>
  <c r="S32" i="47"/>
  <c r="T32" i="47"/>
  <c r="U32" i="47"/>
  <c r="V32" i="47"/>
  <c r="W32" i="47"/>
  <c r="X32" i="47"/>
  <c r="A37" i="47"/>
  <c r="B37" i="47"/>
  <c r="D37" i="47"/>
  <c r="E37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A38" i="47"/>
  <c r="B38" i="47"/>
  <c r="D38" i="47"/>
  <c r="E38" i="47"/>
  <c r="F38" i="47"/>
  <c r="G38" i="47"/>
  <c r="H38" i="47"/>
  <c r="I38" i="47"/>
  <c r="J38" i="47"/>
  <c r="K38" i="47"/>
  <c r="L38" i="47"/>
  <c r="M38" i="47"/>
  <c r="N38" i="47"/>
  <c r="O38" i="47"/>
  <c r="P38" i="47"/>
  <c r="Q38" i="47"/>
  <c r="R38" i="47"/>
  <c r="S38" i="47"/>
  <c r="T38" i="47"/>
  <c r="U38" i="47"/>
  <c r="V38" i="47"/>
  <c r="W38" i="47"/>
  <c r="X38" i="47"/>
  <c r="A39" i="47"/>
  <c r="B39" i="47"/>
  <c r="D39" i="47"/>
  <c r="E39" i="47"/>
  <c r="F39" i="47"/>
  <c r="G39" i="47"/>
  <c r="H39" i="47"/>
  <c r="I39" i="47"/>
  <c r="J39" i="47"/>
  <c r="K39" i="47"/>
  <c r="L39" i="47"/>
  <c r="M39" i="47"/>
  <c r="N39" i="47"/>
  <c r="O39" i="47"/>
  <c r="P39" i="47"/>
  <c r="Q39" i="47"/>
  <c r="R39" i="47"/>
  <c r="S39" i="47"/>
  <c r="T39" i="47"/>
  <c r="U39" i="47"/>
  <c r="V39" i="47"/>
  <c r="W39" i="47"/>
  <c r="X39" i="47"/>
  <c r="A40" i="47"/>
  <c r="B40" i="47"/>
  <c r="D40" i="47"/>
  <c r="E40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A41" i="47"/>
  <c r="B41" i="47"/>
  <c r="D41" i="47"/>
  <c r="E41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A42" i="47"/>
  <c r="B42" i="47"/>
  <c r="D42" i="47"/>
  <c r="E42" i="47"/>
  <c r="F42" i="47"/>
  <c r="G42" i="47"/>
  <c r="H42" i="47"/>
  <c r="I42" i="47"/>
  <c r="J42" i="47"/>
  <c r="K42" i="47"/>
  <c r="L42" i="47"/>
  <c r="M42" i="47"/>
  <c r="N42" i="47"/>
  <c r="O42" i="47"/>
  <c r="P42" i="47"/>
  <c r="Q42" i="47"/>
  <c r="R42" i="47"/>
  <c r="S42" i="47"/>
  <c r="T42" i="47"/>
  <c r="U42" i="47"/>
  <c r="V42" i="47"/>
  <c r="W42" i="47"/>
  <c r="X42" i="47"/>
  <c r="A43" i="47"/>
  <c r="B43" i="47"/>
  <c r="D43" i="47"/>
  <c r="E43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A44" i="47"/>
  <c r="B44" i="47"/>
  <c r="D44" i="47"/>
  <c r="E44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A45" i="47"/>
  <c r="B45" i="47"/>
  <c r="D45" i="47"/>
  <c r="E45" i="47"/>
  <c r="F45" i="47"/>
  <c r="G45" i="47"/>
  <c r="H45" i="47"/>
  <c r="I45" i="47"/>
  <c r="J45" i="47"/>
  <c r="K45" i="47"/>
  <c r="L45" i="47"/>
  <c r="M45" i="47"/>
  <c r="N45" i="47"/>
  <c r="O45" i="47"/>
  <c r="P45" i="47"/>
  <c r="Q45" i="47"/>
  <c r="R45" i="47"/>
  <c r="S45" i="47"/>
  <c r="T45" i="47"/>
  <c r="U45" i="47"/>
  <c r="V45" i="47"/>
  <c r="W45" i="47"/>
  <c r="X45" i="47"/>
  <c r="A46" i="47"/>
  <c r="B46" i="47"/>
  <c r="D46" i="47"/>
  <c r="E46" i="47"/>
  <c r="F46" i="47"/>
  <c r="G46" i="47"/>
  <c r="H46" i="47"/>
  <c r="I46" i="47"/>
  <c r="J46" i="47"/>
  <c r="K46" i="47"/>
  <c r="L46" i="47"/>
  <c r="M46" i="47"/>
  <c r="N46" i="47"/>
  <c r="O46" i="47"/>
  <c r="P46" i="47"/>
  <c r="Q46" i="47"/>
  <c r="R46" i="47"/>
  <c r="S46" i="47"/>
  <c r="T46" i="47"/>
  <c r="U46" i="47"/>
  <c r="V46" i="47"/>
  <c r="W46" i="47"/>
  <c r="X46" i="47"/>
  <c r="A47" i="47"/>
  <c r="B47" i="47"/>
  <c r="D47" i="47"/>
  <c r="E47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A48" i="47"/>
  <c r="B48" i="47"/>
  <c r="D48" i="47"/>
  <c r="E48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A49" i="47"/>
  <c r="B49" i="47"/>
  <c r="D49" i="47"/>
  <c r="E49" i="47"/>
  <c r="F49" i="47"/>
  <c r="G49" i="47"/>
  <c r="H49" i="47"/>
  <c r="I49" i="47"/>
  <c r="J49" i="47"/>
  <c r="K49" i="47"/>
  <c r="L49" i="47"/>
  <c r="M49" i="47"/>
  <c r="N49" i="47"/>
  <c r="O49" i="47"/>
  <c r="P49" i="47"/>
  <c r="Q49" i="47"/>
  <c r="R49" i="47"/>
  <c r="S49" i="47"/>
  <c r="T49" i="47"/>
  <c r="U49" i="47"/>
  <c r="V49" i="47"/>
  <c r="W49" i="47"/>
  <c r="X49" i="47"/>
  <c r="D51" i="47"/>
  <c r="E51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D52" i="47"/>
  <c r="E52" i="47"/>
  <c r="F52" i="47"/>
  <c r="G52" i="47"/>
  <c r="H52" i="47"/>
  <c r="I52" i="47"/>
  <c r="J52" i="47"/>
  <c r="K52" i="47"/>
  <c r="L52" i="47"/>
  <c r="M52" i="47"/>
  <c r="N52" i="47"/>
  <c r="O52" i="47"/>
  <c r="P52" i="47"/>
  <c r="Q52" i="47"/>
  <c r="R52" i="47"/>
  <c r="S52" i="47"/>
  <c r="T52" i="47"/>
  <c r="U52" i="47"/>
  <c r="V52" i="47"/>
  <c r="W52" i="47"/>
  <c r="X52" i="47"/>
  <c r="D54" i="47"/>
  <c r="E54" i="47"/>
  <c r="F54" i="47"/>
  <c r="G54" i="47"/>
  <c r="H54" i="47"/>
  <c r="I54" i="47"/>
  <c r="J54" i="47"/>
  <c r="K54" i="47"/>
  <c r="L54" i="47"/>
  <c r="M54" i="47"/>
  <c r="N54" i="47"/>
  <c r="O54" i="47"/>
  <c r="P54" i="47"/>
  <c r="Q54" i="47"/>
  <c r="R54" i="47"/>
  <c r="S54" i="47"/>
  <c r="T54" i="47"/>
  <c r="U54" i="47"/>
  <c r="V54" i="47"/>
  <c r="W54" i="47"/>
  <c r="X54" i="47"/>
  <c r="A2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A14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A15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A16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A17" i="52"/>
  <c r="B17" i="52"/>
  <c r="C17" i="52"/>
  <c r="D17" i="52"/>
  <c r="E17" i="52"/>
  <c r="F17" i="52"/>
  <c r="G17" i="52"/>
  <c r="H17" i="52"/>
  <c r="I17" i="52"/>
  <c r="J17" i="52"/>
  <c r="K17" i="52"/>
  <c r="L17" i="52"/>
  <c r="M17" i="52"/>
  <c r="N17" i="52"/>
  <c r="O17" i="52"/>
  <c r="P17" i="52"/>
  <c r="Q17" i="52"/>
  <c r="R17" i="52"/>
  <c r="S17" i="52"/>
  <c r="T17" i="52"/>
  <c r="U17" i="52"/>
  <c r="V17" i="52"/>
  <c r="W17" i="52"/>
  <c r="X17" i="52"/>
  <c r="A18" i="52"/>
  <c r="B18" i="52"/>
  <c r="C18" i="52"/>
  <c r="D18" i="52"/>
  <c r="E18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U18" i="52"/>
  <c r="V18" i="52"/>
  <c r="W18" i="52"/>
  <c r="X18" i="52"/>
  <c r="A19" i="52"/>
  <c r="B19" i="52"/>
  <c r="C19" i="52"/>
  <c r="D19" i="52"/>
  <c r="E19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U19" i="52"/>
  <c r="V19" i="52"/>
  <c r="W19" i="52"/>
  <c r="X19" i="52"/>
  <c r="A20" i="52"/>
  <c r="B20" i="52"/>
  <c r="C20" i="52"/>
  <c r="D20" i="52"/>
  <c r="E20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U20" i="52"/>
  <c r="V20" i="52"/>
  <c r="W20" i="52"/>
  <c r="X20" i="52"/>
  <c r="A21" i="52"/>
  <c r="B21" i="52"/>
  <c r="C21" i="52"/>
  <c r="D21" i="52"/>
  <c r="E21" i="52"/>
  <c r="F21" i="52"/>
  <c r="G21" i="52"/>
  <c r="H21" i="52"/>
  <c r="I21" i="52"/>
  <c r="J21" i="52"/>
  <c r="K21" i="52"/>
  <c r="L21" i="52"/>
  <c r="M21" i="52"/>
  <c r="N21" i="52"/>
  <c r="O21" i="52"/>
  <c r="P21" i="52"/>
  <c r="Q21" i="52"/>
  <c r="R21" i="52"/>
  <c r="S21" i="52"/>
  <c r="T21" i="52"/>
  <c r="U21" i="52"/>
  <c r="V21" i="52"/>
  <c r="W21" i="52"/>
  <c r="X21" i="52"/>
  <c r="A22" i="52"/>
  <c r="B22" i="52"/>
  <c r="C22" i="52"/>
  <c r="D22" i="52"/>
  <c r="E22" i="52"/>
  <c r="F22" i="52"/>
  <c r="G22" i="52"/>
  <c r="H22" i="52"/>
  <c r="I22" i="52"/>
  <c r="J22" i="52"/>
  <c r="K22" i="52"/>
  <c r="L22" i="52"/>
  <c r="M22" i="52"/>
  <c r="N22" i="52"/>
  <c r="O22" i="52"/>
  <c r="P22" i="52"/>
  <c r="Q22" i="52"/>
  <c r="R22" i="52"/>
  <c r="S22" i="52"/>
  <c r="T22" i="52"/>
  <c r="U22" i="52"/>
  <c r="V22" i="52"/>
  <c r="W22" i="52"/>
  <c r="X22" i="52"/>
  <c r="A23" i="52"/>
  <c r="B23" i="52"/>
  <c r="C23" i="52"/>
  <c r="D23" i="52"/>
  <c r="E23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A24" i="52"/>
  <c r="B24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A25" i="52"/>
  <c r="B25" i="52"/>
  <c r="C25" i="52"/>
  <c r="D25" i="52"/>
  <c r="E25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R25" i="52"/>
  <c r="S25" i="52"/>
  <c r="T25" i="52"/>
  <c r="U25" i="52"/>
  <c r="V25" i="52"/>
  <c r="W25" i="52"/>
  <c r="X25" i="52"/>
  <c r="A26" i="52"/>
  <c r="B26" i="52"/>
  <c r="C26" i="52"/>
  <c r="D26" i="52"/>
  <c r="E26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R26" i="52"/>
  <c r="S26" i="52"/>
  <c r="T26" i="52"/>
  <c r="U26" i="52"/>
  <c r="V26" i="52"/>
  <c r="W26" i="52"/>
  <c r="X26" i="52"/>
  <c r="B27" i="52"/>
  <c r="D27" i="52"/>
  <c r="E27" i="52"/>
  <c r="F27" i="52"/>
  <c r="G27" i="52"/>
  <c r="H27" i="52"/>
  <c r="I27" i="52"/>
  <c r="J27" i="52"/>
  <c r="K27" i="52"/>
  <c r="L27" i="52"/>
  <c r="M27" i="52"/>
  <c r="N27" i="52"/>
  <c r="O27" i="52"/>
  <c r="P27" i="52"/>
  <c r="Q27" i="52"/>
  <c r="R27" i="52"/>
  <c r="S27" i="52"/>
  <c r="T27" i="52"/>
  <c r="U27" i="52"/>
  <c r="V27" i="52"/>
  <c r="W27" i="52"/>
  <c r="X27" i="52"/>
  <c r="B28" i="52"/>
  <c r="D28" i="52"/>
  <c r="E28" i="52"/>
  <c r="F28" i="52"/>
  <c r="G28" i="52"/>
  <c r="H28" i="52"/>
  <c r="I28" i="52"/>
  <c r="J28" i="52"/>
  <c r="K28" i="52"/>
  <c r="L28" i="52"/>
  <c r="M28" i="52"/>
  <c r="N28" i="52"/>
  <c r="O28" i="52"/>
  <c r="P28" i="52"/>
  <c r="Q28" i="52"/>
  <c r="R28" i="52"/>
  <c r="S28" i="52"/>
  <c r="T28" i="52"/>
  <c r="U28" i="52"/>
  <c r="V28" i="52"/>
  <c r="W28" i="52"/>
  <c r="X28" i="52"/>
  <c r="B29" i="52"/>
  <c r="D29" i="52"/>
  <c r="E29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U29" i="52"/>
  <c r="V29" i="52"/>
  <c r="W29" i="52"/>
  <c r="X29" i="52"/>
  <c r="C30" i="52"/>
  <c r="D30" i="52"/>
  <c r="E30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C31" i="52"/>
  <c r="D31" i="52"/>
  <c r="E31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C32" i="52"/>
  <c r="D32" i="52"/>
  <c r="E32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R32" i="52"/>
  <c r="S32" i="52"/>
  <c r="T32" i="52"/>
  <c r="U32" i="52"/>
  <c r="V32" i="52"/>
  <c r="W32" i="52"/>
  <c r="X32" i="52"/>
  <c r="A37" i="52"/>
  <c r="B37" i="52"/>
  <c r="D37" i="52"/>
  <c r="E37" i="52"/>
  <c r="F37" i="52"/>
  <c r="G37" i="52"/>
  <c r="H37" i="52"/>
  <c r="I37" i="52"/>
  <c r="J37" i="52"/>
  <c r="K37" i="52"/>
  <c r="L37" i="52"/>
  <c r="M37" i="52"/>
  <c r="N37" i="52"/>
  <c r="O37" i="52"/>
  <c r="P37" i="52"/>
  <c r="Q37" i="52"/>
  <c r="R37" i="52"/>
  <c r="S37" i="52"/>
  <c r="T37" i="52"/>
  <c r="U37" i="52"/>
  <c r="V37" i="52"/>
  <c r="W37" i="52"/>
  <c r="X37" i="52"/>
  <c r="A38" i="52"/>
  <c r="B38" i="52"/>
  <c r="D38" i="52"/>
  <c r="E38" i="52"/>
  <c r="F38" i="52"/>
  <c r="G38" i="52"/>
  <c r="H38" i="52"/>
  <c r="I38" i="52"/>
  <c r="J38" i="52"/>
  <c r="K38" i="52"/>
  <c r="L38" i="52"/>
  <c r="M38" i="52"/>
  <c r="N38" i="52"/>
  <c r="O38" i="52"/>
  <c r="P38" i="52"/>
  <c r="Q38" i="52"/>
  <c r="R38" i="52"/>
  <c r="S38" i="52"/>
  <c r="T38" i="52"/>
  <c r="U38" i="52"/>
  <c r="V38" i="52"/>
  <c r="W38" i="52"/>
  <c r="X38" i="52"/>
  <c r="A39" i="52"/>
  <c r="B39" i="52"/>
  <c r="D39" i="52"/>
  <c r="E39" i="52"/>
  <c r="F39" i="52"/>
  <c r="G39" i="52"/>
  <c r="H39" i="52"/>
  <c r="I39" i="52"/>
  <c r="J39" i="52"/>
  <c r="K39" i="52"/>
  <c r="L39" i="52"/>
  <c r="M39" i="52"/>
  <c r="N39" i="52"/>
  <c r="O39" i="52"/>
  <c r="P39" i="52"/>
  <c r="Q39" i="52"/>
  <c r="R39" i="52"/>
  <c r="S39" i="52"/>
  <c r="T39" i="52"/>
  <c r="U39" i="52"/>
  <c r="V39" i="52"/>
  <c r="W39" i="52"/>
  <c r="X39" i="52"/>
  <c r="A40" i="52"/>
  <c r="B40" i="52"/>
  <c r="D40" i="52"/>
  <c r="E40" i="52"/>
  <c r="F40" i="52"/>
  <c r="G40" i="52"/>
  <c r="H40" i="52"/>
  <c r="I40" i="52"/>
  <c r="J40" i="52"/>
  <c r="K40" i="52"/>
  <c r="L40" i="52"/>
  <c r="M40" i="52"/>
  <c r="N40" i="52"/>
  <c r="O40" i="52"/>
  <c r="P40" i="52"/>
  <c r="Q40" i="52"/>
  <c r="R40" i="52"/>
  <c r="S40" i="52"/>
  <c r="T40" i="52"/>
  <c r="U40" i="52"/>
  <c r="V40" i="52"/>
  <c r="W40" i="52"/>
  <c r="X40" i="52"/>
  <c r="A41" i="52"/>
  <c r="B41" i="52"/>
  <c r="D41" i="52"/>
  <c r="E41" i="52"/>
  <c r="F41" i="52"/>
  <c r="G41" i="52"/>
  <c r="H41" i="52"/>
  <c r="I41" i="52"/>
  <c r="J41" i="52"/>
  <c r="K41" i="52"/>
  <c r="L41" i="52"/>
  <c r="M41" i="52"/>
  <c r="N41" i="52"/>
  <c r="O41" i="52"/>
  <c r="P41" i="52"/>
  <c r="Q41" i="52"/>
  <c r="R41" i="52"/>
  <c r="S41" i="52"/>
  <c r="T41" i="52"/>
  <c r="U41" i="52"/>
  <c r="V41" i="52"/>
  <c r="W41" i="52"/>
  <c r="X41" i="52"/>
  <c r="A42" i="52"/>
  <c r="B42" i="52"/>
  <c r="D42" i="52"/>
  <c r="E42" i="52"/>
  <c r="F42" i="52"/>
  <c r="G42" i="52"/>
  <c r="H42" i="52"/>
  <c r="I42" i="52"/>
  <c r="J42" i="52"/>
  <c r="K42" i="52"/>
  <c r="L42" i="52"/>
  <c r="M42" i="52"/>
  <c r="N42" i="52"/>
  <c r="O42" i="52"/>
  <c r="P42" i="52"/>
  <c r="Q42" i="52"/>
  <c r="R42" i="52"/>
  <c r="S42" i="52"/>
  <c r="T42" i="52"/>
  <c r="U42" i="52"/>
  <c r="V42" i="52"/>
  <c r="W42" i="52"/>
  <c r="X42" i="52"/>
  <c r="A43" i="52"/>
  <c r="B43" i="52"/>
  <c r="D43" i="52"/>
  <c r="E43" i="52"/>
  <c r="F43" i="52"/>
  <c r="G43" i="52"/>
  <c r="H43" i="52"/>
  <c r="I43" i="52"/>
  <c r="J43" i="52"/>
  <c r="K43" i="52"/>
  <c r="L43" i="52"/>
  <c r="M43" i="52"/>
  <c r="N43" i="52"/>
  <c r="O43" i="52"/>
  <c r="P43" i="52"/>
  <c r="Q43" i="52"/>
  <c r="R43" i="52"/>
  <c r="S43" i="52"/>
  <c r="T43" i="52"/>
  <c r="U43" i="52"/>
  <c r="V43" i="52"/>
  <c r="W43" i="52"/>
  <c r="X43" i="52"/>
  <c r="A44" i="52"/>
  <c r="B44" i="52"/>
  <c r="D44" i="52"/>
  <c r="E44" i="52"/>
  <c r="F44" i="52"/>
  <c r="G44" i="52"/>
  <c r="H44" i="52"/>
  <c r="I44" i="52"/>
  <c r="J44" i="52"/>
  <c r="K44" i="52"/>
  <c r="L44" i="52"/>
  <c r="M44" i="52"/>
  <c r="N44" i="52"/>
  <c r="O44" i="52"/>
  <c r="P44" i="52"/>
  <c r="Q44" i="52"/>
  <c r="R44" i="52"/>
  <c r="S44" i="52"/>
  <c r="T44" i="52"/>
  <c r="U44" i="52"/>
  <c r="V44" i="52"/>
  <c r="W44" i="52"/>
  <c r="X44" i="52"/>
  <c r="A45" i="52"/>
  <c r="B45" i="52"/>
  <c r="D45" i="52"/>
  <c r="E45" i="52"/>
  <c r="F45" i="52"/>
  <c r="G45" i="52"/>
  <c r="H45" i="52"/>
  <c r="I45" i="52"/>
  <c r="J45" i="52"/>
  <c r="K45" i="52"/>
  <c r="L45" i="52"/>
  <c r="M45" i="52"/>
  <c r="N45" i="52"/>
  <c r="O45" i="52"/>
  <c r="P45" i="52"/>
  <c r="Q45" i="52"/>
  <c r="R45" i="52"/>
  <c r="S45" i="52"/>
  <c r="T45" i="52"/>
  <c r="U45" i="52"/>
  <c r="V45" i="52"/>
  <c r="W45" i="52"/>
  <c r="X45" i="52"/>
  <c r="A46" i="52"/>
  <c r="B46" i="52"/>
  <c r="D46" i="52"/>
  <c r="E46" i="52"/>
  <c r="F46" i="52"/>
  <c r="G46" i="52"/>
  <c r="H46" i="52"/>
  <c r="I46" i="52"/>
  <c r="J46" i="52"/>
  <c r="K46" i="52"/>
  <c r="L46" i="52"/>
  <c r="M46" i="52"/>
  <c r="N46" i="52"/>
  <c r="O46" i="52"/>
  <c r="P46" i="52"/>
  <c r="Q46" i="52"/>
  <c r="R46" i="52"/>
  <c r="S46" i="52"/>
  <c r="T46" i="52"/>
  <c r="U46" i="52"/>
  <c r="V46" i="52"/>
  <c r="W46" i="52"/>
  <c r="X46" i="52"/>
  <c r="A47" i="52"/>
  <c r="B47" i="52"/>
  <c r="D47" i="52"/>
  <c r="E47" i="52"/>
  <c r="F47" i="52"/>
  <c r="G47" i="52"/>
  <c r="H47" i="52"/>
  <c r="I47" i="52"/>
  <c r="J47" i="52"/>
  <c r="K47" i="52"/>
  <c r="L47" i="52"/>
  <c r="M47" i="52"/>
  <c r="N47" i="52"/>
  <c r="O47" i="52"/>
  <c r="P47" i="52"/>
  <c r="Q47" i="52"/>
  <c r="R47" i="52"/>
  <c r="S47" i="52"/>
  <c r="T47" i="52"/>
  <c r="U47" i="52"/>
  <c r="V47" i="52"/>
  <c r="W47" i="52"/>
  <c r="X47" i="52"/>
  <c r="A48" i="52"/>
  <c r="B48" i="52"/>
  <c r="D48" i="52"/>
  <c r="E48" i="52"/>
  <c r="F48" i="52"/>
  <c r="G48" i="52"/>
  <c r="H48" i="52"/>
  <c r="I48" i="52"/>
  <c r="J48" i="52"/>
  <c r="K48" i="52"/>
  <c r="L48" i="52"/>
  <c r="M48" i="52"/>
  <c r="N48" i="52"/>
  <c r="O48" i="52"/>
  <c r="P48" i="52"/>
  <c r="Q48" i="52"/>
  <c r="R48" i="52"/>
  <c r="S48" i="52"/>
  <c r="T48" i="52"/>
  <c r="U48" i="52"/>
  <c r="V48" i="52"/>
  <c r="W48" i="52"/>
  <c r="X48" i="52"/>
  <c r="A49" i="52"/>
  <c r="B49" i="52"/>
  <c r="D49" i="52"/>
  <c r="E49" i="52"/>
  <c r="F49" i="52"/>
  <c r="G49" i="52"/>
  <c r="H49" i="52"/>
  <c r="I49" i="52"/>
  <c r="J49" i="52"/>
  <c r="K49" i="52"/>
  <c r="L49" i="52"/>
  <c r="M49" i="52"/>
  <c r="N49" i="52"/>
  <c r="O49" i="52"/>
  <c r="P49" i="52"/>
  <c r="Q49" i="52"/>
  <c r="R49" i="52"/>
  <c r="S49" i="52"/>
  <c r="T49" i="52"/>
  <c r="U49" i="52"/>
  <c r="V49" i="52"/>
  <c r="W49" i="52"/>
  <c r="X49" i="52"/>
  <c r="D51" i="52"/>
  <c r="E51" i="52"/>
  <c r="F51" i="52"/>
  <c r="G51" i="52"/>
  <c r="H51" i="52"/>
  <c r="I51" i="52"/>
  <c r="J51" i="52"/>
  <c r="K51" i="52"/>
  <c r="L51" i="52"/>
  <c r="M51" i="52"/>
  <c r="N51" i="52"/>
  <c r="O51" i="52"/>
  <c r="P51" i="52"/>
  <c r="Q51" i="52"/>
  <c r="R51" i="52"/>
  <c r="S51" i="52"/>
  <c r="T51" i="52"/>
  <c r="U51" i="52"/>
  <c r="V51" i="52"/>
  <c r="W51" i="52"/>
  <c r="X51" i="52"/>
  <c r="D52" i="52"/>
  <c r="E52" i="52"/>
  <c r="F52" i="52"/>
  <c r="G52" i="52"/>
  <c r="H52" i="52"/>
  <c r="I52" i="52"/>
  <c r="J52" i="52"/>
  <c r="K52" i="52"/>
  <c r="L52" i="52"/>
  <c r="M52" i="52"/>
  <c r="N52" i="52"/>
  <c r="O52" i="52"/>
  <c r="P52" i="52"/>
  <c r="Q52" i="52"/>
  <c r="R52" i="52"/>
  <c r="S52" i="52"/>
  <c r="T52" i="52"/>
  <c r="U52" i="52"/>
  <c r="V52" i="52"/>
  <c r="W52" i="52"/>
  <c r="X52" i="52"/>
  <c r="D54" i="52"/>
  <c r="E54" i="52"/>
  <c r="F54" i="52"/>
  <c r="G54" i="52"/>
  <c r="H54" i="52"/>
  <c r="I54" i="52"/>
  <c r="J54" i="52"/>
  <c r="K54" i="52"/>
  <c r="L54" i="52"/>
  <c r="M54" i="52"/>
  <c r="N54" i="52"/>
  <c r="O54" i="52"/>
  <c r="P54" i="52"/>
  <c r="Q54" i="52"/>
  <c r="R54" i="52"/>
  <c r="S54" i="52"/>
  <c r="T54" i="52"/>
  <c r="U54" i="52"/>
  <c r="V54" i="52"/>
  <c r="W54" i="52"/>
  <c r="X54" i="52"/>
  <c r="A2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A14" i="55"/>
  <c r="B14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A15" i="55"/>
  <c r="B15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A16" i="55"/>
  <c r="B16" i="55"/>
  <c r="C16" i="55"/>
  <c r="D16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Q16" i="55"/>
  <c r="R16" i="55"/>
  <c r="S16" i="55"/>
  <c r="T16" i="55"/>
  <c r="U16" i="55"/>
  <c r="V16" i="55"/>
  <c r="W16" i="55"/>
  <c r="X16" i="55"/>
  <c r="A17" i="55"/>
  <c r="B17" i="55"/>
  <c r="C17" i="55"/>
  <c r="D17" i="55"/>
  <c r="E17" i="55"/>
  <c r="F17" i="55"/>
  <c r="G17" i="55"/>
  <c r="H17" i="55"/>
  <c r="I17" i="55"/>
  <c r="J17" i="55"/>
  <c r="K17" i="55"/>
  <c r="L17" i="55"/>
  <c r="M17" i="55"/>
  <c r="N17" i="55"/>
  <c r="O17" i="55"/>
  <c r="P17" i="55"/>
  <c r="Q17" i="55"/>
  <c r="R17" i="55"/>
  <c r="S17" i="55"/>
  <c r="T17" i="55"/>
  <c r="U17" i="55"/>
  <c r="V17" i="55"/>
  <c r="W17" i="55"/>
  <c r="X17" i="55"/>
  <c r="A18" i="55"/>
  <c r="B18" i="55"/>
  <c r="C18" i="55"/>
  <c r="D18" i="55"/>
  <c r="E18" i="55"/>
  <c r="F18" i="55"/>
  <c r="G18" i="55"/>
  <c r="H18" i="55"/>
  <c r="I18" i="55"/>
  <c r="J18" i="55"/>
  <c r="K18" i="55"/>
  <c r="L18" i="55"/>
  <c r="M18" i="55"/>
  <c r="N18" i="55"/>
  <c r="O18" i="55"/>
  <c r="P18" i="55"/>
  <c r="Q18" i="55"/>
  <c r="R18" i="55"/>
  <c r="S18" i="55"/>
  <c r="T18" i="55"/>
  <c r="U18" i="55"/>
  <c r="V18" i="55"/>
  <c r="W18" i="55"/>
  <c r="X18" i="55"/>
  <c r="A19" i="55"/>
  <c r="B19" i="55"/>
  <c r="C19" i="55"/>
  <c r="D19" i="55"/>
  <c r="E19" i="55"/>
  <c r="F19" i="55"/>
  <c r="G19" i="55"/>
  <c r="H19" i="55"/>
  <c r="I19" i="55"/>
  <c r="J19" i="55"/>
  <c r="K19" i="55"/>
  <c r="L19" i="55"/>
  <c r="M19" i="55"/>
  <c r="N19" i="55"/>
  <c r="O19" i="55"/>
  <c r="P19" i="55"/>
  <c r="Q19" i="55"/>
  <c r="R19" i="55"/>
  <c r="S19" i="55"/>
  <c r="T19" i="55"/>
  <c r="U19" i="55"/>
  <c r="V19" i="55"/>
  <c r="W19" i="55"/>
  <c r="X19" i="55"/>
  <c r="A20" i="55"/>
  <c r="B20" i="55"/>
  <c r="C20" i="55"/>
  <c r="D20" i="55"/>
  <c r="E20" i="55"/>
  <c r="F20" i="55"/>
  <c r="G20" i="55"/>
  <c r="H20" i="55"/>
  <c r="I20" i="55"/>
  <c r="J20" i="55"/>
  <c r="K20" i="55"/>
  <c r="L20" i="55"/>
  <c r="M20" i="55"/>
  <c r="N20" i="55"/>
  <c r="O20" i="55"/>
  <c r="P20" i="55"/>
  <c r="Q20" i="55"/>
  <c r="R20" i="55"/>
  <c r="S20" i="55"/>
  <c r="T20" i="55"/>
  <c r="U20" i="55"/>
  <c r="V20" i="55"/>
  <c r="W20" i="55"/>
  <c r="X20" i="55"/>
  <c r="A21" i="55"/>
  <c r="B21" i="55"/>
  <c r="C21" i="55"/>
  <c r="D21" i="55"/>
  <c r="E21" i="55"/>
  <c r="F21" i="55"/>
  <c r="G21" i="55"/>
  <c r="H21" i="55"/>
  <c r="I21" i="55"/>
  <c r="J21" i="55"/>
  <c r="K21" i="55"/>
  <c r="L21" i="55"/>
  <c r="M21" i="55"/>
  <c r="N21" i="55"/>
  <c r="O21" i="55"/>
  <c r="P21" i="55"/>
  <c r="Q21" i="55"/>
  <c r="R21" i="55"/>
  <c r="S21" i="55"/>
  <c r="T21" i="55"/>
  <c r="U21" i="55"/>
  <c r="V21" i="55"/>
  <c r="W21" i="55"/>
  <c r="X21" i="55"/>
  <c r="A22" i="55"/>
  <c r="B22" i="55"/>
  <c r="C22" i="55"/>
  <c r="D22" i="55"/>
  <c r="E22" i="55"/>
  <c r="F22" i="55"/>
  <c r="G22" i="55"/>
  <c r="H22" i="55"/>
  <c r="I22" i="55"/>
  <c r="J22" i="55"/>
  <c r="K22" i="55"/>
  <c r="L22" i="55"/>
  <c r="M22" i="55"/>
  <c r="N22" i="55"/>
  <c r="O22" i="55"/>
  <c r="P22" i="55"/>
  <c r="Q22" i="55"/>
  <c r="R22" i="55"/>
  <c r="S22" i="55"/>
  <c r="T22" i="55"/>
  <c r="U22" i="55"/>
  <c r="V22" i="55"/>
  <c r="W22" i="55"/>
  <c r="X22" i="55"/>
  <c r="A23" i="55"/>
  <c r="B23" i="55"/>
  <c r="C23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A24" i="55"/>
  <c r="B24" i="55"/>
  <c r="C24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A25" i="55"/>
  <c r="B25" i="55"/>
  <c r="C25" i="55"/>
  <c r="D25" i="55"/>
  <c r="E25" i="55"/>
  <c r="F25" i="55"/>
  <c r="G25" i="55"/>
  <c r="H25" i="55"/>
  <c r="I25" i="55"/>
  <c r="J25" i="55"/>
  <c r="K25" i="55"/>
  <c r="L25" i="55"/>
  <c r="M25" i="55"/>
  <c r="N25" i="55"/>
  <c r="O25" i="55"/>
  <c r="P25" i="55"/>
  <c r="Q25" i="55"/>
  <c r="R25" i="55"/>
  <c r="S25" i="55"/>
  <c r="T25" i="55"/>
  <c r="U25" i="55"/>
  <c r="V25" i="55"/>
  <c r="W25" i="55"/>
  <c r="X25" i="55"/>
  <c r="A26" i="55"/>
  <c r="B26" i="55"/>
  <c r="C26" i="55"/>
  <c r="D26" i="55"/>
  <c r="E26" i="55"/>
  <c r="F26" i="55"/>
  <c r="G26" i="55"/>
  <c r="H26" i="55"/>
  <c r="I26" i="55"/>
  <c r="J26" i="55"/>
  <c r="K26" i="55"/>
  <c r="L26" i="55"/>
  <c r="M26" i="55"/>
  <c r="N26" i="55"/>
  <c r="O26" i="55"/>
  <c r="P26" i="55"/>
  <c r="Q26" i="55"/>
  <c r="R26" i="55"/>
  <c r="S26" i="55"/>
  <c r="T26" i="55"/>
  <c r="U26" i="55"/>
  <c r="V26" i="55"/>
  <c r="W26" i="55"/>
  <c r="X26" i="55"/>
  <c r="A27" i="55"/>
  <c r="B27" i="55"/>
  <c r="C27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A28" i="55"/>
  <c r="B28" i="55"/>
  <c r="C28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A29" i="55"/>
  <c r="B29" i="55"/>
  <c r="C29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A30" i="55"/>
  <c r="B30" i="55"/>
  <c r="C30" i="55"/>
  <c r="D30" i="55"/>
  <c r="E30" i="55"/>
  <c r="F30" i="55"/>
  <c r="G30" i="55"/>
  <c r="H30" i="55"/>
  <c r="I30" i="55"/>
  <c r="J30" i="55"/>
  <c r="K30" i="55"/>
  <c r="L30" i="55"/>
  <c r="M30" i="55"/>
  <c r="N30" i="55"/>
  <c r="O30" i="55"/>
  <c r="P30" i="55"/>
  <c r="Q30" i="55"/>
  <c r="R30" i="55"/>
  <c r="S30" i="55"/>
  <c r="T30" i="55"/>
  <c r="U30" i="55"/>
  <c r="V30" i="55"/>
  <c r="W30" i="55"/>
  <c r="X30" i="55"/>
  <c r="A31" i="55"/>
  <c r="B31" i="55"/>
  <c r="C31" i="55"/>
  <c r="D31" i="55"/>
  <c r="E31" i="55"/>
  <c r="F31" i="55"/>
  <c r="G31" i="55"/>
  <c r="H31" i="55"/>
  <c r="I31" i="55"/>
  <c r="J31" i="55"/>
  <c r="K31" i="55"/>
  <c r="L31" i="55"/>
  <c r="M31" i="55"/>
  <c r="N31" i="55"/>
  <c r="O31" i="55"/>
  <c r="P31" i="55"/>
  <c r="Q31" i="55"/>
  <c r="R31" i="55"/>
  <c r="S31" i="55"/>
  <c r="T31" i="55"/>
  <c r="U31" i="55"/>
  <c r="V31" i="55"/>
  <c r="W31" i="55"/>
  <c r="X31" i="55"/>
  <c r="A32" i="55"/>
  <c r="B32" i="55"/>
  <c r="C32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C33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C34" i="55"/>
  <c r="D34" i="55"/>
  <c r="E34" i="55"/>
  <c r="F34" i="55"/>
  <c r="G34" i="55"/>
  <c r="H34" i="55"/>
  <c r="I34" i="55"/>
  <c r="J34" i="55"/>
  <c r="K34" i="55"/>
  <c r="L34" i="55"/>
  <c r="M34" i="55"/>
  <c r="N34" i="55"/>
  <c r="O34" i="55"/>
  <c r="P34" i="55"/>
  <c r="Q34" i="55"/>
  <c r="R34" i="55"/>
  <c r="S34" i="55"/>
  <c r="T34" i="55"/>
  <c r="U34" i="55"/>
  <c r="V34" i="55"/>
  <c r="W34" i="55"/>
  <c r="X34" i="55"/>
  <c r="C35" i="55"/>
  <c r="D35" i="55"/>
  <c r="E35" i="55"/>
  <c r="F35" i="55"/>
  <c r="G35" i="55"/>
  <c r="H35" i="55"/>
  <c r="I35" i="55"/>
  <c r="J35" i="55"/>
  <c r="K35" i="55"/>
  <c r="L35" i="55"/>
  <c r="M35" i="55"/>
  <c r="N35" i="55"/>
  <c r="O35" i="55"/>
  <c r="P35" i="55"/>
  <c r="Q35" i="55"/>
  <c r="R35" i="55"/>
  <c r="S35" i="55"/>
  <c r="T35" i="55"/>
  <c r="U35" i="55"/>
  <c r="V35" i="55"/>
  <c r="W35" i="55"/>
  <c r="X35" i="55"/>
  <c r="A40" i="55"/>
  <c r="B40" i="55"/>
  <c r="D40" i="55"/>
  <c r="E40" i="55"/>
  <c r="F40" i="55"/>
  <c r="G40" i="55"/>
  <c r="H40" i="55"/>
  <c r="I40" i="55"/>
  <c r="J40" i="55"/>
  <c r="K40" i="55"/>
  <c r="L40" i="55"/>
  <c r="M40" i="55"/>
  <c r="N40" i="55"/>
  <c r="O40" i="55"/>
  <c r="P40" i="55"/>
  <c r="Q40" i="55"/>
  <c r="R40" i="55"/>
  <c r="S40" i="55"/>
  <c r="T40" i="55"/>
  <c r="U40" i="55"/>
  <c r="V40" i="55"/>
  <c r="W40" i="55"/>
  <c r="X40" i="55"/>
  <c r="A41" i="55"/>
  <c r="B41" i="55"/>
  <c r="D41" i="55"/>
  <c r="E41" i="55"/>
  <c r="F41" i="55"/>
  <c r="G41" i="55"/>
  <c r="H41" i="55"/>
  <c r="I41" i="55"/>
  <c r="J41" i="55"/>
  <c r="K41" i="55"/>
  <c r="L41" i="55"/>
  <c r="M41" i="55"/>
  <c r="N41" i="55"/>
  <c r="O41" i="55"/>
  <c r="P41" i="55"/>
  <c r="Q41" i="55"/>
  <c r="R41" i="55"/>
  <c r="S41" i="55"/>
  <c r="T41" i="55"/>
  <c r="U41" i="55"/>
  <c r="V41" i="55"/>
  <c r="W41" i="55"/>
  <c r="X41" i="55"/>
  <c r="A42" i="55"/>
  <c r="B42" i="55"/>
  <c r="D42" i="55"/>
  <c r="E42" i="55"/>
  <c r="F42" i="55"/>
  <c r="G42" i="55"/>
  <c r="H42" i="55"/>
  <c r="I42" i="55"/>
  <c r="J42" i="55"/>
  <c r="K42" i="55"/>
  <c r="L42" i="55"/>
  <c r="M42" i="55"/>
  <c r="N42" i="55"/>
  <c r="O42" i="55"/>
  <c r="P42" i="55"/>
  <c r="Q42" i="55"/>
  <c r="R42" i="55"/>
  <c r="S42" i="55"/>
  <c r="T42" i="55"/>
  <c r="U42" i="55"/>
  <c r="V42" i="55"/>
  <c r="W42" i="55"/>
  <c r="X42" i="55"/>
  <c r="A43" i="55"/>
  <c r="B43" i="55"/>
  <c r="D43" i="55"/>
  <c r="E43" i="55"/>
  <c r="F43" i="55"/>
  <c r="G43" i="55"/>
  <c r="H43" i="55"/>
  <c r="I43" i="55"/>
  <c r="J43" i="55"/>
  <c r="K43" i="55"/>
  <c r="L43" i="55"/>
  <c r="M43" i="55"/>
  <c r="N43" i="55"/>
  <c r="O43" i="55"/>
  <c r="P43" i="55"/>
  <c r="Q43" i="55"/>
  <c r="R43" i="55"/>
  <c r="S43" i="55"/>
  <c r="T43" i="55"/>
  <c r="U43" i="55"/>
  <c r="V43" i="55"/>
  <c r="W43" i="55"/>
  <c r="X43" i="55"/>
  <c r="A44" i="55"/>
  <c r="B44" i="55"/>
  <c r="D44" i="55"/>
  <c r="E44" i="55"/>
  <c r="F44" i="55"/>
  <c r="G44" i="55"/>
  <c r="H44" i="55"/>
  <c r="I44" i="55"/>
  <c r="J44" i="55"/>
  <c r="K44" i="55"/>
  <c r="L44" i="55"/>
  <c r="M44" i="55"/>
  <c r="N44" i="55"/>
  <c r="O44" i="55"/>
  <c r="P44" i="55"/>
  <c r="Q44" i="55"/>
  <c r="R44" i="55"/>
  <c r="S44" i="55"/>
  <c r="T44" i="55"/>
  <c r="U44" i="55"/>
  <c r="V44" i="55"/>
  <c r="W44" i="55"/>
  <c r="X44" i="55"/>
  <c r="A45" i="55"/>
  <c r="B45" i="55"/>
  <c r="D45" i="55"/>
  <c r="E45" i="55"/>
  <c r="F45" i="55"/>
  <c r="G45" i="55"/>
  <c r="H45" i="55"/>
  <c r="I45" i="55"/>
  <c r="J45" i="55"/>
  <c r="K45" i="55"/>
  <c r="L45" i="55"/>
  <c r="M45" i="55"/>
  <c r="N45" i="55"/>
  <c r="O45" i="55"/>
  <c r="P45" i="55"/>
  <c r="Q45" i="55"/>
  <c r="R45" i="55"/>
  <c r="S45" i="55"/>
  <c r="T45" i="55"/>
  <c r="U45" i="55"/>
  <c r="V45" i="55"/>
  <c r="W45" i="55"/>
  <c r="X45" i="55"/>
  <c r="A46" i="55"/>
  <c r="B46" i="55"/>
  <c r="D46" i="55"/>
  <c r="E46" i="55"/>
  <c r="F46" i="55"/>
  <c r="G46" i="55"/>
  <c r="H46" i="55"/>
  <c r="I46" i="55"/>
  <c r="J46" i="55"/>
  <c r="K46" i="55"/>
  <c r="L46" i="55"/>
  <c r="M46" i="55"/>
  <c r="N46" i="55"/>
  <c r="O46" i="55"/>
  <c r="P46" i="55"/>
  <c r="Q46" i="55"/>
  <c r="R46" i="55"/>
  <c r="S46" i="55"/>
  <c r="T46" i="55"/>
  <c r="U46" i="55"/>
  <c r="V46" i="55"/>
  <c r="W46" i="55"/>
  <c r="X46" i="55"/>
  <c r="A47" i="55"/>
  <c r="B47" i="55"/>
  <c r="D47" i="55"/>
  <c r="E47" i="55"/>
  <c r="F47" i="55"/>
  <c r="G47" i="55"/>
  <c r="H47" i="55"/>
  <c r="I47" i="55"/>
  <c r="J47" i="55"/>
  <c r="K47" i="55"/>
  <c r="L47" i="55"/>
  <c r="M47" i="55"/>
  <c r="N47" i="55"/>
  <c r="O47" i="55"/>
  <c r="P47" i="55"/>
  <c r="Q47" i="55"/>
  <c r="R47" i="55"/>
  <c r="S47" i="55"/>
  <c r="T47" i="55"/>
  <c r="U47" i="55"/>
  <c r="V47" i="55"/>
  <c r="W47" i="55"/>
  <c r="X47" i="55"/>
  <c r="A48" i="55"/>
  <c r="B48" i="55"/>
  <c r="D48" i="55"/>
  <c r="E48" i="55"/>
  <c r="F48" i="55"/>
  <c r="G48" i="55"/>
  <c r="H48" i="55"/>
  <c r="I48" i="55"/>
  <c r="J48" i="55"/>
  <c r="K48" i="55"/>
  <c r="L48" i="55"/>
  <c r="M48" i="55"/>
  <c r="N48" i="55"/>
  <c r="O48" i="55"/>
  <c r="P48" i="55"/>
  <c r="Q48" i="55"/>
  <c r="R48" i="55"/>
  <c r="S48" i="55"/>
  <c r="T48" i="55"/>
  <c r="U48" i="55"/>
  <c r="V48" i="55"/>
  <c r="W48" i="55"/>
  <c r="X48" i="55"/>
  <c r="A49" i="55"/>
  <c r="B49" i="55"/>
  <c r="D49" i="55"/>
  <c r="E49" i="55"/>
  <c r="F49" i="55"/>
  <c r="G49" i="55"/>
  <c r="H49" i="55"/>
  <c r="I49" i="55"/>
  <c r="J49" i="55"/>
  <c r="K49" i="55"/>
  <c r="L49" i="55"/>
  <c r="M49" i="55"/>
  <c r="N49" i="55"/>
  <c r="O49" i="55"/>
  <c r="P49" i="55"/>
  <c r="Q49" i="55"/>
  <c r="R49" i="55"/>
  <c r="S49" i="55"/>
  <c r="T49" i="55"/>
  <c r="U49" i="55"/>
  <c r="V49" i="55"/>
  <c r="W49" i="55"/>
  <c r="X49" i="55"/>
  <c r="A50" i="55"/>
  <c r="B50" i="55"/>
  <c r="D50" i="55"/>
  <c r="E50" i="55"/>
  <c r="F50" i="55"/>
  <c r="G50" i="55"/>
  <c r="H50" i="55"/>
  <c r="I50" i="55"/>
  <c r="J50" i="55"/>
  <c r="K50" i="55"/>
  <c r="L50" i="55"/>
  <c r="M50" i="55"/>
  <c r="N50" i="55"/>
  <c r="O50" i="55"/>
  <c r="P50" i="55"/>
  <c r="Q50" i="55"/>
  <c r="R50" i="55"/>
  <c r="S50" i="55"/>
  <c r="T50" i="55"/>
  <c r="U50" i="55"/>
  <c r="V50" i="55"/>
  <c r="W50" i="55"/>
  <c r="X50" i="55"/>
  <c r="A51" i="55"/>
  <c r="B51" i="55"/>
  <c r="D51" i="55"/>
  <c r="E51" i="55"/>
  <c r="F51" i="55"/>
  <c r="G51" i="55"/>
  <c r="H51" i="55"/>
  <c r="I51" i="55"/>
  <c r="J51" i="55"/>
  <c r="K51" i="55"/>
  <c r="L51" i="55"/>
  <c r="M51" i="55"/>
  <c r="N51" i="55"/>
  <c r="O51" i="55"/>
  <c r="P51" i="55"/>
  <c r="Q51" i="55"/>
  <c r="R51" i="55"/>
  <c r="S51" i="55"/>
  <c r="T51" i="55"/>
  <c r="U51" i="55"/>
  <c r="V51" i="55"/>
  <c r="W51" i="55"/>
  <c r="X51" i="55"/>
  <c r="A52" i="55"/>
  <c r="B52" i="55"/>
  <c r="D52" i="55"/>
  <c r="E52" i="55"/>
  <c r="F52" i="55"/>
  <c r="G52" i="55"/>
  <c r="H52" i="55"/>
  <c r="I52" i="55"/>
  <c r="J52" i="55"/>
  <c r="K52" i="55"/>
  <c r="L52" i="55"/>
  <c r="M52" i="55"/>
  <c r="N52" i="55"/>
  <c r="O52" i="55"/>
  <c r="P52" i="55"/>
  <c r="Q52" i="55"/>
  <c r="R52" i="55"/>
  <c r="S52" i="55"/>
  <c r="T52" i="55"/>
  <c r="U52" i="55"/>
  <c r="V52" i="55"/>
  <c r="W52" i="55"/>
  <c r="X52" i="55"/>
  <c r="A53" i="55"/>
  <c r="B53" i="55"/>
  <c r="D53" i="55"/>
  <c r="E53" i="55"/>
  <c r="F53" i="55"/>
  <c r="G53" i="55"/>
  <c r="H53" i="55"/>
  <c r="I53" i="55"/>
  <c r="J53" i="55"/>
  <c r="K53" i="55"/>
  <c r="L53" i="55"/>
  <c r="M53" i="55"/>
  <c r="N53" i="55"/>
  <c r="O53" i="55"/>
  <c r="P53" i="55"/>
  <c r="Q53" i="55"/>
  <c r="R53" i="55"/>
  <c r="S53" i="55"/>
  <c r="T53" i="55"/>
  <c r="U53" i="55"/>
  <c r="V53" i="55"/>
  <c r="W53" i="55"/>
  <c r="X53" i="55"/>
  <c r="A54" i="55"/>
  <c r="B54" i="55"/>
  <c r="D54" i="55"/>
  <c r="E54" i="55"/>
  <c r="F54" i="55"/>
  <c r="G54" i="55"/>
  <c r="H54" i="55"/>
  <c r="I54" i="55"/>
  <c r="J54" i="55"/>
  <c r="K54" i="55"/>
  <c r="L54" i="55"/>
  <c r="M54" i="55"/>
  <c r="N54" i="55"/>
  <c r="O54" i="55"/>
  <c r="P54" i="55"/>
  <c r="Q54" i="55"/>
  <c r="R54" i="55"/>
  <c r="S54" i="55"/>
  <c r="T54" i="55"/>
  <c r="U54" i="55"/>
  <c r="V54" i="55"/>
  <c r="W54" i="55"/>
  <c r="X54" i="55"/>
  <c r="A55" i="55"/>
  <c r="B55" i="55"/>
  <c r="D55" i="55"/>
  <c r="E55" i="55"/>
  <c r="F55" i="55"/>
  <c r="G55" i="55"/>
  <c r="H55" i="55"/>
  <c r="I55" i="55"/>
  <c r="J55" i="55"/>
  <c r="K55" i="55"/>
  <c r="L55" i="55"/>
  <c r="M55" i="55"/>
  <c r="N55" i="55"/>
  <c r="O55" i="55"/>
  <c r="P55" i="55"/>
  <c r="Q55" i="55"/>
  <c r="R55" i="55"/>
  <c r="S55" i="55"/>
  <c r="T55" i="55"/>
  <c r="U55" i="55"/>
  <c r="V55" i="55"/>
  <c r="W55" i="55"/>
  <c r="X55" i="55"/>
  <c r="A56" i="55"/>
  <c r="B56" i="55"/>
  <c r="D56" i="55"/>
  <c r="E56" i="55"/>
  <c r="F56" i="55"/>
  <c r="G56" i="55"/>
  <c r="H56" i="55"/>
  <c r="I56" i="55"/>
  <c r="J56" i="55"/>
  <c r="K56" i="55"/>
  <c r="L56" i="55"/>
  <c r="M56" i="55"/>
  <c r="N56" i="55"/>
  <c r="O56" i="55"/>
  <c r="P56" i="55"/>
  <c r="Q56" i="55"/>
  <c r="R56" i="55"/>
  <c r="S56" i="55"/>
  <c r="T56" i="55"/>
  <c r="U56" i="55"/>
  <c r="V56" i="55"/>
  <c r="W56" i="55"/>
  <c r="X56" i="55"/>
  <c r="A57" i="55"/>
  <c r="B57" i="55"/>
  <c r="D57" i="55"/>
  <c r="E57" i="55"/>
  <c r="F57" i="55"/>
  <c r="G57" i="55"/>
  <c r="H57" i="55"/>
  <c r="I57" i="55"/>
  <c r="J57" i="55"/>
  <c r="K57" i="55"/>
  <c r="L57" i="55"/>
  <c r="M57" i="55"/>
  <c r="N57" i="55"/>
  <c r="O57" i="55"/>
  <c r="P57" i="55"/>
  <c r="Q57" i="55"/>
  <c r="R57" i="55"/>
  <c r="S57" i="55"/>
  <c r="T57" i="55"/>
  <c r="U57" i="55"/>
  <c r="V57" i="55"/>
  <c r="W57" i="55"/>
  <c r="X57" i="55"/>
  <c r="A58" i="55"/>
  <c r="B58" i="55"/>
  <c r="D58" i="55"/>
  <c r="E58" i="55"/>
  <c r="F58" i="55"/>
  <c r="G58" i="55"/>
  <c r="H58" i="55"/>
  <c r="I58" i="55"/>
  <c r="J58" i="55"/>
  <c r="K58" i="55"/>
  <c r="L58" i="55"/>
  <c r="M58" i="55"/>
  <c r="N58" i="55"/>
  <c r="O58" i="55"/>
  <c r="P58" i="55"/>
  <c r="Q58" i="55"/>
  <c r="R58" i="55"/>
  <c r="S58" i="55"/>
  <c r="T58" i="55"/>
  <c r="U58" i="55"/>
  <c r="V58" i="55"/>
  <c r="W58" i="55"/>
  <c r="X58" i="55"/>
  <c r="D60" i="55"/>
  <c r="E60" i="55"/>
  <c r="F60" i="55"/>
  <c r="G60" i="55"/>
  <c r="H60" i="55"/>
  <c r="I60" i="55"/>
  <c r="J60" i="55"/>
  <c r="K60" i="55"/>
  <c r="L60" i="55"/>
  <c r="M60" i="55"/>
  <c r="N60" i="55"/>
  <c r="O60" i="55"/>
  <c r="P60" i="55"/>
  <c r="Q60" i="55"/>
  <c r="R60" i="55"/>
  <c r="S60" i="55"/>
  <c r="T60" i="55"/>
  <c r="U60" i="55"/>
  <c r="V60" i="55"/>
  <c r="W60" i="55"/>
  <c r="X60" i="55"/>
  <c r="D61" i="55"/>
  <c r="E61" i="55"/>
  <c r="F61" i="55"/>
  <c r="G61" i="55"/>
  <c r="H61" i="55"/>
  <c r="I61" i="55"/>
  <c r="J61" i="55"/>
  <c r="K61" i="55"/>
  <c r="L61" i="55"/>
  <c r="M61" i="55"/>
  <c r="N61" i="55"/>
  <c r="O61" i="55"/>
  <c r="P61" i="55"/>
  <c r="Q61" i="55"/>
  <c r="R61" i="55"/>
  <c r="S61" i="55"/>
  <c r="T61" i="55"/>
  <c r="U61" i="55"/>
  <c r="V61" i="55"/>
  <c r="W61" i="55"/>
  <c r="X61" i="55"/>
  <c r="D63" i="55"/>
  <c r="E63" i="55"/>
  <c r="F63" i="55"/>
  <c r="G63" i="55"/>
  <c r="H63" i="55"/>
  <c r="I63" i="55"/>
  <c r="J63" i="55"/>
  <c r="K63" i="55"/>
  <c r="L63" i="55"/>
  <c r="M63" i="55"/>
  <c r="N63" i="55"/>
  <c r="O63" i="55"/>
  <c r="P63" i="55"/>
  <c r="Q63" i="55"/>
  <c r="R63" i="55"/>
  <c r="S63" i="55"/>
  <c r="T63" i="55"/>
  <c r="U63" i="55"/>
  <c r="V63" i="55"/>
  <c r="W63" i="55"/>
  <c r="X63" i="55"/>
  <c r="A2" i="65"/>
  <c r="D5" i="65"/>
  <c r="E5" i="65"/>
  <c r="F5" i="65"/>
  <c r="G5" i="65"/>
  <c r="H5" i="65"/>
  <c r="I5" i="65"/>
  <c r="J5" i="65"/>
  <c r="K5" i="65"/>
  <c r="L5" i="65"/>
  <c r="M5" i="65"/>
  <c r="N5" i="65"/>
  <c r="O5" i="65"/>
  <c r="P5" i="65"/>
  <c r="Q5" i="65"/>
  <c r="R5" i="65"/>
  <c r="S5" i="65"/>
  <c r="T5" i="65"/>
  <c r="U5" i="65"/>
  <c r="V5" i="65"/>
  <c r="W5" i="65"/>
  <c r="D6" i="65"/>
  <c r="E6" i="65"/>
  <c r="F6" i="65"/>
  <c r="G6" i="65"/>
  <c r="H6" i="65"/>
  <c r="I6" i="65"/>
  <c r="J6" i="65"/>
  <c r="K6" i="65"/>
  <c r="L6" i="65"/>
  <c r="M6" i="65"/>
  <c r="N6" i="65"/>
  <c r="O6" i="65"/>
  <c r="P6" i="65"/>
  <c r="Q6" i="65"/>
  <c r="R6" i="65"/>
  <c r="S6" i="65"/>
  <c r="T6" i="65"/>
  <c r="U6" i="65"/>
  <c r="V6" i="65"/>
  <c r="W6" i="65"/>
  <c r="D7" i="65"/>
  <c r="E7" i="65"/>
  <c r="F7" i="65"/>
  <c r="G7" i="65"/>
  <c r="H7" i="65"/>
  <c r="I7" i="65"/>
  <c r="J7" i="65"/>
  <c r="K7" i="65"/>
  <c r="L7" i="65"/>
  <c r="M7" i="65"/>
  <c r="N7" i="65"/>
  <c r="O7" i="65"/>
  <c r="P7" i="65"/>
  <c r="Q7" i="65"/>
  <c r="R7" i="65"/>
  <c r="S7" i="65"/>
  <c r="T7" i="65"/>
  <c r="U7" i="65"/>
  <c r="V7" i="65"/>
  <c r="W7" i="65"/>
  <c r="D8" i="65"/>
  <c r="E8" i="65"/>
  <c r="F8" i="65"/>
  <c r="G8" i="65"/>
  <c r="H8" i="65"/>
  <c r="I8" i="65"/>
  <c r="J8" i="65"/>
  <c r="K8" i="65"/>
  <c r="L8" i="65"/>
  <c r="M8" i="65"/>
  <c r="N8" i="65"/>
  <c r="O8" i="65"/>
  <c r="P8" i="65"/>
  <c r="Q8" i="65"/>
  <c r="R8" i="65"/>
  <c r="S8" i="65"/>
  <c r="T8" i="65"/>
  <c r="U8" i="65"/>
  <c r="V8" i="65"/>
  <c r="W8" i="65"/>
  <c r="D10" i="65"/>
  <c r="E10" i="65"/>
  <c r="F10" i="65"/>
  <c r="G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A14" i="65"/>
  <c r="B14" i="65"/>
  <c r="C14" i="65"/>
  <c r="D14" i="65"/>
  <c r="E14" i="65"/>
  <c r="F14" i="65"/>
  <c r="G14" i="65"/>
  <c r="H14" i="65"/>
  <c r="I14" i="65"/>
  <c r="J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X14" i="65"/>
  <c r="A15" i="65"/>
  <c r="B15" i="65"/>
  <c r="C15" i="65"/>
  <c r="D15" i="65"/>
  <c r="E15" i="65"/>
  <c r="F15" i="65"/>
  <c r="G15" i="65"/>
  <c r="H15" i="65"/>
  <c r="I15" i="65"/>
  <c r="J15" i="65"/>
  <c r="K15" i="65"/>
  <c r="L15" i="65"/>
  <c r="M15" i="65"/>
  <c r="N15" i="65"/>
  <c r="O15" i="65"/>
  <c r="P15" i="65"/>
  <c r="Q15" i="65"/>
  <c r="R15" i="65"/>
  <c r="S15" i="65"/>
  <c r="T15" i="65"/>
  <c r="U15" i="65"/>
  <c r="V15" i="65"/>
  <c r="W15" i="65"/>
  <c r="X15" i="65"/>
  <c r="A16" i="65"/>
  <c r="B16" i="65"/>
  <c r="C16" i="65"/>
  <c r="D16" i="65"/>
  <c r="E16" i="65"/>
  <c r="F16" i="65"/>
  <c r="G16" i="65"/>
  <c r="H16" i="65"/>
  <c r="I16" i="65"/>
  <c r="J16" i="65"/>
  <c r="K16" i="65"/>
  <c r="L16" i="65"/>
  <c r="M16" i="65"/>
  <c r="N16" i="65"/>
  <c r="O16" i="65"/>
  <c r="P16" i="65"/>
  <c r="Q16" i="65"/>
  <c r="R16" i="65"/>
  <c r="S16" i="65"/>
  <c r="T16" i="65"/>
  <c r="U16" i="65"/>
  <c r="V16" i="65"/>
  <c r="W16" i="65"/>
  <c r="X16" i="65"/>
  <c r="A17" i="65"/>
  <c r="B17" i="65"/>
  <c r="C17" i="65"/>
  <c r="D17" i="65"/>
  <c r="E17" i="65"/>
  <c r="F17" i="65"/>
  <c r="G17" i="65"/>
  <c r="H17" i="65"/>
  <c r="I17" i="65"/>
  <c r="J17" i="65"/>
  <c r="K17" i="65"/>
  <c r="L17" i="65"/>
  <c r="M17" i="65"/>
  <c r="N17" i="65"/>
  <c r="O17" i="65"/>
  <c r="P17" i="65"/>
  <c r="Q17" i="65"/>
  <c r="R17" i="65"/>
  <c r="S17" i="65"/>
  <c r="T17" i="65"/>
  <c r="U17" i="65"/>
  <c r="V17" i="65"/>
  <c r="W17" i="65"/>
  <c r="X17" i="65"/>
  <c r="A18" i="65"/>
  <c r="B18" i="65"/>
  <c r="C18" i="65"/>
  <c r="D18" i="65"/>
  <c r="E18" i="65"/>
  <c r="F18" i="65"/>
  <c r="G18" i="65"/>
  <c r="H18" i="65"/>
  <c r="I18" i="65"/>
  <c r="J18" i="65"/>
  <c r="K18" i="65"/>
  <c r="L18" i="65"/>
  <c r="M18" i="65"/>
  <c r="N18" i="65"/>
  <c r="O18" i="65"/>
  <c r="P18" i="65"/>
  <c r="Q18" i="65"/>
  <c r="R18" i="65"/>
  <c r="S18" i="65"/>
  <c r="T18" i="65"/>
  <c r="U18" i="65"/>
  <c r="V18" i="65"/>
  <c r="W18" i="65"/>
  <c r="X18" i="65"/>
  <c r="A19" i="65"/>
  <c r="B19" i="65"/>
  <c r="C19" i="65"/>
  <c r="D19" i="65"/>
  <c r="E19" i="65"/>
  <c r="F19" i="65"/>
  <c r="G19" i="65"/>
  <c r="H19" i="65"/>
  <c r="I19" i="65"/>
  <c r="J19" i="65"/>
  <c r="K19" i="65"/>
  <c r="L19" i="65"/>
  <c r="M19" i="65"/>
  <c r="N19" i="65"/>
  <c r="O19" i="65"/>
  <c r="P19" i="65"/>
  <c r="Q19" i="65"/>
  <c r="R19" i="65"/>
  <c r="S19" i="65"/>
  <c r="T19" i="65"/>
  <c r="U19" i="65"/>
  <c r="V19" i="65"/>
  <c r="W19" i="65"/>
  <c r="X19" i="65"/>
  <c r="A20" i="65"/>
  <c r="B20" i="65"/>
  <c r="C20" i="65"/>
  <c r="D20" i="65"/>
  <c r="E20" i="65"/>
  <c r="F20" i="65"/>
  <c r="G20" i="65"/>
  <c r="H20" i="65"/>
  <c r="I20" i="65"/>
  <c r="J20" i="65"/>
  <c r="K20" i="65"/>
  <c r="L20" i="65"/>
  <c r="M20" i="65"/>
  <c r="N20" i="65"/>
  <c r="O20" i="65"/>
  <c r="P20" i="65"/>
  <c r="Q20" i="65"/>
  <c r="R20" i="65"/>
  <c r="S20" i="65"/>
  <c r="T20" i="65"/>
  <c r="U20" i="65"/>
  <c r="V20" i="65"/>
  <c r="W20" i="65"/>
  <c r="X20" i="65"/>
  <c r="A21" i="65"/>
  <c r="B21" i="65"/>
  <c r="C21" i="65"/>
  <c r="D21" i="65"/>
  <c r="E21" i="65"/>
  <c r="F21" i="65"/>
  <c r="G21" i="65"/>
  <c r="H21" i="65"/>
  <c r="I21" i="65"/>
  <c r="J21" i="65"/>
  <c r="K21" i="65"/>
  <c r="L21" i="65"/>
  <c r="M21" i="65"/>
  <c r="N21" i="65"/>
  <c r="O21" i="65"/>
  <c r="P21" i="65"/>
  <c r="Q21" i="65"/>
  <c r="R21" i="65"/>
  <c r="S21" i="65"/>
  <c r="T21" i="65"/>
  <c r="U21" i="65"/>
  <c r="V21" i="65"/>
  <c r="W21" i="65"/>
  <c r="X21" i="65"/>
  <c r="A22" i="65"/>
  <c r="B22" i="65"/>
  <c r="C22" i="65"/>
  <c r="D22" i="65"/>
  <c r="E22" i="65"/>
  <c r="F22" i="65"/>
  <c r="G22" i="65"/>
  <c r="H22" i="65"/>
  <c r="I22" i="65"/>
  <c r="J22" i="65"/>
  <c r="K22" i="65"/>
  <c r="L22" i="65"/>
  <c r="M22" i="65"/>
  <c r="N22" i="65"/>
  <c r="O22" i="65"/>
  <c r="P22" i="65"/>
  <c r="Q22" i="65"/>
  <c r="R22" i="65"/>
  <c r="S22" i="65"/>
  <c r="T22" i="65"/>
  <c r="U22" i="65"/>
  <c r="V22" i="65"/>
  <c r="W22" i="65"/>
  <c r="X22" i="65"/>
  <c r="A23" i="65"/>
  <c r="B23" i="65"/>
  <c r="C23" i="65"/>
  <c r="D23" i="65"/>
  <c r="E23" i="65"/>
  <c r="F23" i="65"/>
  <c r="G23" i="65"/>
  <c r="H23" i="65"/>
  <c r="I23" i="65"/>
  <c r="J23" i="65"/>
  <c r="K23" i="65"/>
  <c r="L23" i="65"/>
  <c r="M23" i="65"/>
  <c r="N23" i="65"/>
  <c r="O23" i="65"/>
  <c r="P23" i="65"/>
  <c r="Q23" i="65"/>
  <c r="R23" i="65"/>
  <c r="S23" i="65"/>
  <c r="T23" i="65"/>
  <c r="U23" i="65"/>
  <c r="V23" i="65"/>
  <c r="W23" i="65"/>
  <c r="X23" i="65"/>
  <c r="A24" i="65"/>
  <c r="B24" i="65"/>
  <c r="C24" i="65"/>
  <c r="D24" i="65"/>
  <c r="E24" i="65"/>
  <c r="F24" i="65"/>
  <c r="G24" i="65"/>
  <c r="H24" i="65"/>
  <c r="I24" i="65"/>
  <c r="J24" i="65"/>
  <c r="K24" i="65"/>
  <c r="L24" i="65"/>
  <c r="M24" i="65"/>
  <c r="N24" i="65"/>
  <c r="O24" i="65"/>
  <c r="P24" i="65"/>
  <c r="Q24" i="65"/>
  <c r="R24" i="65"/>
  <c r="S24" i="65"/>
  <c r="T24" i="65"/>
  <c r="U24" i="65"/>
  <c r="V24" i="65"/>
  <c r="W24" i="65"/>
  <c r="X24" i="65"/>
  <c r="A25" i="65"/>
  <c r="B25" i="65"/>
  <c r="C25" i="65"/>
  <c r="D25" i="65"/>
  <c r="E25" i="65"/>
  <c r="F25" i="65"/>
  <c r="G25" i="65"/>
  <c r="H25" i="65"/>
  <c r="I25" i="65"/>
  <c r="J25" i="65"/>
  <c r="K25" i="65"/>
  <c r="L25" i="65"/>
  <c r="M25" i="65"/>
  <c r="N25" i="65"/>
  <c r="O25" i="65"/>
  <c r="P25" i="65"/>
  <c r="Q25" i="65"/>
  <c r="R25" i="65"/>
  <c r="S25" i="65"/>
  <c r="T25" i="65"/>
  <c r="U25" i="65"/>
  <c r="V25" i="65"/>
  <c r="W25" i="65"/>
  <c r="X25" i="65"/>
  <c r="A26" i="65"/>
  <c r="B26" i="65"/>
  <c r="C26" i="65"/>
  <c r="D26" i="65"/>
  <c r="E26" i="65"/>
  <c r="F26" i="65"/>
  <c r="G26" i="65"/>
  <c r="H26" i="65"/>
  <c r="I26" i="65"/>
  <c r="J26" i="65"/>
  <c r="K26" i="65"/>
  <c r="L26" i="65"/>
  <c r="M26" i="65"/>
  <c r="N26" i="65"/>
  <c r="O26" i="65"/>
  <c r="P26" i="65"/>
  <c r="Q26" i="65"/>
  <c r="R26" i="65"/>
  <c r="S26" i="65"/>
  <c r="T26" i="65"/>
  <c r="U26" i="65"/>
  <c r="V26" i="65"/>
  <c r="W26" i="65"/>
  <c r="X26" i="65"/>
  <c r="A27" i="65"/>
  <c r="B27" i="65"/>
  <c r="C27" i="65"/>
  <c r="D27" i="65"/>
  <c r="E27" i="65"/>
  <c r="F27" i="65"/>
  <c r="G27" i="65"/>
  <c r="H27" i="65"/>
  <c r="I27" i="65"/>
  <c r="J27" i="65"/>
  <c r="K27" i="65"/>
  <c r="L27" i="65"/>
  <c r="M27" i="65"/>
  <c r="N27" i="65"/>
  <c r="O27" i="65"/>
  <c r="P27" i="65"/>
  <c r="Q27" i="65"/>
  <c r="R27" i="65"/>
  <c r="S27" i="65"/>
  <c r="T27" i="65"/>
  <c r="U27" i="65"/>
  <c r="V27" i="65"/>
  <c r="W27" i="65"/>
  <c r="X27" i="65"/>
  <c r="A28" i="65"/>
  <c r="B28" i="65"/>
  <c r="C28" i="65"/>
  <c r="D28" i="65"/>
  <c r="E28" i="65"/>
  <c r="F28" i="65"/>
  <c r="G28" i="65"/>
  <c r="H28" i="65"/>
  <c r="I28" i="65"/>
  <c r="J28" i="65"/>
  <c r="K28" i="65"/>
  <c r="L28" i="65"/>
  <c r="M28" i="65"/>
  <c r="N28" i="65"/>
  <c r="O28" i="65"/>
  <c r="P28" i="65"/>
  <c r="Q28" i="65"/>
  <c r="R28" i="65"/>
  <c r="S28" i="65"/>
  <c r="T28" i="65"/>
  <c r="U28" i="65"/>
  <c r="V28" i="65"/>
  <c r="W28" i="65"/>
  <c r="X28" i="65"/>
  <c r="A29" i="65"/>
  <c r="B29" i="65"/>
  <c r="C29" i="65"/>
  <c r="D29" i="65"/>
  <c r="E29" i="65"/>
  <c r="F29" i="65"/>
  <c r="G29" i="65"/>
  <c r="H29" i="65"/>
  <c r="I29" i="65"/>
  <c r="J29" i="65"/>
  <c r="K29" i="65"/>
  <c r="L29" i="65"/>
  <c r="M29" i="65"/>
  <c r="N29" i="65"/>
  <c r="O29" i="65"/>
  <c r="P29" i="65"/>
  <c r="Q29" i="65"/>
  <c r="R29" i="65"/>
  <c r="S29" i="65"/>
  <c r="T29" i="65"/>
  <c r="U29" i="65"/>
  <c r="V29" i="65"/>
  <c r="W29" i="65"/>
  <c r="X29" i="65"/>
  <c r="A30" i="65"/>
  <c r="B30" i="65"/>
  <c r="C30" i="65"/>
  <c r="D30" i="65"/>
  <c r="E30" i="65"/>
  <c r="F30" i="65"/>
  <c r="G30" i="65"/>
  <c r="H30" i="65"/>
  <c r="I30" i="65"/>
  <c r="J30" i="65"/>
  <c r="K30" i="65"/>
  <c r="L30" i="65"/>
  <c r="M30" i="65"/>
  <c r="N30" i="65"/>
  <c r="O30" i="65"/>
  <c r="P30" i="65"/>
  <c r="Q30" i="65"/>
  <c r="R30" i="65"/>
  <c r="S30" i="65"/>
  <c r="T30" i="65"/>
  <c r="U30" i="65"/>
  <c r="V30" i="65"/>
  <c r="W30" i="65"/>
  <c r="X30" i="65"/>
  <c r="A31" i="65"/>
  <c r="B31" i="65"/>
  <c r="C31" i="65"/>
  <c r="D31" i="65"/>
  <c r="E31" i="65"/>
  <c r="F31" i="65"/>
  <c r="G31" i="65"/>
  <c r="H31" i="65"/>
  <c r="I31" i="65"/>
  <c r="J31" i="65"/>
  <c r="K31" i="65"/>
  <c r="L31" i="65"/>
  <c r="M31" i="65"/>
  <c r="N31" i="65"/>
  <c r="O31" i="65"/>
  <c r="P31" i="65"/>
  <c r="Q31" i="65"/>
  <c r="R31" i="65"/>
  <c r="S31" i="65"/>
  <c r="T31" i="65"/>
  <c r="U31" i="65"/>
  <c r="V31" i="65"/>
  <c r="W31" i="65"/>
  <c r="X31" i="65"/>
  <c r="A32" i="65"/>
  <c r="B32" i="65"/>
  <c r="C32" i="65"/>
  <c r="D32" i="65"/>
  <c r="E32" i="65"/>
  <c r="F32" i="65"/>
  <c r="G32" i="65"/>
  <c r="H32" i="65"/>
  <c r="I32" i="65"/>
  <c r="J32" i="65"/>
  <c r="K32" i="65"/>
  <c r="L32" i="65"/>
  <c r="M32" i="65"/>
  <c r="N32" i="65"/>
  <c r="O32" i="65"/>
  <c r="P32" i="65"/>
  <c r="Q32" i="65"/>
  <c r="R32" i="65"/>
  <c r="S32" i="65"/>
  <c r="T32" i="65"/>
  <c r="U32" i="65"/>
  <c r="V32" i="65"/>
  <c r="W32" i="65"/>
  <c r="X32" i="65"/>
  <c r="C33" i="65"/>
  <c r="D33" i="65"/>
  <c r="E33" i="65"/>
  <c r="F33" i="65"/>
  <c r="G33" i="65"/>
  <c r="H33" i="65"/>
  <c r="I33" i="65"/>
  <c r="J33" i="65"/>
  <c r="K33" i="65"/>
  <c r="L33" i="65"/>
  <c r="M33" i="65"/>
  <c r="N33" i="65"/>
  <c r="O33" i="65"/>
  <c r="P33" i="65"/>
  <c r="Q33" i="65"/>
  <c r="R33" i="65"/>
  <c r="S33" i="65"/>
  <c r="T33" i="65"/>
  <c r="U33" i="65"/>
  <c r="V33" i="65"/>
  <c r="W33" i="65"/>
  <c r="X33" i="65"/>
  <c r="C34" i="65"/>
  <c r="D34" i="65"/>
  <c r="E34" i="65"/>
  <c r="F34" i="65"/>
  <c r="G34" i="65"/>
  <c r="H34" i="65"/>
  <c r="I34" i="65"/>
  <c r="J34" i="65"/>
  <c r="K34" i="65"/>
  <c r="L34" i="65"/>
  <c r="M34" i="65"/>
  <c r="N34" i="65"/>
  <c r="O34" i="65"/>
  <c r="P34" i="65"/>
  <c r="Q34" i="65"/>
  <c r="R34" i="65"/>
  <c r="S34" i="65"/>
  <c r="T34" i="65"/>
  <c r="U34" i="65"/>
  <c r="V34" i="65"/>
  <c r="W34" i="65"/>
  <c r="X34" i="65"/>
  <c r="C35" i="65"/>
  <c r="D35" i="65"/>
  <c r="E35" i="65"/>
  <c r="F35" i="65"/>
  <c r="G35" i="65"/>
  <c r="H35" i="65"/>
  <c r="I35" i="65"/>
  <c r="J35" i="65"/>
  <c r="K35" i="65"/>
  <c r="L35" i="65"/>
  <c r="M35" i="65"/>
  <c r="N35" i="65"/>
  <c r="O35" i="65"/>
  <c r="P35" i="65"/>
  <c r="Q35" i="65"/>
  <c r="R35" i="65"/>
  <c r="S35" i="65"/>
  <c r="T35" i="65"/>
  <c r="U35" i="65"/>
  <c r="V35" i="65"/>
  <c r="W35" i="65"/>
  <c r="X35" i="65"/>
  <c r="A40" i="65"/>
  <c r="B40" i="65"/>
  <c r="D40" i="65"/>
  <c r="E40" i="65"/>
  <c r="F40" i="65"/>
  <c r="G40" i="65"/>
  <c r="H40" i="65"/>
  <c r="I40" i="65"/>
  <c r="J40" i="65"/>
  <c r="K40" i="65"/>
  <c r="L40" i="65"/>
  <c r="M40" i="65"/>
  <c r="N40" i="65"/>
  <c r="O40" i="65"/>
  <c r="P40" i="65"/>
  <c r="Q40" i="65"/>
  <c r="R40" i="65"/>
  <c r="S40" i="65"/>
  <c r="T40" i="65"/>
  <c r="U40" i="65"/>
  <c r="V40" i="65"/>
  <c r="W40" i="65"/>
  <c r="X40" i="65"/>
  <c r="A41" i="65"/>
  <c r="B41" i="65"/>
  <c r="D41" i="65"/>
  <c r="E41" i="65"/>
  <c r="F41" i="65"/>
  <c r="G41" i="65"/>
  <c r="H41" i="65"/>
  <c r="I41" i="65"/>
  <c r="J41" i="65"/>
  <c r="K41" i="65"/>
  <c r="L41" i="65"/>
  <c r="M41" i="65"/>
  <c r="N41" i="65"/>
  <c r="O41" i="65"/>
  <c r="P41" i="65"/>
  <c r="Q41" i="65"/>
  <c r="R41" i="65"/>
  <c r="S41" i="65"/>
  <c r="T41" i="65"/>
  <c r="U41" i="65"/>
  <c r="V41" i="65"/>
  <c r="W41" i="65"/>
  <c r="X41" i="65"/>
  <c r="A42" i="65"/>
  <c r="B42" i="65"/>
  <c r="D42" i="65"/>
  <c r="E42" i="65"/>
  <c r="F42" i="65"/>
  <c r="G42" i="65"/>
  <c r="H42" i="65"/>
  <c r="I42" i="65"/>
  <c r="J42" i="65"/>
  <c r="K42" i="65"/>
  <c r="L42" i="65"/>
  <c r="M42" i="65"/>
  <c r="N42" i="65"/>
  <c r="O42" i="65"/>
  <c r="P42" i="65"/>
  <c r="Q42" i="65"/>
  <c r="R42" i="65"/>
  <c r="S42" i="65"/>
  <c r="T42" i="65"/>
  <c r="U42" i="65"/>
  <c r="V42" i="65"/>
  <c r="W42" i="65"/>
  <c r="X42" i="65"/>
  <c r="A43" i="65"/>
  <c r="B43" i="65"/>
  <c r="D43" i="65"/>
  <c r="E43" i="65"/>
  <c r="F43" i="65"/>
  <c r="G43" i="65"/>
  <c r="H43" i="65"/>
  <c r="I43" i="65"/>
  <c r="J43" i="65"/>
  <c r="K43" i="65"/>
  <c r="L43" i="65"/>
  <c r="M43" i="65"/>
  <c r="N43" i="65"/>
  <c r="O43" i="65"/>
  <c r="P43" i="65"/>
  <c r="Q43" i="65"/>
  <c r="R43" i="65"/>
  <c r="S43" i="65"/>
  <c r="T43" i="65"/>
  <c r="U43" i="65"/>
  <c r="V43" i="65"/>
  <c r="W43" i="65"/>
  <c r="X43" i="65"/>
  <c r="A44" i="65"/>
  <c r="B44" i="65"/>
  <c r="D44" i="65"/>
  <c r="E44" i="65"/>
  <c r="F44" i="65"/>
  <c r="G44" i="65"/>
  <c r="H44" i="65"/>
  <c r="I44" i="65"/>
  <c r="J44" i="65"/>
  <c r="K44" i="65"/>
  <c r="L44" i="65"/>
  <c r="M44" i="65"/>
  <c r="N44" i="65"/>
  <c r="O44" i="65"/>
  <c r="P44" i="65"/>
  <c r="Q44" i="65"/>
  <c r="R44" i="65"/>
  <c r="S44" i="65"/>
  <c r="T44" i="65"/>
  <c r="U44" i="65"/>
  <c r="V44" i="65"/>
  <c r="W44" i="65"/>
  <c r="X44" i="65"/>
  <c r="A45" i="65"/>
  <c r="B45" i="65"/>
  <c r="D45" i="65"/>
  <c r="E45" i="65"/>
  <c r="F45" i="65"/>
  <c r="G45" i="65"/>
  <c r="H45" i="65"/>
  <c r="I45" i="65"/>
  <c r="J45" i="65"/>
  <c r="K45" i="65"/>
  <c r="L45" i="65"/>
  <c r="M45" i="65"/>
  <c r="N45" i="65"/>
  <c r="O45" i="65"/>
  <c r="P45" i="65"/>
  <c r="Q45" i="65"/>
  <c r="R45" i="65"/>
  <c r="S45" i="65"/>
  <c r="T45" i="65"/>
  <c r="U45" i="65"/>
  <c r="V45" i="65"/>
  <c r="W45" i="65"/>
  <c r="X45" i="65"/>
  <c r="A46" i="65"/>
  <c r="B46" i="65"/>
  <c r="D46" i="65"/>
  <c r="E46" i="65"/>
  <c r="F46" i="65"/>
  <c r="G46" i="65"/>
  <c r="H46" i="65"/>
  <c r="I46" i="65"/>
  <c r="J46" i="65"/>
  <c r="K46" i="65"/>
  <c r="L46" i="65"/>
  <c r="M46" i="65"/>
  <c r="N46" i="65"/>
  <c r="O46" i="65"/>
  <c r="P46" i="65"/>
  <c r="Q46" i="65"/>
  <c r="R46" i="65"/>
  <c r="S46" i="65"/>
  <c r="T46" i="65"/>
  <c r="U46" i="65"/>
  <c r="V46" i="65"/>
  <c r="W46" i="65"/>
  <c r="X46" i="65"/>
  <c r="A47" i="65"/>
  <c r="B47" i="65"/>
  <c r="D47" i="65"/>
  <c r="E47" i="65"/>
  <c r="F47" i="65"/>
  <c r="G47" i="65"/>
  <c r="H47" i="65"/>
  <c r="I47" i="65"/>
  <c r="J47" i="65"/>
  <c r="K47" i="65"/>
  <c r="L47" i="65"/>
  <c r="M47" i="65"/>
  <c r="N47" i="65"/>
  <c r="O47" i="65"/>
  <c r="P47" i="65"/>
  <c r="Q47" i="65"/>
  <c r="R47" i="65"/>
  <c r="S47" i="65"/>
  <c r="T47" i="65"/>
  <c r="U47" i="65"/>
  <c r="V47" i="65"/>
  <c r="W47" i="65"/>
  <c r="X47" i="65"/>
  <c r="A48" i="65"/>
  <c r="B48" i="65"/>
  <c r="D48" i="65"/>
  <c r="E48" i="65"/>
  <c r="F48" i="65"/>
  <c r="G48" i="65"/>
  <c r="H48" i="65"/>
  <c r="I48" i="65"/>
  <c r="J48" i="65"/>
  <c r="K48" i="65"/>
  <c r="L48" i="65"/>
  <c r="M48" i="65"/>
  <c r="N48" i="65"/>
  <c r="O48" i="65"/>
  <c r="P48" i="65"/>
  <c r="Q48" i="65"/>
  <c r="R48" i="65"/>
  <c r="S48" i="65"/>
  <c r="T48" i="65"/>
  <c r="U48" i="65"/>
  <c r="V48" i="65"/>
  <c r="W48" i="65"/>
  <c r="X48" i="65"/>
  <c r="A49" i="65"/>
  <c r="B49" i="65"/>
  <c r="D49" i="65"/>
  <c r="E49" i="65"/>
  <c r="F49" i="65"/>
  <c r="G49" i="65"/>
  <c r="H49" i="65"/>
  <c r="I49" i="65"/>
  <c r="J49" i="65"/>
  <c r="K49" i="65"/>
  <c r="L49" i="65"/>
  <c r="M49" i="65"/>
  <c r="N49" i="65"/>
  <c r="O49" i="65"/>
  <c r="P49" i="65"/>
  <c r="Q49" i="65"/>
  <c r="R49" i="65"/>
  <c r="S49" i="65"/>
  <c r="T49" i="65"/>
  <c r="U49" i="65"/>
  <c r="V49" i="65"/>
  <c r="W49" i="65"/>
  <c r="X49" i="65"/>
  <c r="A50" i="65"/>
  <c r="B50" i="65"/>
  <c r="D50" i="65"/>
  <c r="E50" i="65"/>
  <c r="F50" i="65"/>
  <c r="G50" i="65"/>
  <c r="H50" i="65"/>
  <c r="I50" i="65"/>
  <c r="J50" i="65"/>
  <c r="K50" i="65"/>
  <c r="L50" i="65"/>
  <c r="M50" i="65"/>
  <c r="N50" i="65"/>
  <c r="O50" i="65"/>
  <c r="P50" i="65"/>
  <c r="Q50" i="65"/>
  <c r="R50" i="65"/>
  <c r="S50" i="65"/>
  <c r="T50" i="65"/>
  <c r="U50" i="65"/>
  <c r="V50" i="65"/>
  <c r="W50" i="65"/>
  <c r="X50" i="65"/>
  <c r="A51" i="65"/>
  <c r="B51" i="65"/>
  <c r="D51" i="65"/>
  <c r="E51" i="65"/>
  <c r="F51" i="65"/>
  <c r="G51" i="65"/>
  <c r="H51" i="65"/>
  <c r="I51" i="65"/>
  <c r="J51" i="65"/>
  <c r="K51" i="65"/>
  <c r="L51" i="65"/>
  <c r="M51" i="65"/>
  <c r="N51" i="65"/>
  <c r="O51" i="65"/>
  <c r="P51" i="65"/>
  <c r="Q51" i="65"/>
  <c r="R51" i="65"/>
  <c r="S51" i="65"/>
  <c r="T51" i="65"/>
  <c r="U51" i="65"/>
  <c r="V51" i="65"/>
  <c r="W51" i="65"/>
  <c r="X51" i="65"/>
  <c r="A52" i="65"/>
  <c r="B52" i="65"/>
  <c r="D52" i="65"/>
  <c r="E52" i="65"/>
  <c r="F52" i="65"/>
  <c r="G52" i="65"/>
  <c r="H52" i="65"/>
  <c r="I52" i="65"/>
  <c r="J52" i="65"/>
  <c r="K52" i="65"/>
  <c r="L52" i="65"/>
  <c r="M52" i="65"/>
  <c r="N52" i="65"/>
  <c r="O52" i="65"/>
  <c r="P52" i="65"/>
  <c r="Q52" i="65"/>
  <c r="R52" i="65"/>
  <c r="S52" i="65"/>
  <c r="T52" i="65"/>
  <c r="U52" i="65"/>
  <c r="V52" i="65"/>
  <c r="W52" i="65"/>
  <c r="X52" i="65"/>
  <c r="A53" i="65"/>
  <c r="B53" i="65"/>
  <c r="D53" i="65"/>
  <c r="E53" i="65"/>
  <c r="F53" i="65"/>
  <c r="G53" i="65"/>
  <c r="H53" i="65"/>
  <c r="I53" i="65"/>
  <c r="J53" i="65"/>
  <c r="K53" i="65"/>
  <c r="L53" i="65"/>
  <c r="M53" i="65"/>
  <c r="N53" i="65"/>
  <c r="O53" i="65"/>
  <c r="P53" i="65"/>
  <c r="Q53" i="65"/>
  <c r="R53" i="65"/>
  <c r="S53" i="65"/>
  <c r="T53" i="65"/>
  <c r="U53" i="65"/>
  <c r="V53" i="65"/>
  <c r="W53" i="65"/>
  <c r="X53" i="65"/>
  <c r="A54" i="65"/>
  <c r="B54" i="65"/>
  <c r="D54" i="65"/>
  <c r="E54" i="65"/>
  <c r="F54" i="65"/>
  <c r="G54" i="65"/>
  <c r="H54" i="65"/>
  <c r="I54" i="65"/>
  <c r="J54" i="65"/>
  <c r="K54" i="65"/>
  <c r="L54" i="65"/>
  <c r="M54" i="65"/>
  <c r="N54" i="65"/>
  <c r="O54" i="65"/>
  <c r="P54" i="65"/>
  <c r="Q54" i="65"/>
  <c r="R54" i="65"/>
  <c r="S54" i="65"/>
  <c r="T54" i="65"/>
  <c r="U54" i="65"/>
  <c r="V54" i="65"/>
  <c r="W54" i="65"/>
  <c r="X54" i="65"/>
  <c r="A55" i="65"/>
  <c r="B55" i="65"/>
  <c r="D55" i="65"/>
  <c r="E55" i="65"/>
  <c r="F55" i="65"/>
  <c r="G55" i="65"/>
  <c r="H55" i="65"/>
  <c r="I55" i="65"/>
  <c r="J55" i="65"/>
  <c r="K55" i="65"/>
  <c r="L55" i="65"/>
  <c r="M55" i="65"/>
  <c r="N55" i="65"/>
  <c r="O55" i="65"/>
  <c r="P55" i="65"/>
  <c r="Q55" i="65"/>
  <c r="R55" i="65"/>
  <c r="S55" i="65"/>
  <c r="T55" i="65"/>
  <c r="U55" i="65"/>
  <c r="V55" i="65"/>
  <c r="W55" i="65"/>
  <c r="X55" i="65"/>
  <c r="A56" i="65"/>
  <c r="B56" i="65"/>
  <c r="D56" i="65"/>
  <c r="E56" i="65"/>
  <c r="F56" i="65"/>
  <c r="G56" i="65"/>
  <c r="H56" i="65"/>
  <c r="I56" i="65"/>
  <c r="J56" i="65"/>
  <c r="K56" i="65"/>
  <c r="L56" i="65"/>
  <c r="M56" i="65"/>
  <c r="N56" i="65"/>
  <c r="O56" i="65"/>
  <c r="P56" i="65"/>
  <c r="Q56" i="65"/>
  <c r="R56" i="65"/>
  <c r="S56" i="65"/>
  <c r="T56" i="65"/>
  <c r="U56" i="65"/>
  <c r="V56" i="65"/>
  <c r="W56" i="65"/>
  <c r="X56" i="65"/>
  <c r="A57" i="65"/>
  <c r="B57" i="65"/>
  <c r="D57" i="65"/>
  <c r="E57" i="65"/>
  <c r="F57" i="65"/>
  <c r="G57" i="65"/>
  <c r="H57" i="65"/>
  <c r="I57" i="65"/>
  <c r="J57" i="65"/>
  <c r="K57" i="65"/>
  <c r="L57" i="65"/>
  <c r="M57" i="65"/>
  <c r="N57" i="65"/>
  <c r="O57" i="65"/>
  <c r="P57" i="65"/>
  <c r="Q57" i="65"/>
  <c r="R57" i="65"/>
  <c r="S57" i="65"/>
  <c r="T57" i="65"/>
  <c r="U57" i="65"/>
  <c r="V57" i="65"/>
  <c r="W57" i="65"/>
  <c r="X57" i="65"/>
  <c r="A58" i="65"/>
  <c r="B58" i="65"/>
  <c r="D58" i="65"/>
  <c r="E58" i="65"/>
  <c r="F58" i="65"/>
  <c r="G58" i="65"/>
  <c r="H58" i="65"/>
  <c r="I58" i="65"/>
  <c r="J58" i="65"/>
  <c r="K58" i="65"/>
  <c r="L58" i="65"/>
  <c r="M58" i="65"/>
  <c r="N58" i="65"/>
  <c r="O58" i="65"/>
  <c r="P58" i="65"/>
  <c r="Q58" i="65"/>
  <c r="R58" i="65"/>
  <c r="S58" i="65"/>
  <c r="T58" i="65"/>
  <c r="U58" i="65"/>
  <c r="V58" i="65"/>
  <c r="W58" i="65"/>
  <c r="X58" i="65"/>
  <c r="D60" i="65"/>
  <c r="E60" i="65"/>
  <c r="F60" i="65"/>
  <c r="G60" i="65"/>
  <c r="H60" i="65"/>
  <c r="I60" i="65"/>
  <c r="J60" i="65"/>
  <c r="K60" i="65"/>
  <c r="L60" i="65"/>
  <c r="M60" i="65"/>
  <c r="N60" i="65"/>
  <c r="O60" i="65"/>
  <c r="P60" i="65"/>
  <c r="Q60" i="65"/>
  <c r="R60" i="65"/>
  <c r="S60" i="65"/>
  <c r="T60" i="65"/>
  <c r="U60" i="65"/>
  <c r="V60" i="65"/>
  <c r="W60" i="65"/>
  <c r="X60" i="65"/>
  <c r="D61" i="65"/>
  <c r="E61" i="65"/>
  <c r="F61" i="65"/>
  <c r="G61" i="65"/>
  <c r="H61" i="65"/>
  <c r="I61" i="65"/>
  <c r="J61" i="65"/>
  <c r="K61" i="65"/>
  <c r="L61" i="65"/>
  <c r="M61" i="65"/>
  <c r="N61" i="65"/>
  <c r="O61" i="65"/>
  <c r="P61" i="65"/>
  <c r="Q61" i="65"/>
  <c r="R61" i="65"/>
  <c r="S61" i="65"/>
  <c r="T61" i="65"/>
  <c r="U61" i="65"/>
  <c r="V61" i="65"/>
  <c r="W61" i="65"/>
  <c r="X61" i="65"/>
  <c r="D63" i="65"/>
  <c r="E63" i="65"/>
  <c r="F63" i="65"/>
  <c r="G63" i="65"/>
  <c r="H63" i="65"/>
  <c r="I63" i="65"/>
  <c r="J63" i="65"/>
  <c r="K63" i="65"/>
  <c r="L63" i="65"/>
  <c r="M63" i="65"/>
  <c r="N63" i="65"/>
  <c r="O63" i="65"/>
  <c r="P63" i="65"/>
  <c r="Q63" i="65"/>
  <c r="R63" i="65"/>
  <c r="S63" i="65"/>
  <c r="T63" i="65"/>
  <c r="U63" i="65"/>
  <c r="V63" i="65"/>
  <c r="W63" i="65"/>
  <c r="X63" i="65"/>
  <c r="A1" i="58"/>
  <c r="H5" i="58"/>
  <c r="H6" i="58"/>
  <c r="H7" i="58"/>
  <c r="H8" i="58"/>
  <c r="D12" i="58"/>
  <c r="C19" i="58"/>
  <c r="C21" i="58"/>
  <c r="D21" i="58"/>
  <c r="E21" i="58"/>
  <c r="F21" i="58"/>
  <c r="G21" i="58"/>
  <c r="H21" i="58"/>
  <c r="I21" i="58"/>
  <c r="J21" i="58"/>
  <c r="K21" i="58"/>
  <c r="L21" i="58"/>
  <c r="M21" i="58"/>
  <c r="N21" i="58"/>
  <c r="O21" i="58"/>
  <c r="P21" i="58"/>
  <c r="Q21" i="58"/>
  <c r="R21" i="58"/>
  <c r="S21" i="58"/>
  <c r="T21" i="58"/>
  <c r="U21" i="58"/>
  <c r="V21" i="58"/>
  <c r="B23" i="58"/>
  <c r="C23" i="58"/>
  <c r="D23" i="58"/>
  <c r="E23" i="58"/>
  <c r="F23" i="58"/>
  <c r="G23" i="58"/>
  <c r="H23" i="58"/>
  <c r="I23" i="58"/>
  <c r="J23" i="58"/>
  <c r="K23" i="58"/>
  <c r="L23" i="58"/>
  <c r="M23" i="58"/>
  <c r="N23" i="58"/>
  <c r="O23" i="58"/>
  <c r="P23" i="58"/>
  <c r="Q23" i="58"/>
  <c r="R23" i="58"/>
  <c r="S23" i="58"/>
  <c r="T23" i="58"/>
  <c r="U23" i="58"/>
  <c r="V23" i="58"/>
  <c r="C24" i="58"/>
  <c r="D24" i="58"/>
  <c r="E24" i="58"/>
  <c r="F24" i="58"/>
  <c r="G24" i="58"/>
  <c r="H24" i="58"/>
  <c r="I24" i="58"/>
  <c r="J24" i="58"/>
  <c r="K24" i="58"/>
  <c r="L24" i="58"/>
  <c r="M24" i="58"/>
  <c r="N24" i="58"/>
  <c r="O24" i="58"/>
  <c r="P24" i="58"/>
  <c r="Q24" i="58"/>
  <c r="R24" i="58"/>
  <c r="S24" i="58"/>
  <c r="T24" i="58"/>
  <c r="U24" i="58"/>
  <c r="V24" i="58"/>
  <c r="B25" i="58"/>
  <c r="C25" i="58"/>
  <c r="D25" i="58"/>
  <c r="E25" i="58"/>
  <c r="F25" i="58"/>
  <c r="G25" i="58"/>
  <c r="H25" i="58"/>
  <c r="I25" i="58"/>
  <c r="J25" i="58"/>
  <c r="K25" i="58"/>
  <c r="L25" i="58"/>
  <c r="M25" i="58"/>
  <c r="N25" i="58"/>
  <c r="O25" i="58"/>
  <c r="P25" i="58"/>
  <c r="Q25" i="58"/>
  <c r="R25" i="58"/>
  <c r="S25" i="58"/>
  <c r="T25" i="58"/>
  <c r="U25" i="58"/>
  <c r="V25" i="58"/>
  <c r="C26" i="58"/>
  <c r="D26" i="58"/>
  <c r="E26" i="58"/>
  <c r="F26" i="58"/>
  <c r="G26" i="58"/>
  <c r="H26" i="58"/>
  <c r="I26" i="58"/>
  <c r="J26" i="58"/>
  <c r="K26" i="58"/>
  <c r="L26" i="58"/>
  <c r="M26" i="58"/>
  <c r="N26" i="58"/>
  <c r="O26" i="58"/>
  <c r="P26" i="58"/>
  <c r="Q26" i="58"/>
  <c r="R26" i="58"/>
  <c r="S26" i="58"/>
  <c r="T26" i="58"/>
  <c r="U26" i="58"/>
  <c r="V26" i="58"/>
  <c r="B27" i="58"/>
  <c r="C27" i="58"/>
  <c r="D27" i="58"/>
  <c r="E27" i="58"/>
  <c r="F27" i="58"/>
  <c r="G27" i="58"/>
  <c r="H27" i="58"/>
  <c r="I27" i="58"/>
  <c r="J27" i="58"/>
  <c r="K27" i="58"/>
  <c r="L27" i="58"/>
  <c r="M27" i="58"/>
  <c r="N27" i="58"/>
  <c r="O27" i="58"/>
  <c r="P27" i="58"/>
  <c r="Q27" i="58"/>
  <c r="R27" i="58"/>
  <c r="S27" i="58"/>
  <c r="T27" i="58"/>
  <c r="U27" i="58"/>
  <c r="V27" i="58"/>
  <c r="B28" i="58"/>
  <c r="C28" i="58"/>
  <c r="D28" i="58"/>
  <c r="E28" i="58"/>
  <c r="F28" i="58"/>
  <c r="G28" i="58"/>
  <c r="H28" i="58"/>
  <c r="I28" i="58"/>
  <c r="J28" i="58"/>
  <c r="K28" i="58"/>
  <c r="L28" i="58"/>
  <c r="M28" i="58"/>
  <c r="N28" i="58"/>
  <c r="O28" i="58"/>
  <c r="P28" i="58"/>
  <c r="Q28" i="58"/>
  <c r="R28" i="58"/>
  <c r="S28" i="58"/>
  <c r="T28" i="58"/>
  <c r="U28" i="58"/>
  <c r="V28" i="58"/>
  <c r="W28" i="58"/>
  <c r="H38" i="58"/>
  <c r="H39" i="58"/>
  <c r="H40" i="58"/>
  <c r="H41" i="58"/>
  <c r="C54" i="58"/>
  <c r="D54" i="58"/>
  <c r="E54" i="58"/>
  <c r="F54" i="58"/>
  <c r="G54" i="58"/>
  <c r="H54" i="58"/>
  <c r="I54" i="58"/>
  <c r="J54" i="58"/>
  <c r="K54" i="58"/>
  <c r="L54" i="58"/>
  <c r="M54" i="58"/>
  <c r="N54" i="58"/>
  <c r="O54" i="58"/>
  <c r="P54" i="58"/>
  <c r="Q54" i="58"/>
  <c r="R54" i="58"/>
  <c r="S54" i="58"/>
  <c r="T54" i="58"/>
  <c r="U54" i="58"/>
  <c r="V54" i="58"/>
  <c r="B56" i="58"/>
  <c r="C56" i="58"/>
  <c r="D56" i="58"/>
  <c r="E56" i="58"/>
  <c r="F56" i="58"/>
  <c r="G56" i="58"/>
  <c r="H56" i="58"/>
  <c r="I56" i="58"/>
  <c r="J56" i="58"/>
  <c r="K56" i="58"/>
  <c r="L56" i="58"/>
  <c r="M56" i="58"/>
  <c r="N56" i="58"/>
  <c r="O56" i="58"/>
  <c r="P56" i="58"/>
  <c r="Q56" i="58"/>
  <c r="R56" i="58"/>
  <c r="S56" i="58"/>
  <c r="T56" i="58"/>
  <c r="U56" i="58"/>
  <c r="V56" i="58"/>
  <c r="C57" i="58"/>
  <c r="D57" i="58"/>
  <c r="E57" i="58"/>
  <c r="F57" i="58"/>
  <c r="G57" i="58"/>
  <c r="H57" i="58"/>
  <c r="I57" i="58"/>
  <c r="J57" i="58"/>
  <c r="K57" i="58"/>
  <c r="L57" i="58"/>
  <c r="M57" i="58"/>
  <c r="N57" i="58"/>
  <c r="O57" i="58"/>
  <c r="P57" i="58"/>
  <c r="Q57" i="58"/>
  <c r="R57" i="58"/>
  <c r="S57" i="58"/>
  <c r="T57" i="58"/>
  <c r="U57" i="58"/>
  <c r="V57" i="58"/>
  <c r="B58" i="58"/>
  <c r="C58" i="58"/>
  <c r="D58" i="58"/>
  <c r="E58" i="58"/>
  <c r="F58" i="58"/>
  <c r="G58" i="58"/>
  <c r="H58" i="58"/>
  <c r="I58" i="58"/>
  <c r="J58" i="58"/>
  <c r="K58" i="58"/>
  <c r="L58" i="58"/>
  <c r="M58" i="58"/>
  <c r="N58" i="58"/>
  <c r="O58" i="58"/>
  <c r="P58" i="58"/>
  <c r="Q58" i="58"/>
  <c r="R58" i="58"/>
  <c r="S58" i="58"/>
  <c r="T58" i="58"/>
  <c r="U58" i="58"/>
  <c r="V58" i="58"/>
  <c r="C59" i="58"/>
  <c r="D59" i="58"/>
  <c r="E59" i="58"/>
  <c r="F59" i="58"/>
  <c r="G59" i="58"/>
  <c r="H59" i="58"/>
  <c r="I59" i="58"/>
  <c r="J59" i="58"/>
  <c r="K59" i="58"/>
  <c r="L59" i="58"/>
  <c r="M59" i="58"/>
  <c r="N59" i="58"/>
  <c r="O59" i="58"/>
  <c r="P59" i="58"/>
  <c r="Q59" i="58"/>
  <c r="R59" i="58"/>
  <c r="S59" i="58"/>
  <c r="T59" i="58"/>
  <c r="U59" i="58"/>
  <c r="V59" i="58"/>
  <c r="B60" i="58"/>
  <c r="C60" i="58"/>
  <c r="D60" i="58"/>
  <c r="E60" i="58"/>
  <c r="F60" i="58"/>
  <c r="G60" i="58"/>
  <c r="H60" i="58"/>
  <c r="I60" i="58"/>
  <c r="J60" i="58"/>
  <c r="K60" i="58"/>
  <c r="L60" i="58"/>
  <c r="M60" i="58"/>
  <c r="N60" i="58"/>
  <c r="O60" i="58"/>
  <c r="P60" i="58"/>
  <c r="Q60" i="58"/>
  <c r="R60" i="58"/>
  <c r="S60" i="58"/>
  <c r="T60" i="58"/>
  <c r="U60" i="58"/>
  <c r="V60" i="58"/>
  <c r="B61" i="58"/>
  <c r="C61" i="58"/>
  <c r="D61" i="58"/>
  <c r="E61" i="58"/>
  <c r="F61" i="58"/>
  <c r="G61" i="58"/>
  <c r="H61" i="58"/>
  <c r="I61" i="58"/>
  <c r="J61" i="58"/>
  <c r="K61" i="58"/>
  <c r="L61" i="58"/>
  <c r="M61" i="58"/>
  <c r="N61" i="58"/>
  <c r="O61" i="58"/>
  <c r="P61" i="58"/>
  <c r="Q61" i="58"/>
  <c r="R61" i="58"/>
  <c r="S61" i="58"/>
  <c r="T61" i="58"/>
  <c r="U61" i="58"/>
  <c r="V61" i="58"/>
  <c r="C62" i="58"/>
  <c r="D62" i="58"/>
  <c r="E62" i="58"/>
  <c r="F62" i="58"/>
  <c r="G62" i="58"/>
  <c r="H62" i="58"/>
  <c r="I62" i="58"/>
  <c r="J62" i="58"/>
  <c r="K62" i="58"/>
  <c r="L62" i="58"/>
  <c r="M62" i="58"/>
  <c r="N62" i="58"/>
  <c r="O62" i="58"/>
  <c r="P62" i="58"/>
  <c r="Q62" i="58"/>
  <c r="R62" i="58"/>
  <c r="S62" i="58"/>
  <c r="T62" i="58"/>
  <c r="U62" i="58"/>
  <c r="V62" i="58"/>
  <c r="C12" i="61"/>
  <c r="D12" i="61"/>
  <c r="C13" i="61"/>
  <c r="D13" i="61"/>
  <c r="C14" i="61"/>
  <c r="D14" i="61"/>
  <c r="D17" i="61"/>
  <c r="E17" i="61"/>
  <c r="D18" i="61"/>
  <c r="E18" i="61"/>
  <c r="D19" i="61"/>
  <c r="E19" i="61"/>
  <c r="D20" i="61"/>
  <c r="E20" i="61"/>
  <c r="D21" i="61"/>
  <c r="E21" i="61"/>
  <c r="D22" i="61"/>
  <c r="E22" i="61"/>
  <c r="D23" i="61"/>
  <c r="E23" i="61"/>
  <c r="D24" i="61"/>
  <c r="E24" i="61"/>
  <c r="D25" i="61"/>
  <c r="E25" i="61"/>
  <c r="D26" i="61"/>
  <c r="E26" i="61"/>
  <c r="D27" i="61"/>
  <c r="E27" i="61"/>
  <c r="D28" i="61"/>
  <c r="E28" i="61"/>
  <c r="D29" i="61"/>
  <c r="E29" i="61"/>
  <c r="E30" i="61"/>
  <c r="E31" i="61"/>
  <c r="E32" i="61"/>
  <c r="E33" i="61"/>
  <c r="A1" i="62"/>
  <c r="A11" i="62"/>
  <c r="C11" i="62"/>
  <c r="A12" i="62"/>
  <c r="C12" i="62"/>
  <c r="A13" i="62"/>
  <c r="C13" i="62"/>
  <c r="A14" i="62"/>
  <c r="C14" i="62"/>
  <c r="A15" i="62"/>
  <c r="C15" i="62"/>
  <c r="A16" i="62"/>
  <c r="C16" i="62"/>
  <c r="A17" i="62"/>
  <c r="C17" i="62"/>
  <c r="A18" i="62"/>
  <c r="C18" i="62"/>
  <c r="A19" i="62"/>
  <c r="C19" i="62"/>
  <c r="A20" i="62"/>
  <c r="C20" i="62"/>
  <c r="A21" i="62"/>
  <c r="C21" i="62"/>
  <c r="A22" i="62"/>
  <c r="C22" i="62"/>
  <c r="A23" i="62"/>
  <c r="C23" i="62"/>
  <c r="C26" i="62"/>
  <c r="C27" i="62"/>
  <c r="C28" i="62"/>
  <c r="C31" i="62"/>
  <c r="C38" i="62"/>
  <c r="C42" i="62"/>
  <c r="C44" i="62"/>
  <c r="C46" i="62"/>
  <c r="C48" i="62"/>
  <c r="A1" i="26"/>
  <c r="A11" i="26"/>
  <c r="C11" i="26"/>
  <c r="A12" i="26"/>
  <c r="C12" i="26"/>
  <c r="A13" i="26"/>
  <c r="C13" i="26"/>
  <c r="A14" i="26"/>
  <c r="C14" i="26"/>
  <c r="A15" i="26"/>
  <c r="C15" i="26"/>
  <c r="A16" i="26"/>
  <c r="C16" i="26"/>
  <c r="A17" i="26"/>
  <c r="C17" i="26"/>
  <c r="A18" i="26"/>
  <c r="C18" i="26"/>
  <c r="A19" i="26"/>
  <c r="C19" i="26"/>
  <c r="A20" i="26"/>
  <c r="C20" i="26"/>
  <c r="A21" i="26"/>
  <c r="C21" i="26"/>
  <c r="A22" i="26"/>
  <c r="C22" i="26"/>
  <c r="A23" i="26"/>
  <c r="C23" i="26"/>
  <c r="C27" i="26"/>
  <c r="C28" i="26"/>
  <c r="C29" i="26"/>
  <c r="C32" i="26"/>
  <c r="D32" i="26"/>
  <c r="C39" i="26"/>
  <c r="D39" i="26"/>
  <c r="C43" i="26"/>
  <c r="D43" i="26"/>
  <c r="C45" i="26"/>
  <c r="D45" i="26"/>
  <c r="C47" i="26"/>
  <c r="D47" i="26"/>
  <c r="C49" i="26"/>
  <c r="D49" i="26"/>
  <c r="A1" i="64"/>
  <c r="A11" i="64"/>
  <c r="C11" i="64"/>
  <c r="A12" i="64"/>
  <c r="C12" i="64"/>
  <c r="A13" i="64"/>
  <c r="C13" i="64"/>
  <c r="A14" i="64"/>
  <c r="C14" i="64"/>
  <c r="A15" i="64"/>
  <c r="C15" i="64"/>
  <c r="A16" i="64"/>
  <c r="C16" i="64"/>
  <c r="A17" i="64"/>
  <c r="C17" i="64"/>
  <c r="A18" i="64"/>
  <c r="C18" i="64"/>
  <c r="A19" i="64"/>
  <c r="C19" i="64"/>
  <c r="A20" i="64"/>
  <c r="C20" i="64"/>
  <c r="A21" i="64"/>
  <c r="C21" i="64"/>
  <c r="A22" i="64"/>
  <c r="C22" i="64"/>
  <c r="A23" i="64"/>
  <c r="C23" i="64"/>
  <c r="C27" i="64"/>
  <c r="C28" i="64"/>
  <c r="C29" i="64"/>
  <c r="C32" i="64"/>
  <c r="D32" i="64"/>
  <c r="C39" i="64"/>
  <c r="D39" i="64"/>
  <c r="C43" i="64"/>
  <c r="D43" i="64"/>
  <c r="C45" i="64"/>
  <c r="D45" i="64"/>
  <c r="C47" i="64"/>
  <c r="D47" i="64"/>
  <c r="C49" i="64"/>
  <c r="D49" i="64"/>
  <c r="A1" i="63"/>
  <c r="A11" i="63"/>
  <c r="C11" i="63"/>
  <c r="A12" i="63"/>
  <c r="C12" i="63"/>
  <c r="A13" i="63"/>
  <c r="C13" i="63"/>
  <c r="A14" i="63"/>
  <c r="C14" i="63"/>
  <c r="A15" i="63"/>
  <c r="C15" i="63"/>
  <c r="A16" i="63"/>
  <c r="C16" i="63"/>
  <c r="A17" i="63"/>
  <c r="C17" i="63"/>
  <c r="A18" i="63"/>
  <c r="C18" i="63"/>
  <c r="A19" i="63"/>
  <c r="C19" i="63"/>
  <c r="A20" i="63"/>
  <c r="C20" i="63"/>
  <c r="A21" i="63"/>
  <c r="C21" i="63"/>
  <c r="A22" i="63"/>
  <c r="C22" i="63"/>
  <c r="A23" i="63"/>
  <c r="C23" i="63"/>
  <c r="A24" i="63"/>
  <c r="C24" i="63"/>
  <c r="A25" i="63"/>
  <c r="C25" i="63"/>
  <c r="A26" i="63"/>
  <c r="C26" i="63"/>
  <c r="A27" i="63"/>
  <c r="C27" i="63"/>
  <c r="A28" i="63"/>
  <c r="C28" i="63"/>
  <c r="A29" i="63"/>
  <c r="C29" i="63"/>
  <c r="C30" i="63"/>
  <c r="C31" i="63"/>
  <c r="D31" i="63"/>
  <c r="C32" i="63"/>
  <c r="C33" i="63"/>
  <c r="C38" i="63"/>
  <c r="D38" i="63"/>
  <c r="C40" i="63"/>
  <c r="C42" i="63"/>
  <c r="D42" i="63"/>
  <c r="C44" i="63"/>
  <c r="D44" i="63"/>
  <c r="D46" i="63"/>
  <c r="D48" i="63"/>
  <c r="A1" i="68"/>
  <c r="A11" i="68"/>
  <c r="C11" i="68"/>
  <c r="A12" i="68"/>
  <c r="C12" i="68"/>
  <c r="A13" i="68"/>
  <c r="C13" i="68"/>
  <c r="A14" i="68"/>
  <c r="C14" i="68"/>
  <c r="A15" i="68"/>
  <c r="C15" i="68"/>
  <c r="A16" i="68"/>
  <c r="C16" i="68"/>
  <c r="A17" i="68"/>
  <c r="C17" i="68"/>
  <c r="A18" i="68"/>
  <c r="C18" i="68"/>
  <c r="A19" i="68"/>
  <c r="C19" i="68"/>
  <c r="A20" i="68"/>
  <c r="C20" i="68"/>
  <c r="A21" i="68"/>
  <c r="C21" i="68"/>
  <c r="A22" i="68"/>
  <c r="C22" i="68"/>
  <c r="A23" i="68"/>
  <c r="C23" i="68"/>
  <c r="A24" i="68"/>
  <c r="C24" i="68"/>
  <c r="A25" i="68"/>
  <c r="C25" i="68"/>
  <c r="A26" i="68"/>
  <c r="C26" i="68"/>
  <c r="A27" i="68"/>
  <c r="C27" i="68"/>
  <c r="A28" i="68"/>
  <c r="C28" i="68"/>
  <c r="A29" i="68"/>
  <c r="C29" i="68"/>
  <c r="C30" i="68"/>
  <c r="C31" i="68"/>
  <c r="D31" i="68"/>
  <c r="C32" i="68"/>
  <c r="C33" i="68"/>
  <c r="C38" i="68"/>
  <c r="D38" i="68"/>
  <c r="C40" i="68"/>
  <c r="C42" i="68"/>
  <c r="D42" i="68"/>
  <c r="C44" i="68"/>
  <c r="D44" i="68"/>
  <c r="D46" i="68"/>
  <c r="D48" i="68"/>
  <c r="A5" i="41"/>
  <c r="A6" i="41"/>
  <c r="A7" i="41"/>
  <c r="B7" i="41"/>
  <c r="A8" i="41"/>
  <c r="C8" i="41"/>
  <c r="A9" i="41"/>
  <c r="C9" i="41"/>
  <c r="A10" i="41"/>
  <c r="C10" i="41"/>
  <c r="A11" i="41"/>
  <c r="C11" i="41"/>
  <c r="A12" i="41"/>
  <c r="C12" i="41"/>
  <c r="A13" i="41"/>
  <c r="C13" i="41"/>
  <c r="A14" i="41"/>
  <c r="C14" i="41"/>
  <c r="A15" i="41"/>
  <c r="C15" i="41"/>
  <c r="A16" i="41"/>
  <c r="C16" i="41"/>
  <c r="A17" i="41"/>
  <c r="C17" i="41"/>
  <c r="A18" i="41"/>
  <c r="C18" i="41"/>
  <c r="A19" i="41"/>
  <c r="A20" i="41"/>
  <c r="B20" i="41"/>
  <c r="A21" i="41"/>
  <c r="C21" i="41"/>
  <c r="A22" i="41"/>
  <c r="C22" i="41"/>
  <c r="A23" i="41"/>
  <c r="C23" i="41"/>
  <c r="A24" i="41"/>
  <c r="C24" i="41"/>
  <c r="A25" i="41"/>
  <c r="C25" i="41"/>
  <c r="A26" i="41"/>
  <c r="C26" i="41"/>
  <c r="A27" i="41"/>
  <c r="C27" i="41"/>
  <c r="A28" i="41"/>
  <c r="C28" i="41"/>
  <c r="A29" i="41"/>
  <c r="C29" i="41"/>
  <c r="E29" i="41"/>
  <c r="F29" i="41"/>
  <c r="G29" i="41"/>
  <c r="H29" i="41"/>
  <c r="I29" i="41"/>
  <c r="J29" i="41"/>
  <c r="A30" i="41"/>
  <c r="C30" i="41"/>
  <c r="E30" i="41"/>
  <c r="F30" i="41"/>
  <c r="G30" i="41"/>
  <c r="H30" i="41"/>
  <c r="I30" i="41"/>
  <c r="J30" i="41"/>
  <c r="A31" i="41"/>
  <c r="C31" i="41"/>
  <c r="A32" i="41"/>
  <c r="A33" i="41"/>
  <c r="B33" i="41"/>
  <c r="A34" i="41"/>
  <c r="C34" i="41"/>
  <c r="A35" i="41"/>
  <c r="C35" i="41"/>
  <c r="A36" i="41"/>
  <c r="C36" i="41"/>
  <c r="A37" i="41"/>
  <c r="C37" i="41"/>
  <c r="A38" i="41"/>
  <c r="C38" i="41"/>
  <c r="A39" i="41"/>
  <c r="C39" i="41"/>
  <c r="A40" i="41"/>
  <c r="C40" i="41"/>
  <c r="A41" i="41"/>
  <c r="C41" i="41"/>
  <c r="A42" i="41"/>
  <c r="C42" i="41"/>
  <c r="A43" i="41"/>
  <c r="C43" i="41"/>
  <c r="A44" i="41"/>
  <c r="C44" i="41"/>
  <c r="A45" i="41"/>
  <c r="A46" i="41"/>
  <c r="A47" i="41"/>
  <c r="A48" i="41"/>
  <c r="A49" i="41"/>
  <c r="E49" i="41"/>
  <c r="F49" i="41"/>
  <c r="G49" i="41"/>
  <c r="H49" i="41"/>
  <c r="I49" i="41"/>
  <c r="J49" i="41"/>
  <c r="A50" i="41"/>
  <c r="E54" i="41"/>
  <c r="F54" i="41"/>
  <c r="G54" i="41"/>
  <c r="H54" i="41"/>
  <c r="I54" i="41"/>
  <c r="J54" i="41"/>
  <c r="E59" i="41"/>
  <c r="F59" i="41"/>
  <c r="G59" i="41"/>
  <c r="H59" i="41"/>
  <c r="I59" i="41"/>
  <c r="J59" i="41"/>
  <c r="E60" i="41"/>
  <c r="F60" i="41"/>
  <c r="G60" i="41"/>
  <c r="H60" i="41"/>
  <c r="I60" i="41"/>
  <c r="J60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1" i="41"/>
  <c r="A112" i="41"/>
  <c r="A113" i="41"/>
  <c r="A114" i="41"/>
  <c r="A115" i="41"/>
  <c r="A116" i="41"/>
  <c r="A117" i="41"/>
  <c r="A118" i="41"/>
  <c r="A119" i="41"/>
  <c r="I123" i="41"/>
  <c r="I127" i="41"/>
  <c r="E132" i="41"/>
  <c r="G132" i="41"/>
  <c r="I132" i="41"/>
  <c r="I133" i="41"/>
  <c r="E1" i="15"/>
  <c r="A5" i="15"/>
  <c r="J5" i="15"/>
  <c r="K5" i="15"/>
  <c r="H6" i="15"/>
  <c r="J6" i="15"/>
  <c r="K6" i="15"/>
  <c r="H7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H15" i="15"/>
  <c r="J15" i="15"/>
  <c r="K15" i="15"/>
  <c r="H17" i="15"/>
  <c r="J17" i="15"/>
  <c r="K17" i="15"/>
  <c r="H21" i="15"/>
  <c r="J21" i="15"/>
  <c r="K21" i="15"/>
  <c r="A23" i="15"/>
  <c r="J23" i="15"/>
  <c r="K23" i="15"/>
  <c r="H24" i="15"/>
  <c r="J24" i="15"/>
  <c r="K24" i="15"/>
  <c r="H25" i="15"/>
  <c r="J25" i="15"/>
  <c r="K25" i="15"/>
  <c r="H27" i="15"/>
  <c r="J27" i="15"/>
  <c r="K27" i="15"/>
  <c r="A29" i="15"/>
  <c r="J29" i="15"/>
  <c r="K29" i="15"/>
  <c r="A30" i="15"/>
  <c r="J30" i="15"/>
  <c r="K30" i="15"/>
  <c r="H31" i="15"/>
  <c r="J31" i="15"/>
  <c r="K31" i="15"/>
  <c r="J32" i="15"/>
  <c r="K32" i="15"/>
  <c r="H34" i="15"/>
  <c r="J34" i="15"/>
  <c r="K34" i="15"/>
  <c r="A36" i="15"/>
  <c r="H36" i="15"/>
  <c r="J36" i="15"/>
  <c r="J37" i="15"/>
  <c r="K37" i="15"/>
  <c r="J38" i="15"/>
  <c r="K38" i="15"/>
  <c r="J39" i="15"/>
  <c r="K39" i="15"/>
  <c r="J40" i="15"/>
  <c r="K40" i="15"/>
  <c r="H42" i="15"/>
  <c r="J42" i="15"/>
  <c r="K42" i="15"/>
  <c r="A44" i="15"/>
  <c r="J44" i="15"/>
  <c r="K44" i="15"/>
  <c r="J45" i="15"/>
  <c r="K45" i="15"/>
  <c r="A46" i="15"/>
  <c r="J46" i="15"/>
  <c r="K46" i="15"/>
  <c r="A47" i="15"/>
  <c r="J47" i="15"/>
  <c r="K47" i="15"/>
  <c r="A48" i="15"/>
  <c r="J48" i="15"/>
  <c r="K48" i="15"/>
  <c r="A49" i="15"/>
  <c r="J49" i="15"/>
  <c r="K49" i="15"/>
  <c r="A50" i="15"/>
  <c r="J50" i="15"/>
  <c r="K50" i="15"/>
  <c r="A51" i="15"/>
  <c r="J51" i="15"/>
  <c r="K51" i="15"/>
  <c r="J52" i="15"/>
  <c r="K52" i="15"/>
  <c r="J53" i="15"/>
  <c r="K53" i="15"/>
  <c r="A54" i="15"/>
  <c r="J54" i="15"/>
  <c r="K54" i="15"/>
  <c r="J55" i="15"/>
  <c r="K55" i="15"/>
  <c r="A56" i="15"/>
  <c r="J56" i="15"/>
  <c r="K56" i="15"/>
  <c r="A57" i="15"/>
  <c r="J57" i="15"/>
  <c r="K57" i="15"/>
  <c r="A58" i="15"/>
  <c r="J58" i="15"/>
  <c r="K58" i="15"/>
  <c r="J59" i="15"/>
  <c r="K59" i="15"/>
  <c r="A60" i="15"/>
  <c r="J60" i="15"/>
  <c r="K60" i="15"/>
  <c r="J61" i="15"/>
  <c r="K61" i="15"/>
  <c r="J62" i="15"/>
  <c r="K62" i="15"/>
  <c r="J63" i="15"/>
  <c r="K63" i="15"/>
  <c r="J64" i="15"/>
  <c r="K64" i="15"/>
  <c r="A65" i="15"/>
  <c r="J65" i="15"/>
  <c r="K65" i="15"/>
  <c r="H67" i="15"/>
  <c r="J67" i="15"/>
  <c r="K67" i="15"/>
  <c r="J69" i="15"/>
  <c r="K69" i="15"/>
  <c r="A70" i="15"/>
  <c r="J70" i="15"/>
  <c r="K70" i="15"/>
  <c r="A71" i="15"/>
  <c r="J71" i="15"/>
  <c r="K71" i="15"/>
  <c r="A72" i="15"/>
  <c r="J72" i="15"/>
  <c r="K72" i="15"/>
  <c r="A73" i="15"/>
  <c r="J73" i="15"/>
  <c r="K73" i="15"/>
  <c r="A74" i="15"/>
  <c r="J74" i="15"/>
  <c r="K74" i="15"/>
  <c r="J75" i="15"/>
  <c r="K75" i="15"/>
  <c r="J76" i="15"/>
  <c r="K76" i="15"/>
  <c r="H78" i="15"/>
  <c r="J78" i="15"/>
  <c r="K78" i="15"/>
  <c r="A80" i="15"/>
  <c r="J80" i="15"/>
  <c r="K80" i="15"/>
  <c r="A81" i="15"/>
  <c r="J81" i="15"/>
  <c r="K81" i="15"/>
  <c r="A82" i="15"/>
  <c r="J82" i="15"/>
  <c r="K82" i="15"/>
  <c r="H84" i="15"/>
  <c r="J84" i="15"/>
  <c r="K84" i="15"/>
  <c r="A86" i="15"/>
  <c r="J86" i="15"/>
  <c r="K86" i="15"/>
  <c r="A87" i="15"/>
  <c r="J87" i="15"/>
  <c r="K87" i="15"/>
  <c r="A88" i="15"/>
  <c r="J88" i="15"/>
  <c r="K88" i="15"/>
  <c r="A89" i="15"/>
  <c r="J89" i="15"/>
  <c r="K89" i="15"/>
  <c r="J90" i="15"/>
  <c r="K90" i="15"/>
  <c r="H92" i="15"/>
  <c r="J92" i="15"/>
  <c r="K92" i="15"/>
  <c r="A94" i="15"/>
  <c r="H94" i="15"/>
  <c r="J94" i="15"/>
  <c r="K94" i="15"/>
  <c r="A95" i="15"/>
  <c r="J95" i="15"/>
  <c r="K95" i="15"/>
  <c r="A96" i="15"/>
  <c r="J96" i="15"/>
  <c r="K96" i="15"/>
  <c r="A97" i="15"/>
  <c r="J97" i="15"/>
  <c r="K97" i="15"/>
  <c r="A98" i="15"/>
  <c r="J98" i="15"/>
  <c r="K98" i="15"/>
  <c r="A99" i="15"/>
  <c r="J99" i="15"/>
  <c r="K99" i="15"/>
  <c r="A100" i="15"/>
  <c r="J100" i="15"/>
  <c r="K100" i="15"/>
  <c r="A101" i="15"/>
  <c r="J101" i="15"/>
  <c r="K101" i="15"/>
  <c r="A102" i="15"/>
  <c r="J102" i="15"/>
  <c r="K102" i="15"/>
  <c r="A103" i="15"/>
  <c r="J103" i="15"/>
  <c r="K103" i="15"/>
  <c r="A104" i="15"/>
  <c r="J104" i="15"/>
  <c r="K104" i="15"/>
  <c r="A105" i="15"/>
  <c r="J105" i="15"/>
  <c r="K105" i="15"/>
  <c r="A106" i="15"/>
  <c r="J106" i="15"/>
  <c r="K106" i="15"/>
  <c r="A107" i="15"/>
  <c r="J107" i="15"/>
  <c r="K107" i="15"/>
  <c r="J108" i="15"/>
  <c r="K108" i="15"/>
  <c r="H109" i="15"/>
  <c r="J109" i="15"/>
  <c r="K109" i="15"/>
  <c r="A111" i="15"/>
  <c r="H111" i="15"/>
  <c r="J111" i="15"/>
  <c r="K111" i="15"/>
  <c r="A112" i="15"/>
  <c r="H112" i="15"/>
  <c r="J112" i="15"/>
  <c r="K112" i="15"/>
  <c r="H113" i="15"/>
  <c r="J113" i="15"/>
  <c r="K113" i="15"/>
  <c r="A114" i="15"/>
  <c r="J114" i="15"/>
  <c r="K114" i="15"/>
  <c r="A115" i="15"/>
  <c r="J115" i="15"/>
  <c r="K115" i="15"/>
  <c r="A116" i="15"/>
  <c r="H116" i="15"/>
  <c r="J116" i="15"/>
  <c r="K116" i="15"/>
  <c r="A117" i="15"/>
  <c r="J117" i="15"/>
  <c r="K117" i="15"/>
  <c r="A118" i="15"/>
  <c r="J118" i="15"/>
  <c r="K118" i="15"/>
  <c r="A119" i="15"/>
  <c r="H119" i="15"/>
  <c r="J119" i="15"/>
  <c r="K119" i="15"/>
  <c r="A120" i="15"/>
  <c r="H120" i="15"/>
  <c r="J120" i="15"/>
  <c r="K120" i="15"/>
  <c r="A121" i="15"/>
  <c r="H121" i="15"/>
  <c r="J121" i="15"/>
  <c r="K121" i="15"/>
  <c r="A122" i="15"/>
  <c r="H122" i="15"/>
  <c r="J122" i="15"/>
  <c r="K122" i="15"/>
  <c r="H123" i="15"/>
  <c r="J123" i="15"/>
  <c r="K123" i="15"/>
  <c r="J124" i="15"/>
  <c r="K124" i="15"/>
  <c r="A125" i="15"/>
  <c r="J125" i="15"/>
  <c r="K125" i="15"/>
  <c r="A126" i="15"/>
  <c r="J126" i="15"/>
  <c r="K126" i="15"/>
  <c r="H127" i="15"/>
  <c r="J127" i="15"/>
  <c r="K127" i="15"/>
  <c r="A128" i="15"/>
  <c r="H129" i="15"/>
  <c r="J129" i="15"/>
  <c r="K129" i="15"/>
  <c r="A131" i="15"/>
  <c r="J131" i="15"/>
  <c r="K131" i="15"/>
  <c r="H132" i="15"/>
  <c r="J132" i="15"/>
  <c r="K132" i="15"/>
  <c r="A134" i="15"/>
  <c r="J134" i="15"/>
  <c r="K134" i="15"/>
  <c r="A135" i="15"/>
  <c r="H136" i="15"/>
  <c r="J136" i="15"/>
  <c r="K136" i="15"/>
  <c r="H138" i="15"/>
  <c r="J138" i="15"/>
  <c r="K138" i="15"/>
  <c r="H139" i="15"/>
  <c r="J139" i="15"/>
  <c r="K139" i="15"/>
  <c r="J140" i="15"/>
  <c r="K140" i="15"/>
  <c r="J141" i="15"/>
  <c r="K141" i="15"/>
  <c r="H143" i="15"/>
  <c r="J143" i="15"/>
  <c r="K143" i="15"/>
  <c r="A145" i="15"/>
  <c r="J145" i="15"/>
  <c r="K145" i="15"/>
  <c r="A146" i="15"/>
  <c r="J146" i="15"/>
  <c r="K146" i="15"/>
  <c r="A147" i="15"/>
  <c r="J147" i="15"/>
  <c r="K147" i="15"/>
  <c r="A148" i="15"/>
  <c r="H148" i="15"/>
  <c r="J148" i="15"/>
  <c r="K148" i="15"/>
  <c r="A149" i="15"/>
  <c r="J149" i="15"/>
  <c r="K149" i="15"/>
  <c r="A150" i="15"/>
  <c r="H150" i="15"/>
  <c r="J150" i="15"/>
  <c r="K150" i="15"/>
  <c r="A151" i="15"/>
  <c r="H151" i="15"/>
  <c r="J151" i="15"/>
  <c r="K151" i="15"/>
  <c r="A152" i="15"/>
  <c r="H152" i="15"/>
  <c r="J152" i="15"/>
  <c r="K152" i="15"/>
  <c r="A153" i="15"/>
  <c r="H153" i="15"/>
  <c r="J153" i="15"/>
  <c r="K153" i="15"/>
  <c r="A154" i="15"/>
  <c r="J154" i="15"/>
  <c r="K154" i="15"/>
  <c r="A155" i="15"/>
  <c r="H155" i="15"/>
  <c r="J155" i="15"/>
  <c r="K155" i="15"/>
  <c r="A156" i="15"/>
  <c r="J156" i="15"/>
  <c r="K156" i="15"/>
  <c r="A157" i="15"/>
  <c r="J157" i="15"/>
  <c r="K157" i="15"/>
  <c r="A158" i="15"/>
  <c r="J158" i="15"/>
  <c r="K158" i="15"/>
  <c r="A159" i="15"/>
  <c r="J159" i="15"/>
  <c r="K159" i="15"/>
  <c r="J160" i="15"/>
  <c r="K160" i="15"/>
  <c r="H161" i="15"/>
  <c r="J161" i="15"/>
  <c r="K161" i="15"/>
  <c r="J162" i="15"/>
  <c r="K162" i="15"/>
  <c r="J163" i="15"/>
  <c r="K163" i="15"/>
  <c r="A164" i="15"/>
  <c r="J164" i="15"/>
  <c r="K164" i="15"/>
  <c r="A165" i="15"/>
  <c r="J165" i="15"/>
  <c r="K165" i="15"/>
  <c r="A166" i="15"/>
  <c r="J166" i="15"/>
  <c r="K166" i="15"/>
  <c r="A167" i="15"/>
  <c r="J167" i="15"/>
  <c r="K167" i="15"/>
  <c r="A168" i="15"/>
  <c r="H168" i="15"/>
  <c r="J168" i="15"/>
  <c r="K168" i="15"/>
  <c r="A169" i="15"/>
  <c r="J169" i="15"/>
  <c r="K169" i="15"/>
  <c r="A170" i="15"/>
  <c r="J170" i="15"/>
  <c r="K170" i="15"/>
  <c r="A171" i="15"/>
  <c r="J171" i="15"/>
  <c r="K171" i="15"/>
  <c r="A172" i="15"/>
  <c r="J172" i="15"/>
  <c r="K172" i="15"/>
  <c r="J173" i="15"/>
  <c r="K173" i="15"/>
  <c r="A174" i="15"/>
  <c r="J174" i="15"/>
  <c r="K174" i="15"/>
  <c r="J175" i="15"/>
  <c r="K175" i="15"/>
  <c r="J176" i="15"/>
  <c r="K176" i="15"/>
  <c r="H177" i="15"/>
  <c r="J177" i="15"/>
  <c r="K177" i="15"/>
  <c r="H179" i="15"/>
  <c r="J179" i="15"/>
  <c r="K179" i="15"/>
  <c r="A181" i="15"/>
  <c r="J182" i="15"/>
  <c r="K182" i="15"/>
  <c r="H183" i="15"/>
  <c r="J183" i="15"/>
  <c r="K183" i="15"/>
  <c r="J184" i="15"/>
  <c r="K184" i="15"/>
  <c r="J185" i="15"/>
  <c r="K185" i="15"/>
  <c r="J186" i="15"/>
  <c r="K186" i="15"/>
  <c r="J187" i="15"/>
  <c r="K187" i="15"/>
  <c r="H191" i="15"/>
  <c r="J191" i="15"/>
  <c r="K191" i="15"/>
  <c r="H193" i="15"/>
  <c r="J193" i="15"/>
  <c r="K193" i="15"/>
  <c r="A195" i="15"/>
  <c r="J195" i="15"/>
  <c r="K195" i="15"/>
  <c r="A196" i="15"/>
  <c r="H196" i="15"/>
  <c r="J196" i="15"/>
  <c r="K196" i="15"/>
  <c r="J197" i="15"/>
  <c r="K197" i="15"/>
  <c r="A198" i="15"/>
  <c r="J198" i="15"/>
  <c r="K198" i="15"/>
  <c r="H199" i="15"/>
  <c r="J199" i="15"/>
  <c r="K199" i="15"/>
  <c r="J200" i="15"/>
  <c r="K200" i="15"/>
  <c r="A201" i="15"/>
  <c r="J201" i="15"/>
  <c r="K201" i="15"/>
  <c r="J202" i="15"/>
  <c r="K202" i="15"/>
  <c r="J203" i="15"/>
  <c r="K203" i="15"/>
  <c r="J204" i="15"/>
  <c r="K204" i="15"/>
  <c r="J205" i="15"/>
  <c r="K205" i="15"/>
  <c r="J206" i="15"/>
  <c r="K206" i="15"/>
  <c r="A207" i="15"/>
  <c r="J207" i="15"/>
  <c r="K207" i="15"/>
  <c r="J208" i="15"/>
  <c r="K208" i="15"/>
  <c r="J209" i="15"/>
  <c r="K209" i="15"/>
  <c r="J210" i="15"/>
  <c r="K210" i="15"/>
  <c r="H211" i="15"/>
  <c r="J211" i="15"/>
  <c r="H213" i="15"/>
  <c r="J213" i="15"/>
  <c r="K213" i="15"/>
  <c r="A215" i="15"/>
  <c r="J215" i="15"/>
  <c r="K215" i="15"/>
  <c r="A216" i="15"/>
  <c r="J216" i="15"/>
  <c r="K216" i="15"/>
  <c r="A217" i="15"/>
  <c r="J217" i="15"/>
  <c r="K217" i="15"/>
  <c r="A218" i="15"/>
  <c r="J218" i="15"/>
  <c r="K218" i="15"/>
  <c r="H219" i="15"/>
  <c r="J219" i="15"/>
  <c r="K219" i="15"/>
  <c r="H221" i="15"/>
  <c r="J221" i="15"/>
  <c r="K221" i="15"/>
  <c r="A223" i="15"/>
  <c r="J223" i="15"/>
  <c r="K223" i="15"/>
  <c r="J224" i="15"/>
  <c r="K224" i="15"/>
  <c r="J225" i="15"/>
  <c r="K225" i="15"/>
  <c r="J226" i="15"/>
  <c r="K226" i="15"/>
  <c r="H227" i="15"/>
  <c r="J227" i="15"/>
  <c r="K227" i="15"/>
  <c r="H229" i="15"/>
  <c r="J229" i="15"/>
  <c r="K229" i="15"/>
  <c r="A231" i="15"/>
  <c r="H231" i="15"/>
  <c r="J231" i="15"/>
  <c r="K231" i="15"/>
  <c r="A232" i="15"/>
  <c r="J232" i="15"/>
  <c r="K232" i="15"/>
  <c r="A233" i="15"/>
  <c r="J233" i="15"/>
  <c r="K233" i="15"/>
  <c r="A234" i="15"/>
  <c r="J234" i="15"/>
  <c r="K234" i="15"/>
  <c r="J235" i="15"/>
  <c r="K235" i="15"/>
  <c r="A236" i="15"/>
  <c r="J236" i="15"/>
  <c r="K236" i="15"/>
  <c r="A237" i="15"/>
  <c r="J237" i="15"/>
  <c r="K237" i="15"/>
  <c r="A238" i="15"/>
  <c r="J238" i="15"/>
  <c r="K238" i="15"/>
  <c r="J239" i="15"/>
  <c r="K239" i="15"/>
  <c r="J240" i="15"/>
  <c r="K240" i="15"/>
  <c r="J241" i="15"/>
  <c r="K241" i="15"/>
  <c r="J242" i="15"/>
  <c r="K242" i="15"/>
  <c r="A243" i="15"/>
  <c r="J243" i="15"/>
  <c r="K243" i="15"/>
  <c r="J244" i="15"/>
  <c r="K244" i="15"/>
  <c r="J245" i="15"/>
  <c r="K245" i="15"/>
  <c r="J246" i="15"/>
  <c r="K246" i="15"/>
  <c r="J247" i="15"/>
  <c r="K247" i="15"/>
  <c r="A248" i="15"/>
  <c r="H248" i="15"/>
  <c r="J248" i="15"/>
  <c r="K248" i="15"/>
  <c r="A249" i="15"/>
  <c r="J249" i="15"/>
  <c r="K249" i="15"/>
  <c r="J250" i="15"/>
  <c r="K250" i="15"/>
  <c r="J251" i="15"/>
  <c r="K251" i="15"/>
  <c r="J252" i="15"/>
  <c r="K252" i="15"/>
  <c r="J253" i="15"/>
  <c r="K253" i="15"/>
  <c r="A254" i="15"/>
  <c r="J254" i="15"/>
  <c r="K254" i="15"/>
  <c r="J255" i="15"/>
  <c r="K255" i="15"/>
  <c r="J256" i="15"/>
  <c r="K256" i="15"/>
  <c r="J257" i="15"/>
  <c r="K257" i="15"/>
  <c r="J258" i="15"/>
  <c r="K258" i="15"/>
  <c r="J259" i="15"/>
  <c r="K259" i="15"/>
  <c r="A260" i="15"/>
  <c r="J260" i="15"/>
  <c r="K260" i="15"/>
  <c r="J261" i="15"/>
  <c r="K261" i="15"/>
  <c r="J262" i="15"/>
  <c r="K262" i="15"/>
  <c r="J263" i="15"/>
  <c r="K263" i="15"/>
  <c r="J264" i="15"/>
  <c r="K264" i="15"/>
  <c r="J265" i="15"/>
  <c r="K265" i="15"/>
  <c r="J266" i="15"/>
  <c r="K266" i="15"/>
  <c r="J267" i="15"/>
  <c r="K267" i="15"/>
  <c r="J268" i="15"/>
  <c r="K268" i="15"/>
  <c r="J269" i="15"/>
  <c r="K269" i="15"/>
  <c r="J270" i="15"/>
  <c r="K270" i="15"/>
  <c r="J271" i="15"/>
  <c r="K271" i="15"/>
  <c r="J272" i="15"/>
  <c r="K272" i="15"/>
  <c r="J273" i="15"/>
  <c r="K273" i="15"/>
  <c r="A274" i="15"/>
  <c r="J274" i="15"/>
  <c r="K274" i="15"/>
  <c r="J275" i="15"/>
  <c r="K275" i="15"/>
  <c r="H277" i="15"/>
  <c r="J277" i="15"/>
  <c r="K277" i="15"/>
  <c r="H279" i="15"/>
  <c r="J279" i="15"/>
  <c r="K279" i="15"/>
  <c r="H281" i="15"/>
  <c r="J281" i="15"/>
  <c r="K281" i="15"/>
  <c r="J282" i="15"/>
  <c r="J283" i="15"/>
  <c r="H285" i="15"/>
  <c r="J285" i="15"/>
  <c r="K285" i="15"/>
  <c r="J287" i="15"/>
  <c r="K287" i="15"/>
  <c r="J288" i="15"/>
  <c r="J289" i="15"/>
  <c r="H291" i="15"/>
  <c r="J291" i="15"/>
  <c r="K291" i="15"/>
  <c r="J293" i="15"/>
  <c r="K293" i="15"/>
  <c r="H297" i="15"/>
  <c r="J297" i="15"/>
  <c r="K297" i="15"/>
  <c r="H299" i="15"/>
  <c r="J299" i="15"/>
  <c r="K299" i="15"/>
  <c r="H301" i="15"/>
  <c r="J301" i="15"/>
  <c r="K301" i="15"/>
  <c r="H303" i="15"/>
  <c r="J303" i="15"/>
  <c r="K303" i="15"/>
  <c r="H305" i="15"/>
  <c r="J305" i="15"/>
  <c r="K305" i="15"/>
  <c r="H307" i="15"/>
  <c r="J307" i="15"/>
  <c r="K307" i="15"/>
  <c r="H308" i="15"/>
  <c r="J308" i="15"/>
  <c r="K308" i="15"/>
  <c r="H309" i="15"/>
  <c r="J309" i="15"/>
  <c r="K309" i="15"/>
  <c r="H310" i="15"/>
  <c r="J310" i="15"/>
  <c r="K310" i="15"/>
  <c r="H311" i="15"/>
  <c r="J311" i="15"/>
  <c r="K311" i="15"/>
  <c r="A1" i="8"/>
  <c r="D7" i="8"/>
  <c r="D9" i="8"/>
  <c r="D12" i="8"/>
  <c r="D13" i="8"/>
  <c r="D14" i="8"/>
  <c r="D15" i="8"/>
  <c r="D16" i="8"/>
  <c r="D17" i="8"/>
  <c r="D18" i="8"/>
  <c r="D19" i="8"/>
  <c r="D20" i="8"/>
  <c r="D21" i="8"/>
  <c r="D22" i="8"/>
  <c r="D23" i="8"/>
  <c r="D25" i="8"/>
  <c r="D29" i="8"/>
  <c r="D30" i="8"/>
  <c r="D31" i="8"/>
  <c r="D32" i="8"/>
  <c r="D33" i="8"/>
  <c r="D34" i="8"/>
  <c r="D35" i="8"/>
  <c r="D37" i="8"/>
  <c r="D39" i="8"/>
  <c r="D44" i="8"/>
  <c r="D47" i="8"/>
  <c r="D48" i="8"/>
  <c r="A1" i="9"/>
  <c r="C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B6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A1" i="10"/>
  <c r="B8" i="10"/>
  <c r="C8" i="10"/>
  <c r="D8" i="10"/>
  <c r="E8" i="10"/>
  <c r="F8" i="10"/>
  <c r="G8" i="10"/>
  <c r="H8" i="10"/>
  <c r="I8" i="10"/>
  <c r="J8" i="10"/>
  <c r="K8" i="10"/>
  <c r="B9" i="10"/>
  <c r="C9" i="10"/>
  <c r="D9" i="10"/>
  <c r="E9" i="10"/>
  <c r="F9" i="10"/>
  <c r="G9" i="10"/>
  <c r="H9" i="10"/>
  <c r="I9" i="10"/>
  <c r="J9" i="10"/>
  <c r="K9" i="10"/>
  <c r="B10" i="10"/>
  <c r="C10" i="10"/>
  <c r="D10" i="10"/>
  <c r="E10" i="10"/>
  <c r="F10" i="10"/>
  <c r="G10" i="10"/>
  <c r="H10" i="10"/>
  <c r="I10" i="10"/>
  <c r="J10" i="10"/>
  <c r="K10" i="10"/>
  <c r="B11" i="10"/>
  <c r="C11" i="10"/>
  <c r="D11" i="10"/>
  <c r="E11" i="10"/>
  <c r="F11" i="10"/>
  <c r="G11" i="10"/>
  <c r="H11" i="10"/>
  <c r="I11" i="10"/>
  <c r="J11" i="10"/>
  <c r="K11" i="10"/>
  <c r="B12" i="10"/>
  <c r="C12" i="10"/>
  <c r="D12" i="10"/>
  <c r="E12" i="10"/>
  <c r="F12" i="10"/>
  <c r="G12" i="10"/>
  <c r="H12" i="10"/>
  <c r="I12" i="10"/>
  <c r="J12" i="10"/>
  <c r="K12" i="10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24" i="10"/>
  <c r="C24" i="10"/>
  <c r="D24" i="10"/>
  <c r="E24" i="10"/>
  <c r="F24" i="10"/>
  <c r="G24" i="10"/>
  <c r="H24" i="10"/>
  <c r="I24" i="10"/>
  <c r="J24" i="10"/>
  <c r="K24" i="10"/>
  <c r="B25" i="10"/>
  <c r="C25" i="10"/>
  <c r="D25" i="10"/>
  <c r="E25" i="10"/>
  <c r="F25" i="10"/>
  <c r="G25" i="10"/>
  <c r="H25" i="10"/>
  <c r="I25" i="10"/>
  <c r="J25" i="10"/>
  <c r="K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B31" i="10"/>
  <c r="C31" i="10"/>
  <c r="D31" i="10"/>
  <c r="E31" i="10"/>
  <c r="F31" i="10"/>
  <c r="G31" i="10"/>
  <c r="H31" i="10"/>
  <c r="I31" i="10"/>
  <c r="J31" i="10"/>
  <c r="K31" i="10"/>
  <c r="B34" i="10"/>
  <c r="C34" i="10"/>
  <c r="D34" i="10"/>
  <c r="E34" i="10"/>
  <c r="F34" i="10"/>
  <c r="G34" i="10"/>
  <c r="H34" i="10"/>
  <c r="I34" i="10"/>
  <c r="J34" i="10"/>
  <c r="K34" i="10"/>
  <c r="B35" i="10"/>
  <c r="C35" i="10"/>
  <c r="D35" i="10"/>
  <c r="E35" i="10"/>
  <c r="F35" i="10"/>
  <c r="G35" i="10"/>
  <c r="H35" i="10"/>
  <c r="I35" i="10"/>
  <c r="J35" i="10"/>
  <c r="K35" i="10"/>
  <c r="B36" i="10"/>
  <c r="C36" i="10"/>
  <c r="D36" i="10"/>
  <c r="E36" i="10"/>
  <c r="F36" i="10"/>
  <c r="G36" i="10"/>
  <c r="H36" i="10"/>
  <c r="I36" i="10"/>
  <c r="J36" i="10"/>
  <c r="K36" i="10"/>
  <c r="B37" i="10"/>
  <c r="C37" i="10"/>
  <c r="D37" i="10"/>
  <c r="E37" i="10"/>
  <c r="F37" i="10"/>
  <c r="G37" i="10"/>
  <c r="H37" i="10"/>
  <c r="I37" i="10"/>
  <c r="J37" i="10"/>
  <c r="K37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41" i="10"/>
  <c r="C41" i="10"/>
  <c r="D41" i="10"/>
  <c r="E41" i="10"/>
  <c r="F41" i="10"/>
  <c r="G41" i="10"/>
  <c r="H41" i="10"/>
  <c r="I41" i="10"/>
  <c r="J41" i="10"/>
  <c r="K41" i="10"/>
  <c r="B42" i="10"/>
  <c r="C42" i="10"/>
  <c r="D42" i="10"/>
  <c r="E42" i="10"/>
  <c r="F42" i="10"/>
  <c r="G42" i="10"/>
  <c r="H42" i="10"/>
  <c r="I42" i="10"/>
  <c r="J42" i="10"/>
  <c r="K42" i="10"/>
  <c r="B43" i="10"/>
  <c r="C43" i="10"/>
  <c r="D43" i="10"/>
  <c r="E43" i="10"/>
  <c r="F43" i="10"/>
  <c r="G43" i="10"/>
  <c r="H43" i="10"/>
  <c r="I43" i="10"/>
  <c r="J43" i="10"/>
  <c r="K43" i="10"/>
  <c r="B44" i="10"/>
  <c r="C44" i="10"/>
  <c r="D44" i="10"/>
  <c r="E44" i="10"/>
  <c r="F44" i="10"/>
  <c r="G44" i="10"/>
  <c r="H44" i="10"/>
  <c r="I44" i="10"/>
  <c r="J44" i="10"/>
  <c r="K44" i="10"/>
  <c r="C45" i="10"/>
  <c r="D45" i="10"/>
  <c r="E45" i="10"/>
  <c r="K45" i="10"/>
  <c r="A1" i="25"/>
  <c r="D5" i="25"/>
  <c r="E5" i="25"/>
  <c r="F5" i="25"/>
  <c r="P7" i="25"/>
  <c r="S7" i="25"/>
  <c r="V7" i="25"/>
  <c r="I8" i="25"/>
  <c r="J8" i="25"/>
  <c r="K8" i="25"/>
  <c r="L8" i="25"/>
  <c r="P8" i="25"/>
  <c r="S8" i="25"/>
  <c r="V8" i="25"/>
  <c r="D9" i="25"/>
  <c r="I9" i="25"/>
  <c r="J9" i="25"/>
  <c r="K9" i="25"/>
  <c r="L9" i="25"/>
  <c r="O9" i="25"/>
  <c r="P9" i="25"/>
  <c r="R9" i="25"/>
  <c r="S9" i="25"/>
  <c r="U9" i="25"/>
  <c r="V9" i="25"/>
  <c r="D10" i="25"/>
  <c r="I10" i="25"/>
  <c r="J10" i="25"/>
  <c r="K10" i="25"/>
  <c r="L10" i="25"/>
  <c r="O10" i="25"/>
  <c r="P10" i="25"/>
  <c r="R10" i="25"/>
  <c r="S10" i="25"/>
  <c r="U10" i="25"/>
  <c r="V10" i="25"/>
  <c r="I11" i="25"/>
  <c r="J11" i="25"/>
  <c r="K11" i="25"/>
  <c r="L11" i="25"/>
  <c r="O11" i="25"/>
  <c r="P11" i="25"/>
  <c r="R11" i="25"/>
  <c r="S11" i="25"/>
  <c r="U11" i="25"/>
  <c r="V11" i="25"/>
  <c r="D12" i="25"/>
  <c r="I12" i="25"/>
  <c r="J12" i="25"/>
  <c r="K12" i="25"/>
  <c r="L12" i="25"/>
  <c r="O12" i="25"/>
  <c r="P12" i="25"/>
  <c r="R12" i="25"/>
  <c r="S12" i="25"/>
  <c r="U12" i="25"/>
  <c r="V12" i="25"/>
  <c r="I13" i="25"/>
  <c r="J13" i="25"/>
  <c r="K13" i="25"/>
  <c r="L13" i="25"/>
  <c r="O13" i="25"/>
  <c r="P13" i="25"/>
  <c r="R13" i="25"/>
  <c r="S13" i="25"/>
  <c r="U13" i="25"/>
  <c r="V13" i="25"/>
  <c r="B14" i="25"/>
  <c r="D14" i="25"/>
  <c r="I14" i="25"/>
  <c r="J14" i="25"/>
  <c r="K14" i="25"/>
  <c r="L14" i="25"/>
  <c r="O14" i="25"/>
  <c r="P14" i="25"/>
  <c r="R14" i="25"/>
  <c r="S14" i="25"/>
  <c r="U14" i="25"/>
  <c r="V14" i="25"/>
  <c r="B15" i="25"/>
  <c r="D15" i="25"/>
  <c r="I15" i="25"/>
  <c r="J15" i="25"/>
  <c r="K15" i="25"/>
  <c r="L15" i="25"/>
  <c r="O15" i="25"/>
  <c r="P15" i="25"/>
  <c r="R15" i="25"/>
  <c r="S15" i="25"/>
  <c r="U15" i="25"/>
  <c r="V15" i="25"/>
  <c r="B16" i="25"/>
  <c r="D16" i="25"/>
  <c r="I16" i="25"/>
  <c r="J16" i="25"/>
  <c r="K16" i="25"/>
  <c r="L16" i="25"/>
  <c r="O16" i="25"/>
  <c r="P16" i="25"/>
  <c r="R16" i="25"/>
  <c r="S16" i="25"/>
  <c r="U16" i="25"/>
  <c r="V16" i="25"/>
  <c r="B17" i="25"/>
  <c r="D17" i="25"/>
  <c r="I17" i="25"/>
  <c r="J17" i="25"/>
  <c r="K17" i="25"/>
  <c r="L17" i="25"/>
  <c r="O17" i="25"/>
  <c r="P17" i="25"/>
  <c r="R17" i="25"/>
  <c r="S17" i="25"/>
  <c r="U17" i="25"/>
  <c r="V17" i="25"/>
  <c r="B18" i="25"/>
  <c r="D18" i="25"/>
  <c r="I18" i="25"/>
  <c r="J18" i="25"/>
  <c r="K18" i="25"/>
  <c r="L18" i="25"/>
  <c r="O18" i="25"/>
  <c r="P18" i="25"/>
  <c r="R18" i="25"/>
  <c r="S18" i="25"/>
  <c r="U18" i="25"/>
  <c r="V18" i="25"/>
  <c r="B19" i="25"/>
  <c r="D19" i="25"/>
  <c r="I19" i="25"/>
  <c r="J19" i="25"/>
  <c r="K19" i="25"/>
  <c r="L19" i="25"/>
  <c r="O19" i="25"/>
  <c r="P19" i="25"/>
  <c r="R19" i="25"/>
  <c r="S19" i="25"/>
  <c r="U19" i="25"/>
  <c r="V19" i="25"/>
  <c r="B20" i="25"/>
  <c r="D20" i="25"/>
  <c r="I20" i="25"/>
  <c r="J20" i="25"/>
  <c r="K20" i="25"/>
  <c r="L20" i="25"/>
  <c r="O20" i="25"/>
  <c r="P20" i="25"/>
  <c r="R20" i="25"/>
  <c r="S20" i="25"/>
  <c r="U20" i="25"/>
  <c r="V20" i="25"/>
  <c r="B21" i="25"/>
  <c r="D21" i="25"/>
  <c r="I21" i="25"/>
  <c r="J21" i="25"/>
  <c r="O21" i="25"/>
  <c r="P21" i="25"/>
  <c r="R21" i="25"/>
  <c r="S21" i="25"/>
  <c r="U21" i="25"/>
  <c r="V21" i="25"/>
  <c r="D22" i="25"/>
  <c r="I22" i="25"/>
  <c r="J22" i="25"/>
  <c r="K22" i="25"/>
  <c r="L22" i="25"/>
  <c r="O22" i="25"/>
  <c r="P22" i="25"/>
  <c r="R22" i="25"/>
  <c r="S22" i="25"/>
  <c r="U22" i="25"/>
  <c r="V22" i="25"/>
  <c r="I23" i="25"/>
  <c r="J23" i="25"/>
  <c r="K23" i="25"/>
  <c r="L23" i="25"/>
  <c r="B24" i="25"/>
  <c r="D24" i="25"/>
  <c r="I24" i="25"/>
  <c r="J24" i="25"/>
  <c r="K24" i="25"/>
  <c r="L24" i="25"/>
  <c r="B25" i="25"/>
  <c r="D25" i="25"/>
  <c r="I25" i="25"/>
  <c r="J25" i="25"/>
  <c r="D26" i="25"/>
  <c r="I26" i="25"/>
  <c r="J26" i="25"/>
  <c r="K26" i="25"/>
  <c r="L26" i="25"/>
  <c r="O26" i="25"/>
  <c r="P26" i="25"/>
  <c r="R26" i="25"/>
  <c r="S26" i="25"/>
  <c r="U26" i="25"/>
  <c r="V26" i="25"/>
  <c r="I27" i="25"/>
  <c r="J27" i="25"/>
  <c r="K27" i="25"/>
  <c r="L27" i="25"/>
  <c r="B28" i="25"/>
  <c r="D28" i="25"/>
  <c r="I28" i="25"/>
  <c r="J28" i="25"/>
  <c r="K28" i="25"/>
  <c r="L28" i="25"/>
  <c r="B29" i="25"/>
  <c r="D29" i="25"/>
  <c r="I29" i="25"/>
  <c r="J29" i="25"/>
  <c r="K29" i="25"/>
  <c r="L29" i="25"/>
  <c r="B30" i="25"/>
  <c r="D30" i="25"/>
  <c r="I30" i="25"/>
  <c r="J30" i="25"/>
  <c r="K30" i="25"/>
  <c r="L30" i="25"/>
  <c r="B31" i="25"/>
  <c r="D31" i="25"/>
  <c r="I31" i="25"/>
  <c r="J31" i="25"/>
  <c r="K31" i="25"/>
  <c r="L31" i="25"/>
  <c r="B32" i="25"/>
  <c r="D32" i="25"/>
  <c r="I32" i="25"/>
  <c r="J32" i="25"/>
  <c r="K32" i="25"/>
  <c r="L32" i="25"/>
  <c r="B33" i="25"/>
  <c r="D33" i="25"/>
  <c r="I33" i="25"/>
  <c r="J33" i="25"/>
  <c r="K33" i="25"/>
  <c r="L33" i="25"/>
  <c r="B34" i="25"/>
  <c r="D34" i="25"/>
  <c r="I34" i="25"/>
  <c r="J34" i="25"/>
  <c r="K34" i="25"/>
  <c r="L34" i="25"/>
  <c r="B35" i="25"/>
  <c r="D35" i="25"/>
  <c r="I35" i="25"/>
  <c r="J35" i="25"/>
  <c r="K35" i="25"/>
  <c r="L35" i="25"/>
  <c r="D36" i="25"/>
  <c r="I36" i="25"/>
  <c r="J36" i="25"/>
  <c r="K36" i="25"/>
  <c r="L36" i="25"/>
  <c r="I37" i="25"/>
  <c r="J37" i="25"/>
  <c r="K37" i="25"/>
  <c r="L37" i="25"/>
  <c r="B38" i="25"/>
  <c r="D38" i="25"/>
  <c r="I38" i="25"/>
  <c r="J38" i="25"/>
  <c r="K38" i="25"/>
  <c r="L38" i="25"/>
  <c r="B39" i="25"/>
  <c r="D39" i="25"/>
  <c r="I39" i="25"/>
  <c r="J39" i="25"/>
  <c r="K39" i="25"/>
  <c r="L39" i="25"/>
  <c r="B40" i="25"/>
  <c r="D40" i="25"/>
  <c r="I40" i="25"/>
  <c r="J40" i="25"/>
  <c r="K40" i="25"/>
  <c r="L40" i="25"/>
  <c r="B41" i="25"/>
  <c r="D41" i="25"/>
  <c r="I41" i="25"/>
  <c r="J41" i="25"/>
  <c r="K41" i="25"/>
  <c r="L41" i="25"/>
  <c r="B42" i="25"/>
  <c r="D42" i="25"/>
  <c r="I42" i="25"/>
  <c r="J42" i="25"/>
  <c r="K42" i="25"/>
  <c r="L42" i="25"/>
  <c r="B43" i="25"/>
  <c r="D43" i="25"/>
  <c r="I43" i="25"/>
  <c r="J43" i="25"/>
  <c r="K43" i="25"/>
  <c r="L43" i="25"/>
  <c r="D44" i="25"/>
  <c r="I44" i="25"/>
  <c r="J44" i="25"/>
  <c r="K44" i="25"/>
  <c r="L44" i="25"/>
  <c r="I45" i="25"/>
  <c r="J45" i="25"/>
  <c r="K45" i="25"/>
  <c r="L45" i="25"/>
  <c r="B46" i="25"/>
  <c r="D46" i="25"/>
  <c r="I46" i="25"/>
  <c r="J46" i="25"/>
  <c r="K46" i="25"/>
  <c r="L46" i="25"/>
  <c r="B47" i="25"/>
  <c r="D47" i="25"/>
  <c r="I47" i="25"/>
  <c r="J47" i="25"/>
  <c r="K47" i="25"/>
  <c r="L47" i="25"/>
  <c r="B48" i="25"/>
  <c r="D48" i="25"/>
  <c r="I48" i="25"/>
  <c r="J48" i="25"/>
  <c r="K48" i="25"/>
  <c r="L48" i="25"/>
  <c r="B49" i="25"/>
  <c r="D49" i="25"/>
  <c r="I49" i="25"/>
  <c r="J49" i="25"/>
  <c r="K49" i="25"/>
  <c r="L49" i="25"/>
  <c r="B50" i="25"/>
  <c r="D50" i="25"/>
  <c r="I50" i="25"/>
  <c r="J50" i="25"/>
  <c r="B51" i="25"/>
  <c r="D51" i="25"/>
  <c r="I51" i="25"/>
  <c r="J51" i="25"/>
  <c r="B52" i="25"/>
  <c r="D52" i="25"/>
  <c r="I52" i="25"/>
  <c r="J52" i="25"/>
  <c r="B53" i="25"/>
  <c r="D53" i="25"/>
  <c r="I53" i="25"/>
  <c r="J53" i="25"/>
  <c r="B54" i="25"/>
  <c r="D54" i="25"/>
  <c r="I54" i="25"/>
  <c r="J54" i="25"/>
  <c r="D55" i="25"/>
  <c r="I55" i="25"/>
  <c r="J55" i="25"/>
  <c r="K55" i="25"/>
  <c r="L55" i="25"/>
  <c r="I56" i="25"/>
  <c r="J56" i="25"/>
  <c r="K56" i="25"/>
  <c r="L56" i="25"/>
  <c r="B57" i="25"/>
  <c r="D57" i="25"/>
  <c r="I57" i="25"/>
  <c r="J57" i="25"/>
  <c r="K57" i="25"/>
  <c r="L57" i="25"/>
  <c r="B58" i="25"/>
  <c r="D58" i="25"/>
  <c r="I58" i="25"/>
  <c r="J58" i="25"/>
  <c r="K58" i="25"/>
  <c r="L58" i="25"/>
  <c r="B59" i="25"/>
  <c r="D59" i="25"/>
  <c r="I59" i="25"/>
  <c r="J59" i="25"/>
  <c r="K59" i="25"/>
  <c r="L59" i="25"/>
  <c r="B60" i="25"/>
  <c r="D60" i="25"/>
  <c r="I60" i="25"/>
  <c r="J60" i="25"/>
  <c r="K60" i="25"/>
  <c r="L60" i="25"/>
  <c r="B61" i="25"/>
  <c r="D61" i="25"/>
  <c r="I61" i="25"/>
  <c r="J61" i="25"/>
  <c r="K61" i="25"/>
  <c r="L61" i="25"/>
  <c r="B62" i="25"/>
  <c r="D62" i="25"/>
  <c r="I62" i="25"/>
  <c r="J62" i="25"/>
  <c r="K62" i="25"/>
  <c r="L62" i="25"/>
  <c r="B63" i="25"/>
  <c r="D63" i="25"/>
  <c r="I63" i="25"/>
  <c r="J63" i="25"/>
  <c r="K63" i="25"/>
  <c r="L63" i="25"/>
  <c r="B64" i="25"/>
  <c r="D64" i="25"/>
  <c r="I64" i="25"/>
  <c r="J64" i="25"/>
  <c r="K64" i="25"/>
  <c r="L64" i="25"/>
  <c r="B65" i="25"/>
  <c r="D65" i="25"/>
  <c r="I65" i="25"/>
  <c r="J65" i="25"/>
  <c r="K65" i="25"/>
  <c r="L65" i="25"/>
  <c r="B66" i="25"/>
  <c r="D66" i="25"/>
  <c r="I66" i="25"/>
  <c r="J66" i="25"/>
  <c r="K66" i="25"/>
  <c r="L66" i="25"/>
  <c r="B67" i="25"/>
  <c r="D67" i="25"/>
  <c r="I67" i="25"/>
  <c r="J67" i="25"/>
  <c r="K67" i="25"/>
  <c r="L67" i="25"/>
  <c r="B68" i="25"/>
  <c r="D68" i="25"/>
  <c r="I68" i="25"/>
  <c r="J68" i="25"/>
  <c r="K68" i="25"/>
  <c r="L68" i="25"/>
  <c r="B69" i="25"/>
  <c r="D69" i="25"/>
  <c r="I69" i="25"/>
  <c r="J69" i="25"/>
  <c r="K69" i="25"/>
  <c r="L69" i="25"/>
  <c r="B70" i="25"/>
  <c r="D70" i="25"/>
  <c r="I70" i="25"/>
  <c r="J70" i="25"/>
  <c r="K70" i="25"/>
  <c r="L70" i="25"/>
  <c r="B71" i="25"/>
  <c r="D71" i="25"/>
  <c r="I71" i="25"/>
  <c r="J71" i="25"/>
  <c r="K71" i="25"/>
  <c r="L71" i="25"/>
  <c r="B72" i="25"/>
  <c r="D72" i="25"/>
  <c r="I72" i="25"/>
  <c r="J72" i="25"/>
  <c r="K72" i="25"/>
  <c r="L72" i="25"/>
  <c r="B73" i="25"/>
  <c r="D73" i="25"/>
  <c r="I73" i="25"/>
  <c r="J73" i="25"/>
  <c r="K73" i="25"/>
  <c r="L73" i="25"/>
  <c r="B74" i="25"/>
  <c r="D74" i="25"/>
  <c r="I74" i="25"/>
  <c r="J74" i="25"/>
  <c r="K74" i="25"/>
  <c r="L74" i="25"/>
  <c r="B75" i="25"/>
  <c r="D75" i="25"/>
  <c r="I75" i="25"/>
  <c r="J75" i="25"/>
  <c r="K75" i="25"/>
  <c r="L75" i="25"/>
  <c r="B76" i="25"/>
  <c r="D76" i="25"/>
  <c r="I76" i="25"/>
  <c r="J76" i="25"/>
  <c r="K76" i="25"/>
  <c r="L76" i="25"/>
  <c r="B77" i="25"/>
  <c r="D77" i="25"/>
  <c r="I77" i="25"/>
  <c r="J77" i="25"/>
  <c r="K77" i="25"/>
  <c r="L77" i="25"/>
  <c r="B78" i="25"/>
  <c r="D78" i="25"/>
  <c r="I78" i="25"/>
  <c r="J78" i="25"/>
  <c r="K78" i="25"/>
  <c r="L78" i="25"/>
  <c r="B79" i="25"/>
  <c r="D79" i="25"/>
  <c r="I79" i="25"/>
  <c r="J79" i="25"/>
  <c r="K79" i="25"/>
  <c r="L79" i="25"/>
  <c r="B80" i="25"/>
  <c r="D80" i="25"/>
  <c r="I80" i="25"/>
  <c r="J80" i="25"/>
  <c r="K80" i="25"/>
  <c r="L80" i="25"/>
  <c r="B81" i="25"/>
  <c r="D81" i="25"/>
  <c r="I81" i="25"/>
  <c r="J81" i="25"/>
  <c r="K81" i="25"/>
  <c r="L81" i="25"/>
  <c r="B82" i="25"/>
  <c r="D82" i="25"/>
  <c r="I82" i="25"/>
  <c r="J82" i="25"/>
  <c r="K82" i="25"/>
  <c r="L82" i="25"/>
  <c r="B83" i="25"/>
  <c r="D83" i="25"/>
  <c r="I83" i="25"/>
  <c r="J83" i="25"/>
  <c r="K83" i="25"/>
  <c r="D84" i="25"/>
  <c r="I84" i="25"/>
  <c r="J84" i="25"/>
  <c r="K84" i="25"/>
  <c r="L84" i="25"/>
  <c r="I85" i="25"/>
  <c r="J85" i="25"/>
  <c r="K85" i="25"/>
  <c r="L85" i="25"/>
  <c r="B86" i="25"/>
  <c r="D86" i="25"/>
  <c r="I86" i="25"/>
  <c r="J86" i="25"/>
  <c r="K86" i="25"/>
  <c r="L86" i="25"/>
  <c r="B87" i="25"/>
  <c r="D87" i="25"/>
  <c r="I87" i="25"/>
  <c r="J87" i="25"/>
  <c r="K87" i="25"/>
  <c r="L87" i="25"/>
  <c r="B88" i="25"/>
  <c r="D88" i="25"/>
  <c r="I88" i="25"/>
  <c r="J88" i="25"/>
  <c r="D89" i="25"/>
  <c r="I89" i="25"/>
  <c r="J89" i="25"/>
  <c r="K89" i="25"/>
  <c r="L89" i="25"/>
  <c r="I90" i="25"/>
  <c r="J90" i="25"/>
  <c r="K90" i="25"/>
  <c r="L90" i="25"/>
  <c r="B91" i="25"/>
  <c r="D91" i="25"/>
  <c r="I91" i="25"/>
  <c r="J91" i="25"/>
  <c r="K91" i="25"/>
  <c r="L91" i="25"/>
  <c r="B92" i="25"/>
  <c r="D92" i="25"/>
  <c r="I92" i="25"/>
  <c r="J92" i="25"/>
  <c r="D93" i="25"/>
  <c r="I93" i="25"/>
  <c r="J93" i="25"/>
  <c r="K93" i="25"/>
  <c r="L93" i="25"/>
  <c r="I94" i="25"/>
  <c r="J94" i="25"/>
  <c r="K94" i="25"/>
  <c r="L94" i="25"/>
  <c r="B95" i="25"/>
  <c r="D95" i="25"/>
  <c r="I95" i="25"/>
  <c r="J95" i="25"/>
  <c r="K95" i="25"/>
  <c r="L95" i="25"/>
  <c r="B96" i="25"/>
  <c r="D96" i="25"/>
  <c r="I96" i="25"/>
  <c r="J96" i="25"/>
  <c r="K96" i="25"/>
  <c r="L96" i="25"/>
  <c r="B97" i="25"/>
  <c r="D97" i="25"/>
  <c r="I97" i="25"/>
  <c r="J97" i="25"/>
  <c r="K97" i="25"/>
  <c r="L97" i="25"/>
  <c r="B98" i="25"/>
  <c r="D98" i="25"/>
  <c r="I98" i="25"/>
  <c r="J98" i="25"/>
  <c r="K98" i="25"/>
  <c r="L98" i="25"/>
  <c r="B99" i="25"/>
  <c r="D99" i="25"/>
  <c r="I99" i="25"/>
  <c r="J99" i="25"/>
  <c r="K99" i="25"/>
  <c r="L99" i="25"/>
  <c r="B100" i="25"/>
  <c r="D100" i="25"/>
  <c r="I100" i="25"/>
  <c r="J100" i="25"/>
  <c r="K100" i="25"/>
  <c r="L100" i="25"/>
  <c r="B101" i="25"/>
  <c r="D101" i="25"/>
  <c r="I101" i="25"/>
  <c r="J101" i="25"/>
  <c r="K101" i="25"/>
  <c r="L101" i="25"/>
  <c r="B102" i="25"/>
  <c r="D102" i="25"/>
  <c r="I102" i="25"/>
  <c r="J102" i="25"/>
  <c r="L102" i="25"/>
  <c r="D103" i="25"/>
  <c r="I103" i="25"/>
  <c r="J103" i="25"/>
  <c r="K103" i="25"/>
  <c r="L103" i="25"/>
  <c r="I104" i="25"/>
  <c r="J104" i="25"/>
  <c r="K104" i="25"/>
  <c r="L104" i="25"/>
  <c r="B105" i="25"/>
  <c r="D105" i="25"/>
  <c r="I105" i="25"/>
  <c r="J105" i="25"/>
  <c r="K105" i="25"/>
  <c r="L105" i="25"/>
  <c r="B106" i="25"/>
  <c r="D106" i="25"/>
  <c r="I106" i="25"/>
  <c r="J106" i="25"/>
  <c r="K106" i="25"/>
  <c r="L106" i="25"/>
  <c r="B107" i="25"/>
  <c r="D107" i="25"/>
  <c r="I107" i="25"/>
  <c r="J107" i="25"/>
  <c r="K107" i="25"/>
  <c r="L107" i="25"/>
  <c r="B108" i="25"/>
  <c r="D108" i="25"/>
  <c r="I108" i="25"/>
  <c r="J108" i="25"/>
  <c r="K108" i="25"/>
  <c r="L108" i="25"/>
  <c r="B109" i="25"/>
  <c r="D109" i="25"/>
  <c r="I109" i="25"/>
  <c r="J109" i="25"/>
  <c r="D110" i="25"/>
  <c r="I110" i="25"/>
  <c r="J110" i="25"/>
  <c r="K110" i="25"/>
  <c r="L110" i="25"/>
  <c r="I111" i="25"/>
  <c r="J111" i="25"/>
  <c r="K111" i="25"/>
  <c r="L111" i="25"/>
  <c r="B112" i="25"/>
  <c r="D112" i="25"/>
  <c r="I112" i="25"/>
  <c r="J112" i="25"/>
  <c r="K112" i="25"/>
  <c r="L112" i="25"/>
  <c r="B113" i="25"/>
  <c r="D113" i="25"/>
  <c r="I113" i="25"/>
  <c r="J113" i="25"/>
  <c r="K113" i="25"/>
  <c r="L113" i="25"/>
  <c r="B114" i="25"/>
  <c r="D114" i="25"/>
  <c r="I114" i="25"/>
  <c r="J114" i="25"/>
  <c r="K114" i="25"/>
  <c r="L114" i="25"/>
  <c r="B115" i="25"/>
  <c r="D115" i="25"/>
  <c r="I115" i="25"/>
  <c r="J115" i="25"/>
  <c r="K115" i="25"/>
  <c r="L115" i="25"/>
  <c r="B116" i="25"/>
  <c r="D116" i="25"/>
  <c r="I116" i="25"/>
  <c r="J116" i="25"/>
  <c r="K116" i="25"/>
  <c r="L116" i="25"/>
  <c r="B117" i="25"/>
  <c r="D117" i="25"/>
  <c r="I117" i="25"/>
  <c r="J117" i="25"/>
  <c r="K117" i="25"/>
  <c r="L117" i="25"/>
  <c r="B118" i="25"/>
  <c r="D118" i="25"/>
  <c r="I118" i="25"/>
  <c r="J118" i="25"/>
  <c r="K118" i="25"/>
  <c r="L118" i="25"/>
  <c r="B119" i="25"/>
  <c r="D119" i="25"/>
  <c r="I119" i="25"/>
  <c r="J119" i="25"/>
  <c r="K119" i="25"/>
  <c r="L119" i="25"/>
  <c r="B120" i="25"/>
  <c r="D120" i="25"/>
  <c r="I120" i="25"/>
  <c r="J120" i="25"/>
  <c r="K120" i="25"/>
  <c r="L120" i="25"/>
  <c r="B121" i="25"/>
  <c r="D121" i="25"/>
  <c r="I121" i="25"/>
  <c r="J121" i="25"/>
  <c r="K121" i="25"/>
  <c r="L121" i="25"/>
  <c r="B122" i="25"/>
  <c r="D122" i="25"/>
  <c r="I122" i="25"/>
  <c r="J122" i="25"/>
  <c r="K122" i="25"/>
  <c r="L122" i="25"/>
  <c r="B123" i="25"/>
  <c r="D123" i="25"/>
  <c r="I123" i="25"/>
  <c r="J123" i="25"/>
  <c r="K123" i="25"/>
  <c r="L123" i="25"/>
  <c r="B124" i="25"/>
  <c r="D124" i="25"/>
  <c r="I124" i="25"/>
  <c r="J124" i="25"/>
  <c r="K124" i="25"/>
  <c r="L124" i="25"/>
  <c r="D125" i="25"/>
  <c r="I125" i="25"/>
  <c r="J125" i="25"/>
  <c r="K125" i="25"/>
  <c r="L125" i="25"/>
  <c r="I126" i="25"/>
  <c r="J126" i="25"/>
  <c r="K126" i="25"/>
  <c r="L126" i="25"/>
  <c r="B127" i="25"/>
  <c r="D127" i="25"/>
  <c r="I127" i="25"/>
  <c r="J127" i="25"/>
  <c r="K127" i="25"/>
  <c r="L127" i="25"/>
  <c r="B128" i="25"/>
  <c r="D128" i="25"/>
  <c r="I128" i="25"/>
  <c r="J128" i="25"/>
  <c r="K128" i="25"/>
  <c r="B129" i="25"/>
  <c r="D129" i="25"/>
  <c r="I129" i="25"/>
  <c r="J129" i="25"/>
  <c r="K129" i="25"/>
  <c r="B130" i="25"/>
  <c r="D130" i="25"/>
  <c r="I130" i="25"/>
  <c r="J130" i="25"/>
  <c r="K130" i="25"/>
  <c r="B131" i="25"/>
  <c r="D131" i="25"/>
  <c r="I131" i="25"/>
  <c r="J131" i="25"/>
  <c r="K131" i="25"/>
  <c r="B132" i="25"/>
  <c r="D132" i="25"/>
  <c r="I132" i="25"/>
  <c r="J132" i="25"/>
  <c r="D133" i="25"/>
  <c r="I133" i="25"/>
  <c r="J133" i="25"/>
  <c r="K133" i="25"/>
  <c r="L133" i="25"/>
  <c r="I134" i="25"/>
  <c r="J134" i="25"/>
  <c r="K134" i="25"/>
  <c r="L134" i="25"/>
  <c r="B135" i="25"/>
  <c r="D135" i="25"/>
  <c r="I135" i="25"/>
  <c r="J135" i="25"/>
  <c r="K135" i="25"/>
  <c r="L135" i="25"/>
  <c r="B136" i="25"/>
  <c r="D136" i="25"/>
  <c r="I136" i="25"/>
  <c r="J136" i="25"/>
  <c r="K136" i="25"/>
  <c r="L136" i="25"/>
  <c r="B137" i="25"/>
  <c r="D137" i="25"/>
  <c r="I137" i="25"/>
  <c r="J137" i="25"/>
  <c r="K137" i="25"/>
  <c r="L137" i="25"/>
  <c r="B138" i="25"/>
  <c r="D138" i="25"/>
  <c r="I138" i="25"/>
  <c r="J138" i="25"/>
  <c r="K138" i="25"/>
  <c r="L138" i="25"/>
  <c r="B139" i="25"/>
  <c r="D139" i="25"/>
  <c r="I139" i="25"/>
  <c r="J139" i="25"/>
  <c r="K139" i="25"/>
  <c r="L139" i="25"/>
  <c r="B140" i="25"/>
  <c r="D140" i="25"/>
  <c r="I140" i="25"/>
  <c r="J140" i="25"/>
  <c r="K140" i="25"/>
  <c r="L140" i="25"/>
  <c r="B141" i="25"/>
  <c r="D141" i="25"/>
  <c r="I141" i="25"/>
  <c r="J141" i="25"/>
  <c r="K141" i="25"/>
  <c r="L141" i="25"/>
  <c r="B142" i="25"/>
  <c r="D142" i="25"/>
  <c r="I142" i="25"/>
  <c r="J142" i="25"/>
  <c r="D143" i="25"/>
  <c r="I143" i="25"/>
  <c r="J143" i="25"/>
  <c r="K143" i="25"/>
  <c r="L143" i="25"/>
  <c r="I144" i="25"/>
  <c r="J144" i="25"/>
  <c r="K144" i="25"/>
  <c r="L144" i="25"/>
  <c r="B145" i="25"/>
  <c r="D145" i="25"/>
  <c r="I145" i="25"/>
  <c r="J145" i="25"/>
  <c r="K145" i="25"/>
  <c r="L145" i="25"/>
  <c r="B146" i="25"/>
  <c r="D146" i="25"/>
  <c r="I146" i="25"/>
  <c r="J146" i="25"/>
  <c r="K146" i="25"/>
  <c r="L146" i="25"/>
  <c r="B147" i="25"/>
  <c r="D147" i="25"/>
  <c r="I147" i="25"/>
  <c r="J147" i="25"/>
  <c r="K147" i="25"/>
  <c r="L147" i="25"/>
  <c r="B148" i="25"/>
  <c r="D148" i="25"/>
  <c r="I148" i="25"/>
  <c r="J148" i="25"/>
  <c r="K148" i="25"/>
  <c r="L148" i="25"/>
  <c r="B149" i="25"/>
  <c r="D149" i="25"/>
  <c r="I149" i="25"/>
  <c r="J149" i="25"/>
  <c r="K149" i="25"/>
  <c r="L149" i="25"/>
  <c r="B150" i="25"/>
  <c r="D150" i="25"/>
  <c r="I150" i="25"/>
  <c r="J150" i="25"/>
  <c r="K150" i="25"/>
  <c r="L150" i="25"/>
  <c r="B151" i="25"/>
  <c r="D151" i="25"/>
  <c r="I151" i="25"/>
  <c r="J151" i="25"/>
  <c r="K151" i="25"/>
  <c r="L151" i="25"/>
  <c r="D152" i="25"/>
  <c r="I152" i="25"/>
  <c r="J152" i="25"/>
  <c r="K152" i="25"/>
  <c r="L152" i="25"/>
  <c r="I153" i="25"/>
  <c r="J153" i="25"/>
  <c r="K153" i="25"/>
  <c r="L153" i="25"/>
  <c r="B154" i="25"/>
  <c r="D154" i="25"/>
  <c r="I154" i="25"/>
  <c r="J154" i="25"/>
  <c r="K154" i="25"/>
  <c r="L154" i="25"/>
  <c r="B155" i="25"/>
  <c r="D155" i="25"/>
  <c r="I155" i="25"/>
  <c r="J155" i="25"/>
  <c r="K155" i="25"/>
  <c r="L155" i="25"/>
  <c r="B156" i="25"/>
  <c r="D156" i="25"/>
  <c r="I156" i="25"/>
  <c r="J156" i="25"/>
  <c r="K156" i="25"/>
  <c r="L156" i="25"/>
  <c r="B157" i="25"/>
  <c r="D157" i="25"/>
  <c r="I157" i="25"/>
  <c r="J157" i="25"/>
  <c r="K157" i="25"/>
  <c r="L157" i="25"/>
  <c r="B158" i="25"/>
  <c r="D158" i="25"/>
  <c r="I158" i="25"/>
  <c r="J158" i="25"/>
  <c r="K158" i="25"/>
  <c r="L158" i="25"/>
  <c r="B159" i="25"/>
  <c r="D159" i="25"/>
  <c r="I159" i="25"/>
  <c r="J159" i="25"/>
  <c r="K159" i="25"/>
  <c r="L159" i="25"/>
  <c r="B160" i="25"/>
  <c r="D160" i="25"/>
  <c r="I160" i="25"/>
  <c r="J160" i="25"/>
  <c r="K160" i="25"/>
  <c r="L160" i="25"/>
  <c r="B161" i="25"/>
  <c r="D161" i="25"/>
  <c r="I161" i="25"/>
  <c r="J161" i="25"/>
  <c r="D162" i="25"/>
  <c r="I162" i="25"/>
  <c r="J162" i="25"/>
  <c r="K162" i="25"/>
  <c r="L162" i="25"/>
  <c r="I163" i="25"/>
  <c r="J163" i="25"/>
  <c r="K163" i="25"/>
  <c r="L163" i="25"/>
  <c r="B164" i="25"/>
  <c r="D164" i="25"/>
  <c r="I164" i="25"/>
  <c r="J164" i="25"/>
  <c r="K164" i="25"/>
  <c r="L164" i="25"/>
  <c r="B165" i="25"/>
  <c r="D165" i="25"/>
  <c r="I165" i="25"/>
  <c r="J165" i="25"/>
  <c r="K165" i="25"/>
  <c r="L165" i="25"/>
  <c r="B166" i="25"/>
  <c r="D166" i="25"/>
  <c r="I166" i="25"/>
  <c r="J166" i="25"/>
  <c r="K166" i="25"/>
  <c r="L166" i="25"/>
  <c r="B167" i="25"/>
  <c r="D167" i="25"/>
  <c r="I167" i="25"/>
  <c r="J167" i="25"/>
  <c r="K167" i="25"/>
  <c r="L167" i="25"/>
  <c r="B168" i="25"/>
  <c r="D168" i="25"/>
  <c r="I168" i="25"/>
  <c r="J168" i="25"/>
  <c r="K168" i="25"/>
  <c r="L168" i="25"/>
  <c r="B169" i="25"/>
  <c r="D169" i="25"/>
  <c r="I169" i="25"/>
  <c r="J169" i="25"/>
  <c r="K169" i="25"/>
  <c r="L169" i="25"/>
  <c r="B170" i="25"/>
  <c r="D170" i="25"/>
  <c r="I170" i="25"/>
  <c r="J170" i="25"/>
  <c r="K170" i="25"/>
  <c r="L170" i="25"/>
  <c r="B171" i="25"/>
  <c r="D171" i="25"/>
  <c r="I171" i="25"/>
  <c r="J171" i="25"/>
  <c r="K171" i="25"/>
  <c r="L171" i="25"/>
  <c r="B172" i="25"/>
  <c r="D172" i="25"/>
  <c r="I172" i="25"/>
  <c r="J172" i="25"/>
  <c r="D173" i="25"/>
  <c r="I173" i="25"/>
  <c r="J173" i="25"/>
  <c r="K173" i="25"/>
  <c r="L173" i="25"/>
  <c r="I174" i="25"/>
  <c r="J174" i="25"/>
  <c r="K174" i="25"/>
  <c r="L174" i="25"/>
  <c r="B175" i="25"/>
  <c r="D175" i="25"/>
  <c r="I175" i="25"/>
  <c r="J175" i="25"/>
  <c r="K175" i="25"/>
  <c r="L175" i="25"/>
  <c r="B176" i="25"/>
  <c r="D176" i="25"/>
  <c r="I176" i="25"/>
  <c r="J176" i="25"/>
  <c r="K176" i="25"/>
  <c r="L176" i="25"/>
  <c r="B177" i="25"/>
  <c r="D177" i="25"/>
  <c r="I177" i="25"/>
  <c r="J177" i="25"/>
  <c r="K177" i="25"/>
  <c r="L177" i="25"/>
  <c r="B178" i="25"/>
  <c r="D178" i="25"/>
  <c r="I178" i="25"/>
  <c r="J178" i="25"/>
  <c r="K178" i="25"/>
  <c r="L178" i="25"/>
  <c r="B179" i="25"/>
  <c r="D179" i="25"/>
  <c r="I179" i="25"/>
  <c r="J179" i="25"/>
  <c r="K179" i="25"/>
  <c r="L179" i="25"/>
  <c r="B180" i="25"/>
  <c r="D180" i="25"/>
  <c r="I180" i="25"/>
  <c r="J180" i="25"/>
  <c r="K180" i="25"/>
  <c r="L180" i="25"/>
  <c r="B181" i="25"/>
  <c r="D181" i="25"/>
  <c r="I181" i="25"/>
  <c r="J181" i="25"/>
  <c r="K181" i="25"/>
  <c r="L181" i="25"/>
  <c r="B182" i="25"/>
  <c r="D182" i="25"/>
  <c r="I182" i="25"/>
  <c r="J182" i="25"/>
  <c r="D183" i="25"/>
  <c r="I183" i="25"/>
  <c r="J183" i="25"/>
  <c r="K183" i="25"/>
  <c r="L183" i="25"/>
  <c r="I184" i="25"/>
  <c r="J184" i="25"/>
  <c r="K184" i="25"/>
  <c r="L184" i="25"/>
  <c r="B185" i="25"/>
  <c r="D185" i="25"/>
  <c r="I185" i="25"/>
  <c r="J185" i="25"/>
  <c r="K185" i="25"/>
  <c r="L185" i="25"/>
  <c r="B186" i="25"/>
  <c r="D186" i="25"/>
  <c r="I186" i="25"/>
  <c r="J186" i="25"/>
  <c r="K186" i="25"/>
  <c r="L186" i="25"/>
  <c r="B187" i="25"/>
  <c r="D187" i="25"/>
  <c r="I187" i="25"/>
  <c r="J187" i="25"/>
  <c r="K187" i="25"/>
  <c r="L187" i="25"/>
  <c r="B188" i="25"/>
  <c r="D188" i="25"/>
  <c r="I188" i="25"/>
  <c r="J188" i="25"/>
  <c r="K188" i="25"/>
  <c r="L188" i="25"/>
  <c r="B189" i="25"/>
  <c r="D189" i="25"/>
  <c r="I189" i="25"/>
  <c r="J189" i="25"/>
  <c r="K189" i="25"/>
  <c r="L189" i="25"/>
  <c r="B190" i="25"/>
  <c r="D190" i="25"/>
  <c r="I190" i="25"/>
  <c r="J190" i="25"/>
  <c r="K190" i="25"/>
  <c r="L190" i="25"/>
  <c r="B191" i="25"/>
  <c r="D191" i="25"/>
  <c r="I191" i="25"/>
  <c r="J191" i="25"/>
  <c r="K191" i="25"/>
  <c r="L191" i="25"/>
  <c r="B192" i="25"/>
  <c r="D192" i="25"/>
  <c r="I192" i="25"/>
  <c r="J192" i="25"/>
  <c r="D193" i="25"/>
  <c r="I193" i="25"/>
  <c r="J193" i="25"/>
  <c r="K193" i="25"/>
  <c r="L193" i="25"/>
  <c r="I194" i="25"/>
  <c r="J194" i="25"/>
  <c r="K194" i="25"/>
  <c r="L194" i="25"/>
  <c r="B195" i="25"/>
  <c r="D195" i="25"/>
  <c r="I195" i="25"/>
  <c r="J195" i="25"/>
  <c r="K195" i="25"/>
  <c r="L195" i="25"/>
  <c r="B196" i="25"/>
  <c r="D196" i="25"/>
  <c r="I196" i="25"/>
  <c r="J196" i="25"/>
  <c r="K196" i="25"/>
  <c r="L196" i="25"/>
  <c r="B197" i="25"/>
  <c r="D197" i="25"/>
  <c r="I197" i="25"/>
  <c r="J197" i="25"/>
  <c r="K197" i="25"/>
  <c r="L197" i="25"/>
  <c r="B198" i="25"/>
  <c r="D198" i="25"/>
  <c r="I198" i="25"/>
  <c r="J198" i="25"/>
  <c r="K198" i="25"/>
  <c r="L198" i="25"/>
  <c r="B199" i="25"/>
  <c r="D199" i="25"/>
  <c r="I199" i="25"/>
  <c r="J199" i="25"/>
  <c r="K199" i="25"/>
  <c r="L199" i="25"/>
  <c r="B200" i="25"/>
  <c r="D200" i="25"/>
  <c r="I200" i="25"/>
  <c r="J200" i="25"/>
  <c r="K200" i="25"/>
  <c r="L200" i="25"/>
  <c r="B201" i="25"/>
  <c r="D201" i="25"/>
  <c r="I201" i="25"/>
  <c r="J201" i="25"/>
  <c r="K201" i="25"/>
  <c r="L201" i="25"/>
  <c r="B202" i="25"/>
  <c r="D202" i="25"/>
  <c r="I202" i="25"/>
  <c r="J202" i="25"/>
  <c r="K202" i="25"/>
  <c r="L202" i="25"/>
  <c r="B203" i="25"/>
  <c r="D203" i="25"/>
  <c r="I203" i="25"/>
  <c r="J203" i="25"/>
  <c r="D204" i="25"/>
  <c r="I204" i="25"/>
  <c r="J204" i="25"/>
  <c r="K204" i="25"/>
  <c r="L204" i="25"/>
  <c r="I205" i="25"/>
  <c r="J205" i="25"/>
  <c r="K205" i="25"/>
  <c r="L205" i="25"/>
  <c r="B206" i="25"/>
  <c r="D206" i="25"/>
  <c r="I206" i="25"/>
  <c r="J206" i="25"/>
  <c r="K206" i="25"/>
  <c r="L206" i="25"/>
  <c r="B207" i="25"/>
  <c r="D207" i="25"/>
  <c r="I207" i="25"/>
  <c r="J207" i="25"/>
  <c r="K207" i="25"/>
  <c r="L207" i="25"/>
  <c r="B208" i="25"/>
  <c r="D208" i="25"/>
  <c r="I208" i="25"/>
  <c r="J208" i="25"/>
  <c r="K208" i="25"/>
  <c r="L208" i="25"/>
  <c r="B209" i="25"/>
  <c r="D209" i="25"/>
  <c r="I209" i="25"/>
  <c r="J209" i="25"/>
  <c r="K209" i="25"/>
  <c r="L209" i="25"/>
  <c r="B210" i="25"/>
  <c r="D210" i="25"/>
  <c r="I210" i="25"/>
  <c r="J210" i="25"/>
  <c r="K210" i="25"/>
  <c r="L210" i="25"/>
  <c r="B211" i="25"/>
  <c r="D211" i="25"/>
  <c r="I211" i="25"/>
  <c r="J211" i="25"/>
  <c r="K211" i="25"/>
  <c r="L211" i="25"/>
  <c r="B212" i="25"/>
  <c r="D212" i="25"/>
  <c r="I212" i="25"/>
  <c r="J212" i="25"/>
  <c r="K212" i="25"/>
  <c r="L212" i="25"/>
  <c r="B213" i="25"/>
  <c r="D213" i="25"/>
  <c r="I213" i="25"/>
  <c r="J213" i="25"/>
  <c r="D214" i="25"/>
  <c r="I214" i="25"/>
  <c r="J214" i="25"/>
  <c r="K214" i="25"/>
  <c r="L214" i="25"/>
  <c r="I215" i="25"/>
  <c r="J215" i="25"/>
  <c r="K215" i="25"/>
  <c r="L215" i="25"/>
  <c r="B216" i="25"/>
  <c r="D216" i="25"/>
  <c r="I216" i="25"/>
  <c r="J216" i="25"/>
  <c r="K216" i="25"/>
  <c r="L216" i="25"/>
  <c r="B217" i="25"/>
  <c r="D217" i="25"/>
  <c r="I217" i="25"/>
  <c r="J217" i="25"/>
  <c r="K217" i="25"/>
  <c r="L217" i="25"/>
  <c r="B218" i="25"/>
  <c r="D218" i="25"/>
  <c r="I218" i="25"/>
  <c r="J218" i="25"/>
  <c r="K218" i="25"/>
  <c r="L218" i="25"/>
  <c r="B219" i="25"/>
  <c r="D219" i="25"/>
  <c r="I219" i="25"/>
  <c r="J219" i="25"/>
  <c r="K219" i="25"/>
  <c r="L219" i="25"/>
  <c r="B220" i="25"/>
  <c r="D220" i="25"/>
  <c r="I220" i="25"/>
  <c r="J220" i="25"/>
  <c r="K220" i="25"/>
  <c r="L220" i="25"/>
  <c r="B221" i="25"/>
  <c r="D221" i="25"/>
  <c r="I221" i="25"/>
  <c r="J221" i="25"/>
  <c r="K221" i="25"/>
  <c r="L221" i="25"/>
  <c r="B222" i="25"/>
  <c r="D222" i="25"/>
  <c r="I222" i="25"/>
  <c r="J222" i="25"/>
  <c r="K222" i="25"/>
  <c r="L222" i="25"/>
  <c r="B223" i="25"/>
  <c r="D223" i="25"/>
  <c r="I223" i="25"/>
  <c r="J223" i="25"/>
  <c r="D224" i="25"/>
  <c r="I224" i="25"/>
  <c r="J224" i="25"/>
  <c r="K224" i="25"/>
  <c r="L224" i="25"/>
  <c r="I225" i="25"/>
  <c r="J225" i="25"/>
  <c r="K225" i="25"/>
  <c r="L225" i="25"/>
  <c r="B226" i="25"/>
  <c r="D226" i="25"/>
  <c r="I226" i="25"/>
  <c r="J226" i="25"/>
  <c r="K226" i="25"/>
  <c r="L226" i="25"/>
  <c r="B227" i="25"/>
  <c r="D227" i="25"/>
  <c r="I227" i="25"/>
  <c r="J227" i="25"/>
  <c r="K227" i="25"/>
  <c r="L227" i="25"/>
  <c r="B228" i="25"/>
  <c r="D228" i="25"/>
  <c r="I228" i="25"/>
  <c r="J228" i="25"/>
  <c r="K228" i="25"/>
  <c r="L228" i="25"/>
  <c r="B229" i="25"/>
  <c r="D229" i="25"/>
  <c r="I229" i="25"/>
  <c r="J229" i="25"/>
  <c r="K229" i="25"/>
  <c r="L229" i="25"/>
  <c r="B230" i="25"/>
  <c r="D230" i="25"/>
  <c r="I230" i="25"/>
  <c r="J230" i="25"/>
  <c r="K230" i="25"/>
  <c r="L230" i="25"/>
  <c r="B231" i="25"/>
  <c r="D231" i="25"/>
  <c r="I231" i="25"/>
  <c r="J231" i="25"/>
  <c r="K231" i="25"/>
  <c r="L231" i="25"/>
  <c r="B232" i="25"/>
  <c r="D232" i="25"/>
  <c r="I232" i="25"/>
  <c r="J232" i="25"/>
  <c r="K232" i="25"/>
  <c r="L232" i="25"/>
  <c r="B233" i="25"/>
  <c r="D233" i="25"/>
  <c r="I233" i="25"/>
  <c r="J233" i="25"/>
  <c r="K233" i="25"/>
  <c r="L233" i="25"/>
  <c r="B234" i="25"/>
  <c r="D234" i="25"/>
  <c r="I234" i="25"/>
  <c r="J234" i="25"/>
  <c r="K234" i="25"/>
  <c r="L234" i="25"/>
  <c r="B235" i="25"/>
  <c r="D235" i="25"/>
  <c r="I235" i="25"/>
  <c r="J235" i="25"/>
  <c r="K235" i="25"/>
  <c r="L235" i="25"/>
  <c r="B236" i="25"/>
  <c r="D236" i="25"/>
  <c r="I236" i="25"/>
  <c r="J236" i="25"/>
  <c r="K236" i="25"/>
  <c r="L236" i="25"/>
  <c r="B237" i="25"/>
  <c r="D237" i="25"/>
  <c r="I237" i="25"/>
  <c r="J237" i="25"/>
  <c r="K237" i="25"/>
  <c r="L237" i="25"/>
  <c r="B238" i="25"/>
  <c r="D238" i="25"/>
  <c r="I238" i="25"/>
  <c r="J238" i="25"/>
  <c r="K238" i="25"/>
  <c r="L238" i="25"/>
  <c r="B239" i="25"/>
  <c r="D239" i="25"/>
  <c r="I239" i="25"/>
  <c r="J239" i="25"/>
  <c r="K239" i="25"/>
  <c r="L239" i="25"/>
  <c r="B240" i="25"/>
  <c r="D240" i="25"/>
  <c r="I240" i="25"/>
  <c r="J240" i="25"/>
  <c r="K240" i="25"/>
  <c r="L240" i="25"/>
  <c r="B241" i="25"/>
  <c r="D241" i="25"/>
  <c r="I241" i="25"/>
  <c r="J241" i="25"/>
  <c r="K241" i="25"/>
  <c r="L241" i="25"/>
  <c r="B242" i="25"/>
  <c r="D242" i="25"/>
  <c r="I242" i="25"/>
  <c r="J242" i="25"/>
  <c r="D243" i="25"/>
  <c r="I243" i="25"/>
  <c r="J243" i="25"/>
  <c r="K243" i="25"/>
  <c r="L243" i="25"/>
  <c r="I244" i="25"/>
  <c r="J244" i="25"/>
  <c r="K244" i="25"/>
  <c r="L244" i="25"/>
  <c r="B245" i="25"/>
  <c r="D245" i="25"/>
  <c r="I245" i="25"/>
  <c r="J245" i="25"/>
  <c r="K245" i="25"/>
  <c r="L245" i="25"/>
  <c r="D246" i="25"/>
  <c r="I246" i="25"/>
  <c r="J246" i="25"/>
  <c r="D247" i="25"/>
  <c r="I247" i="25"/>
  <c r="J247" i="25"/>
  <c r="D248" i="25"/>
  <c r="I248" i="25"/>
  <c r="J248" i="25"/>
  <c r="D249" i="25"/>
  <c r="I249" i="25"/>
  <c r="J249" i="25"/>
  <c r="D250" i="25"/>
  <c r="I250" i="25"/>
  <c r="J250" i="25"/>
  <c r="D251" i="25"/>
  <c r="I251" i="25"/>
  <c r="J251" i="25"/>
  <c r="D252" i="25"/>
  <c r="I252" i="25"/>
  <c r="J252" i="25"/>
  <c r="K252" i="25"/>
  <c r="L252" i="25"/>
  <c r="J253" i="25"/>
  <c r="K253" i="25"/>
  <c r="L253" i="25"/>
  <c r="B254" i="25"/>
  <c r="D254" i="25"/>
  <c r="I254" i="25"/>
  <c r="J254" i="25"/>
  <c r="L254" i="25"/>
  <c r="B255" i="25"/>
  <c r="D255" i="25"/>
  <c r="I255" i="25"/>
  <c r="J255" i="25"/>
  <c r="B256" i="25"/>
  <c r="D256" i="25"/>
  <c r="I256" i="25"/>
  <c r="J256" i="25"/>
  <c r="B257" i="25"/>
  <c r="D257" i="25"/>
  <c r="I257" i="25"/>
  <c r="J257" i="25"/>
  <c r="D258" i="25"/>
  <c r="I258" i="25"/>
  <c r="J258" i="25"/>
  <c r="K258" i="25"/>
  <c r="L258" i="25"/>
  <c r="I259" i="25"/>
  <c r="J259" i="25"/>
  <c r="K259" i="25"/>
  <c r="L259" i="25"/>
  <c r="D260" i="25"/>
  <c r="I260" i="25"/>
  <c r="J260" i="25"/>
  <c r="K260" i="25"/>
  <c r="L260" i="25"/>
  <c r="D261" i="25"/>
  <c r="I261" i="25"/>
  <c r="J261" i="25"/>
  <c r="K261" i="25"/>
  <c r="L261" i="25"/>
  <c r="D262" i="25"/>
  <c r="I262" i="25"/>
  <c r="J262" i="25"/>
  <c r="K262" i="25"/>
  <c r="L262" i="25"/>
  <c r="B263" i="25"/>
  <c r="D263" i="25"/>
  <c r="I263" i="25"/>
  <c r="J263" i="25"/>
  <c r="B264" i="25"/>
  <c r="D264" i="25"/>
  <c r="I264" i="25"/>
  <c r="J264" i="25"/>
  <c r="D265" i="25"/>
  <c r="I265" i="25"/>
  <c r="J265" i="25"/>
  <c r="K265" i="25"/>
  <c r="L265" i="25"/>
  <c r="I266" i="25"/>
  <c r="J266" i="25"/>
  <c r="K266" i="25"/>
  <c r="L266" i="25"/>
  <c r="B267" i="25"/>
  <c r="D267" i="25"/>
  <c r="I267" i="25"/>
  <c r="J267" i="25"/>
  <c r="K267" i="25"/>
  <c r="L267" i="25"/>
  <c r="B268" i="25"/>
  <c r="D268" i="25"/>
  <c r="I268" i="25"/>
  <c r="J268" i="25"/>
  <c r="D269" i="25"/>
  <c r="I269" i="25"/>
  <c r="J269" i="25"/>
  <c r="K269" i="25"/>
  <c r="L269" i="25"/>
  <c r="I270" i="25"/>
  <c r="J270" i="25"/>
  <c r="K270" i="25"/>
  <c r="L270" i="25"/>
  <c r="B271" i="25"/>
  <c r="D271" i="25"/>
  <c r="I271" i="25"/>
  <c r="J271" i="25"/>
  <c r="K271" i="25"/>
  <c r="L271" i="25"/>
  <c r="B272" i="25"/>
  <c r="D272" i="25"/>
  <c r="I272" i="25"/>
  <c r="J272" i="25"/>
  <c r="D273" i="25"/>
  <c r="I273" i="25"/>
  <c r="J273" i="25"/>
  <c r="K273" i="25"/>
  <c r="L273" i="25"/>
  <c r="I274" i="25"/>
  <c r="J274" i="25"/>
  <c r="K274" i="25"/>
  <c r="L274" i="25"/>
  <c r="B275" i="25"/>
  <c r="D275" i="25"/>
  <c r="I275" i="25"/>
  <c r="J275" i="25"/>
  <c r="B276" i="25"/>
  <c r="D276" i="25"/>
  <c r="I276" i="25"/>
  <c r="J276" i="25"/>
  <c r="K276" i="25"/>
  <c r="L276" i="25"/>
  <c r="B277" i="25"/>
  <c r="D277" i="25"/>
  <c r="I277" i="25"/>
  <c r="J277" i="25"/>
  <c r="B278" i="25"/>
  <c r="D278" i="25"/>
  <c r="I278" i="25"/>
  <c r="J278" i="25"/>
  <c r="K278" i="25"/>
  <c r="L278" i="25"/>
  <c r="B279" i="25"/>
  <c r="D279" i="25"/>
  <c r="I279" i="25"/>
  <c r="J279" i="25"/>
  <c r="B280" i="25"/>
  <c r="D280" i="25"/>
  <c r="I280" i="25"/>
  <c r="J280" i="25"/>
  <c r="K280" i="25"/>
  <c r="L280" i="25"/>
  <c r="B281" i="25"/>
  <c r="D281" i="25"/>
  <c r="I281" i="25"/>
  <c r="J281" i="25"/>
  <c r="B282" i="25"/>
  <c r="D282" i="25"/>
  <c r="I282" i="25"/>
  <c r="J282" i="25"/>
  <c r="K282" i="25"/>
  <c r="L282" i="25"/>
  <c r="B283" i="25"/>
  <c r="D283" i="25"/>
  <c r="I283" i="25"/>
  <c r="J283" i="25"/>
  <c r="B284" i="25"/>
  <c r="D284" i="25"/>
  <c r="I284" i="25"/>
  <c r="J284" i="25"/>
  <c r="K284" i="25"/>
  <c r="L284" i="25"/>
  <c r="D285" i="25"/>
  <c r="I285" i="25"/>
  <c r="J285" i="25"/>
  <c r="K285" i="25"/>
  <c r="L285" i="25"/>
  <c r="A1" i="16"/>
  <c r="D8" i="16"/>
  <c r="E8" i="16"/>
  <c r="F8" i="16"/>
  <c r="G8" i="16"/>
  <c r="H8" i="16"/>
  <c r="B11" i="16"/>
  <c r="D11" i="16"/>
  <c r="E11" i="16"/>
  <c r="F11" i="16"/>
  <c r="G11" i="16"/>
  <c r="H11" i="16"/>
  <c r="B12" i="16"/>
  <c r="D12" i="16"/>
  <c r="E12" i="16"/>
  <c r="F12" i="16"/>
  <c r="G12" i="16"/>
  <c r="H12" i="16"/>
  <c r="B13" i="16"/>
  <c r="D13" i="16"/>
  <c r="E13" i="16"/>
  <c r="F13" i="16"/>
  <c r="G13" i="16"/>
  <c r="H13" i="16"/>
  <c r="B14" i="16"/>
  <c r="D14" i="16"/>
  <c r="E14" i="16"/>
  <c r="F14" i="16"/>
  <c r="G14" i="16"/>
  <c r="H14" i="16"/>
  <c r="B15" i="16"/>
  <c r="D15" i="16"/>
  <c r="E15" i="16"/>
  <c r="F15" i="16"/>
  <c r="G15" i="16"/>
  <c r="H15" i="16"/>
  <c r="B16" i="16"/>
  <c r="D16" i="16"/>
  <c r="E16" i="16"/>
  <c r="F16" i="16"/>
  <c r="G16" i="16"/>
  <c r="H16" i="16"/>
  <c r="B17" i="16"/>
  <c r="D17" i="16"/>
  <c r="E17" i="16"/>
  <c r="F17" i="16"/>
  <c r="G17" i="16"/>
  <c r="H17" i="16"/>
  <c r="B18" i="16"/>
  <c r="D18" i="16"/>
  <c r="E18" i="16"/>
  <c r="F18" i="16"/>
  <c r="G18" i="16"/>
  <c r="H18" i="16"/>
  <c r="B19" i="16"/>
  <c r="D19" i="16"/>
  <c r="H19" i="16"/>
  <c r="D21" i="16"/>
  <c r="E21" i="16"/>
  <c r="F21" i="16"/>
  <c r="G21" i="16"/>
  <c r="H21" i="16"/>
  <c r="D23" i="16"/>
  <c r="E23" i="16"/>
  <c r="F23" i="16"/>
  <c r="G23" i="16"/>
  <c r="H23" i="16"/>
  <c r="B27" i="16"/>
  <c r="D27" i="16"/>
  <c r="E27" i="16"/>
  <c r="F27" i="16"/>
  <c r="G27" i="16"/>
  <c r="H27" i="16"/>
  <c r="B28" i="16"/>
  <c r="D28" i="16"/>
  <c r="E28" i="16"/>
  <c r="F28" i="16"/>
  <c r="G28" i="16"/>
  <c r="H28" i="16"/>
  <c r="B29" i="16"/>
  <c r="D29" i="16"/>
  <c r="E29" i="16"/>
  <c r="F29" i="16"/>
  <c r="G29" i="16"/>
  <c r="H29" i="16"/>
  <c r="B30" i="16"/>
  <c r="D30" i="16"/>
  <c r="E30" i="16"/>
  <c r="F30" i="16"/>
  <c r="G30" i="16"/>
  <c r="H30" i="16"/>
  <c r="B31" i="16"/>
  <c r="D31" i="16"/>
  <c r="E31" i="16"/>
  <c r="F31" i="16"/>
  <c r="G31" i="16"/>
  <c r="H31" i="16"/>
  <c r="B32" i="16"/>
  <c r="D32" i="16"/>
  <c r="E32" i="16"/>
  <c r="F32" i="16"/>
  <c r="G32" i="16"/>
  <c r="H32" i="16"/>
  <c r="B33" i="16"/>
  <c r="D33" i="16"/>
  <c r="E33" i="16"/>
  <c r="F33" i="16"/>
  <c r="G33" i="16"/>
  <c r="H33" i="16"/>
  <c r="B34" i="16"/>
  <c r="D34" i="16"/>
  <c r="E34" i="16"/>
  <c r="F34" i="16"/>
  <c r="G34" i="16"/>
  <c r="H34" i="16"/>
  <c r="B35" i="16"/>
  <c r="D35" i="16"/>
  <c r="E35" i="16"/>
  <c r="F35" i="16"/>
  <c r="G35" i="16"/>
  <c r="H35" i="16"/>
  <c r="B36" i="16"/>
  <c r="D36" i="16"/>
  <c r="E36" i="16"/>
  <c r="F36" i="16"/>
  <c r="G36" i="16"/>
  <c r="H36" i="16"/>
  <c r="B37" i="16"/>
  <c r="D37" i="16"/>
  <c r="E37" i="16"/>
  <c r="F37" i="16"/>
  <c r="G37" i="16"/>
  <c r="H37" i="16"/>
  <c r="D39" i="16"/>
  <c r="E39" i="16"/>
  <c r="F39" i="16"/>
  <c r="G39" i="16"/>
  <c r="H39" i="16"/>
  <c r="D41" i="16"/>
  <c r="E41" i="16"/>
  <c r="F41" i="16"/>
  <c r="G41" i="16"/>
  <c r="H41" i="16"/>
  <c r="D43" i="16"/>
  <c r="E43" i="16"/>
  <c r="F43" i="16"/>
  <c r="G43" i="16"/>
  <c r="H43" i="16"/>
  <c r="D46" i="16"/>
  <c r="H46" i="16"/>
  <c r="H47" i="16"/>
  <c r="H49" i="16"/>
  <c r="H50" i="16"/>
  <c r="H53" i="16"/>
  <c r="H54" i="16"/>
  <c r="D57" i="16"/>
  <c r="E57" i="16"/>
  <c r="F57" i="16"/>
  <c r="G57" i="16"/>
  <c r="H57" i="16"/>
  <c r="H58" i="16"/>
  <c r="A6" i="43"/>
  <c r="E6" i="43"/>
  <c r="F6" i="43"/>
  <c r="G6" i="43"/>
  <c r="H6" i="43"/>
  <c r="I6" i="43"/>
  <c r="K6" i="43"/>
  <c r="L6" i="43"/>
  <c r="A7" i="43"/>
  <c r="E7" i="43"/>
  <c r="F7" i="43"/>
  <c r="G7" i="43"/>
  <c r="H7" i="43"/>
  <c r="I7" i="43"/>
  <c r="K7" i="43"/>
  <c r="L7" i="43"/>
  <c r="A8" i="43"/>
  <c r="E8" i="43"/>
  <c r="F8" i="43"/>
  <c r="G8" i="43"/>
  <c r="H8" i="43"/>
  <c r="I8" i="43"/>
  <c r="K8" i="43"/>
  <c r="L8" i="43"/>
  <c r="A9" i="43"/>
  <c r="A10" i="43"/>
  <c r="E10" i="43"/>
  <c r="F10" i="43"/>
  <c r="G10" i="43"/>
  <c r="H10" i="43"/>
  <c r="I10" i="43"/>
  <c r="K10" i="43"/>
  <c r="L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E53" i="43"/>
  <c r="F53" i="43"/>
  <c r="G53" i="43"/>
  <c r="H53" i="43"/>
  <c r="I53" i="43"/>
  <c r="K53" i="43"/>
  <c r="L53" i="43"/>
  <c r="A54" i="43"/>
  <c r="E54" i="43"/>
  <c r="F54" i="43"/>
  <c r="G54" i="43"/>
  <c r="H54" i="43"/>
  <c r="I54" i="43"/>
  <c r="K54" i="43"/>
  <c r="L54" i="43"/>
  <c r="A55" i="43"/>
  <c r="E55" i="43"/>
  <c r="F55" i="43"/>
  <c r="G55" i="43"/>
  <c r="H55" i="43"/>
  <c r="I55" i="43"/>
  <c r="K55" i="43"/>
  <c r="L55" i="43"/>
  <c r="A56" i="43"/>
  <c r="E56" i="43"/>
  <c r="F56" i="43"/>
  <c r="G56" i="43"/>
  <c r="H56" i="43"/>
  <c r="I56" i="43"/>
  <c r="K56" i="43"/>
  <c r="L56" i="43"/>
  <c r="A57" i="43"/>
  <c r="E57" i="43"/>
  <c r="F57" i="43"/>
  <c r="G57" i="43"/>
  <c r="H57" i="43"/>
  <c r="I57" i="43"/>
  <c r="K57" i="43"/>
  <c r="L57" i="43"/>
  <c r="A58" i="43"/>
  <c r="E58" i="43"/>
  <c r="F58" i="43"/>
  <c r="G58" i="43"/>
  <c r="H58" i="43"/>
  <c r="I58" i="43"/>
  <c r="K58" i="43"/>
  <c r="L58" i="43"/>
  <c r="A59" i="43"/>
  <c r="A60" i="43"/>
  <c r="A61" i="43"/>
  <c r="E61" i="43"/>
  <c r="F61" i="43"/>
  <c r="G61" i="43"/>
  <c r="H61" i="43"/>
  <c r="I61" i="43"/>
  <c r="K61" i="43"/>
  <c r="L61" i="43"/>
  <c r="A62" i="43"/>
  <c r="A63" i="43"/>
  <c r="A64" i="43"/>
  <c r="A65" i="43"/>
  <c r="E65" i="43"/>
  <c r="F65" i="43"/>
  <c r="G65" i="43"/>
  <c r="H65" i="43"/>
  <c r="I65" i="43"/>
  <c r="K65" i="43"/>
  <c r="L65" i="43"/>
  <c r="A66" i="43"/>
  <c r="A67" i="43"/>
  <c r="E67" i="43"/>
  <c r="F67" i="43"/>
  <c r="G67" i="43"/>
  <c r="H67" i="43"/>
  <c r="I67" i="43"/>
  <c r="K67" i="43"/>
  <c r="L67" i="43"/>
  <c r="A68" i="43"/>
  <c r="E68" i="43"/>
  <c r="F68" i="43"/>
  <c r="G68" i="43"/>
  <c r="H68" i="43"/>
  <c r="I68" i="43"/>
  <c r="K68" i="43"/>
  <c r="L68" i="43"/>
  <c r="A69" i="43"/>
  <c r="E69" i="43"/>
  <c r="F69" i="43"/>
  <c r="G69" i="43"/>
  <c r="H69" i="43"/>
  <c r="I69" i="43"/>
  <c r="K69" i="43"/>
  <c r="L69" i="43"/>
  <c r="A70" i="43"/>
  <c r="K70" i="43"/>
  <c r="A71" i="43"/>
  <c r="E71" i="43"/>
  <c r="F71" i="43"/>
  <c r="G71" i="43"/>
  <c r="H71" i="43"/>
  <c r="I71" i="43"/>
  <c r="K71" i="43"/>
  <c r="L71" i="43"/>
  <c r="A72" i="43"/>
  <c r="K72" i="43"/>
  <c r="L72" i="43"/>
  <c r="A73" i="43"/>
  <c r="K73" i="43"/>
  <c r="L73" i="43"/>
  <c r="A74" i="43"/>
  <c r="K74" i="43"/>
  <c r="L74" i="43"/>
  <c r="A75" i="43"/>
  <c r="E75" i="43"/>
  <c r="F75" i="43"/>
  <c r="G75" i="43"/>
  <c r="H75" i="43"/>
  <c r="I75" i="43"/>
  <c r="K75" i="43"/>
  <c r="L75" i="43"/>
  <c r="A76" i="43"/>
  <c r="A77" i="43"/>
  <c r="E77" i="43"/>
  <c r="F77" i="43"/>
  <c r="G77" i="43"/>
  <c r="H77" i="43"/>
  <c r="I77" i="43"/>
  <c r="K77" i="43"/>
  <c r="L77" i="43"/>
  <c r="A78" i="43"/>
  <c r="E78" i="43"/>
  <c r="F78" i="43"/>
  <c r="G78" i="43"/>
  <c r="H78" i="43"/>
  <c r="I78" i="43"/>
  <c r="K78" i="43"/>
  <c r="A79" i="43"/>
  <c r="A80" i="43"/>
  <c r="E80" i="43"/>
  <c r="F80" i="43"/>
  <c r="G80" i="43"/>
  <c r="H80" i="43"/>
  <c r="I80" i="43"/>
  <c r="K80" i="43"/>
  <c r="L80" i="43"/>
  <c r="A81" i="43"/>
  <c r="E81" i="43"/>
  <c r="K81" i="43"/>
  <c r="A82" i="43"/>
  <c r="A83" i="43"/>
  <c r="E83" i="43"/>
  <c r="F83" i="43"/>
  <c r="G83" i="43"/>
  <c r="H83" i="43"/>
  <c r="I83" i="43"/>
  <c r="K83" i="43"/>
  <c r="L83" i="43"/>
  <c r="A84" i="43"/>
  <c r="A85" i="43"/>
  <c r="E85" i="43"/>
  <c r="A86" i="43"/>
  <c r="E86" i="43"/>
  <c r="F86" i="43"/>
  <c r="G86" i="43"/>
  <c r="H86" i="43"/>
  <c r="I86" i="43"/>
  <c r="K86" i="43"/>
  <c r="A87" i="43"/>
  <c r="A88" i="43"/>
  <c r="F88" i="43"/>
  <c r="K88" i="43"/>
  <c r="L88" i="43"/>
  <c r="A89" i="43"/>
  <c r="F89" i="43"/>
  <c r="K89" i="43"/>
  <c r="L89" i="43"/>
  <c r="A90" i="43"/>
  <c r="E90" i="43"/>
  <c r="F90" i="43"/>
  <c r="G90" i="43"/>
  <c r="H90" i="43"/>
  <c r="I90" i="43"/>
  <c r="K90" i="43"/>
  <c r="A91" i="43"/>
  <c r="F91" i="43"/>
  <c r="K91" i="43"/>
  <c r="L91" i="43"/>
  <c r="A92" i="43"/>
  <c r="F92" i="43"/>
  <c r="K92" i="43"/>
  <c r="L92" i="43"/>
  <c r="A93" i="43"/>
  <c r="A94" i="43"/>
  <c r="E94" i="43"/>
  <c r="F94" i="43"/>
  <c r="G94" i="43"/>
  <c r="H94" i="43"/>
  <c r="I94" i="43"/>
  <c r="K94" i="43"/>
  <c r="L94" i="43"/>
  <c r="A95" i="43"/>
  <c r="A96" i="43"/>
  <c r="E96" i="43"/>
  <c r="F96" i="43"/>
  <c r="G96" i="43"/>
  <c r="H96" i="43"/>
  <c r="I96" i="43"/>
  <c r="K96" i="43"/>
  <c r="L96" i="43"/>
  <c r="A97" i="43"/>
  <c r="E97" i="43"/>
  <c r="F97" i="43"/>
  <c r="G97" i="43"/>
  <c r="H97" i="43"/>
  <c r="I97" i="43"/>
  <c r="K97" i="43"/>
  <c r="L97" i="43"/>
  <c r="A98" i="43"/>
  <c r="E98" i="43"/>
  <c r="F98" i="43"/>
  <c r="G98" i="43"/>
  <c r="H98" i="43"/>
  <c r="I98" i="43"/>
  <c r="K98" i="43"/>
  <c r="L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E123" i="43"/>
  <c r="F123" i="43"/>
  <c r="G123" i="43"/>
  <c r="H123" i="43"/>
  <c r="I123" i="43"/>
  <c r="K123" i="43"/>
  <c r="L123" i="43"/>
  <c r="A124" i="43"/>
  <c r="A125" i="43"/>
  <c r="L125" i="43"/>
  <c r="A126" i="43"/>
  <c r="L126" i="43"/>
  <c r="A127" i="43"/>
  <c r="L127" i="43"/>
  <c r="A128" i="43"/>
  <c r="E128" i="43"/>
  <c r="F128" i="43"/>
  <c r="G128" i="43"/>
  <c r="H128" i="43"/>
  <c r="I128" i="43"/>
  <c r="K128" i="43"/>
  <c r="L128" i="43"/>
  <c r="A129" i="43"/>
  <c r="A130" i="43"/>
  <c r="A131" i="43"/>
  <c r="A132" i="43"/>
  <c r="E132" i="43"/>
  <c r="F132" i="43"/>
  <c r="G132" i="43"/>
  <c r="H132" i="43"/>
  <c r="I132" i="43"/>
  <c r="K132" i="43"/>
  <c r="L132" i="43"/>
  <c r="A133" i="43"/>
  <c r="A134" i="43"/>
  <c r="E134" i="43"/>
  <c r="F134" i="43"/>
  <c r="G134" i="43"/>
  <c r="H134" i="43"/>
  <c r="I134" i="43"/>
  <c r="K134" i="43"/>
  <c r="L134" i="43"/>
  <c r="A135" i="43"/>
  <c r="E135" i="43"/>
  <c r="F135" i="43"/>
  <c r="G135" i="43"/>
  <c r="H135" i="43"/>
  <c r="I135" i="43"/>
  <c r="K135" i="43"/>
  <c r="L135" i="43"/>
  <c r="A136" i="43"/>
  <c r="L136" i="43"/>
  <c r="A137" i="43"/>
  <c r="A138" i="43"/>
  <c r="L138" i="43"/>
  <c r="A139" i="43"/>
  <c r="L139" i="43"/>
  <c r="A140" i="43"/>
  <c r="L140" i="43"/>
  <c r="A141" i="43"/>
  <c r="L141" i="43"/>
  <c r="A142" i="43"/>
  <c r="E142" i="43"/>
  <c r="F142" i="43"/>
  <c r="G142" i="43"/>
  <c r="H142" i="43"/>
  <c r="I142" i="43"/>
  <c r="K142" i="43"/>
  <c r="L142" i="43"/>
  <c r="A143" i="43"/>
  <c r="A144" i="43"/>
  <c r="A145" i="43"/>
  <c r="A146" i="43"/>
  <c r="A147" i="43"/>
  <c r="A148" i="43"/>
  <c r="A149" i="43"/>
  <c r="E149" i="43"/>
  <c r="F149" i="43"/>
  <c r="G149" i="43"/>
  <c r="H149" i="43"/>
  <c r="I149" i="43"/>
  <c r="K149" i="43"/>
  <c r="L149" i="43"/>
  <c r="A150" i="43"/>
  <c r="A151" i="43"/>
  <c r="A152" i="43"/>
  <c r="A153" i="43"/>
  <c r="A154" i="43"/>
  <c r="A155" i="43"/>
  <c r="E155" i="43"/>
  <c r="F155" i="43"/>
  <c r="G155" i="43"/>
  <c r="H155" i="43"/>
  <c r="I155" i="43"/>
  <c r="K155" i="43"/>
  <c r="A156" i="43"/>
  <c r="E156" i="43"/>
  <c r="F156" i="43"/>
  <c r="G156" i="43"/>
  <c r="H156" i="43"/>
  <c r="I156" i="43"/>
  <c r="K156" i="43"/>
  <c r="A157" i="43"/>
  <c r="E157" i="43"/>
  <c r="F157" i="43"/>
  <c r="G157" i="43"/>
  <c r="H157" i="43"/>
  <c r="I157" i="43"/>
  <c r="K157" i="43"/>
  <c r="L157" i="43"/>
  <c r="A158" i="43"/>
  <c r="A159" i="43"/>
  <c r="A160" i="43"/>
  <c r="A161" i="43"/>
  <c r="A162" i="43"/>
  <c r="A163" i="43"/>
  <c r="A164" i="43"/>
  <c r="E164" i="43"/>
  <c r="F164" i="43"/>
  <c r="G164" i="43"/>
  <c r="H164" i="43"/>
  <c r="I164" i="43"/>
  <c r="K164" i="43"/>
  <c r="L164" i="43"/>
  <c r="A165" i="43"/>
  <c r="A166" i="43"/>
  <c r="E166" i="43"/>
  <c r="F166" i="43"/>
  <c r="G166" i="43"/>
  <c r="H166" i="43"/>
  <c r="I166" i="43"/>
  <c r="K166" i="43"/>
  <c r="L166" i="43"/>
  <c r="A167" i="43"/>
  <c r="E167" i="43"/>
  <c r="F167" i="43"/>
  <c r="G167" i="43"/>
  <c r="H167" i="43"/>
  <c r="I167" i="43"/>
  <c r="K167" i="43"/>
  <c r="L167" i="43"/>
  <c r="A168" i="43"/>
  <c r="E168" i="43"/>
  <c r="F168" i="43"/>
  <c r="G168" i="43"/>
  <c r="H168" i="43"/>
  <c r="I168" i="43"/>
  <c r="K168" i="43"/>
  <c r="L168" i="43"/>
  <c r="A169" i="43"/>
  <c r="E169" i="43"/>
  <c r="F169" i="43"/>
  <c r="G169" i="43"/>
  <c r="H169" i="43"/>
  <c r="I169" i="43"/>
  <c r="K169" i="43"/>
  <c r="L169" i="43"/>
  <c r="A170" i="43"/>
  <c r="A171" i="43"/>
  <c r="A172" i="43"/>
  <c r="E172" i="43"/>
  <c r="F172" i="43"/>
  <c r="G172" i="43"/>
  <c r="H172" i="43"/>
  <c r="I172" i="43"/>
  <c r="K172" i="43"/>
  <c r="L172" i="43"/>
  <c r="A173" i="43"/>
  <c r="A174" i="43"/>
  <c r="E174" i="43"/>
  <c r="F174" i="43"/>
  <c r="G174" i="43"/>
  <c r="H174" i="43"/>
  <c r="I174" i="43"/>
  <c r="K174" i="43"/>
  <c r="L174" i="43"/>
  <c r="A175" i="43"/>
  <c r="E175" i="43"/>
  <c r="F175" i="43"/>
  <c r="G175" i="43"/>
  <c r="H175" i="43"/>
  <c r="I175" i="43"/>
  <c r="K175" i="43"/>
  <c r="L175" i="43"/>
  <c r="A176" i="43"/>
  <c r="E176" i="43"/>
  <c r="F176" i="43"/>
  <c r="G176" i="43"/>
  <c r="H176" i="43"/>
  <c r="I176" i="43"/>
  <c r="K176" i="43"/>
  <c r="L176" i="43"/>
  <c r="A177" i="43"/>
  <c r="E177" i="43"/>
  <c r="F177" i="43"/>
  <c r="G177" i="43"/>
  <c r="H177" i="43"/>
  <c r="I177" i="43"/>
  <c r="K177" i="43"/>
  <c r="L177" i="43"/>
  <c r="A178" i="43"/>
  <c r="E178" i="43"/>
  <c r="F178" i="43"/>
  <c r="G178" i="43"/>
  <c r="H178" i="43"/>
  <c r="I178" i="43"/>
  <c r="K178" i="43"/>
  <c r="L178" i="43"/>
  <c r="A179" i="43"/>
  <c r="A180" i="43"/>
  <c r="A181" i="43"/>
  <c r="A182" i="43"/>
  <c r="E182" i="43"/>
  <c r="F182" i="43"/>
  <c r="G182" i="43"/>
  <c r="H182" i="43"/>
  <c r="I182" i="43"/>
  <c r="K182" i="43"/>
  <c r="L182" i="43"/>
  <c r="A183" i="43"/>
  <c r="A184" i="43"/>
  <c r="E184" i="43"/>
  <c r="F184" i="43"/>
  <c r="G184" i="43"/>
  <c r="H184" i="43"/>
  <c r="I184" i="43"/>
  <c r="K184" i="43"/>
  <c r="L184" i="43"/>
  <c r="A185" i="43"/>
  <c r="E185" i="43"/>
  <c r="F185" i="43"/>
  <c r="G185" i="43"/>
  <c r="H185" i="43"/>
  <c r="I185" i="43"/>
  <c r="K185" i="43"/>
  <c r="L185" i="43"/>
  <c r="A186" i="43"/>
  <c r="E186" i="43"/>
  <c r="F186" i="43"/>
  <c r="G186" i="43"/>
  <c r="H186" i="43"/>
  <c r="I186" i="43"/>
  <c r="K186" i="43"/>
  <c r="L186" i="43"/>
  <c r="A187" i="43"/>
  <c r="E187" i="43"/>
  <c r="F187" i="43"/>
  <c r="G187" i="43"/>
  <c r="H187" i="43"/>
  <c r="I187" i="43"/>
  <c r="K187" i="43"/>
  <c r="L187" i="43"/>
  <c r="A188" i="43"/>
  <c r="E188" i="43"/>
  <c r="F188" i="43"/>
  <c r="G188" i="43"/>
  <c r="H188" i="43"/>
  <c r="I188" i="43"/>
  <c r="K188" i="43"/>
  <c r="L188" i="43"/>
  <c r="A189" i="43"/>
  <c r="A190" i="43"/>
  <c r="A191" i="43"/>
  <c r="E191" i="43"/>
  <c r="F191" i="43"/>
  <c r="G191" i="43"/>
  <c r="H191" i="43"/>
  <c r="I191" i="43"/>
  <c r="K191" i="43"/>
  <c r="L191" i="43"/>
  <c r="A192" i="43"/>
  <c r="A193" i="43"/>
  <c r="E193" i="43"/>
  <c r="F193" i="43"/>
  <c r="G193" i="43"/>
  <c r="H193" i="43"/>
  <c r="I193" i="43"/>
  <c r="K193" i="43"/>
  <c r="L193" i="43"/>
  <c r="A194" i="43"/>
  <c r="E194" i="43"/>
  <c r="F194" i="43"/>
  <c r="G194" i="43"/>
  <c r="H194" i="43"/>
  <c r="I194" i="43"/>
  <c r="K194" i="43"/>
  <c r="L194" i="43"/>
  <c r="A195" i="43"/>
  <c r="E195" i="43"/>
  <c r="F195" i="43"/>
  <c r="G195" i="43"/>
  <c r="H195" i="43"/>
  <c r="I195" i="43"/>
  <c r="K195" i="43"/>
  <c r="L195" i="43"/>
  <c r="A196" i="43"/>
  <c r="E196" i="43"/>
  <c r="F196" i="43"/>
  <c r="G196" i="43"/>
  <c r="H196" i="43"/>
  <c r="I196" i="43"/>
  <c r="K196" i="43"/>
  <c r="L196" i="43"/>
  <c r="A197" i="43"/>
  <c r="E197" i="43"/>
  <c r="F197" i="43"/>
  <c r="G197" i="43"/>
  <c r="H197" i="43"/>
  <c r="I197" i="43"/>
  <c r="K197" i="43"/>
  <c r="L197" i="43"/>
  <c r="A198" i="43"/>
  <c r="E198" i="43"/>
  <c r="A199" i="43"/>
  <c r="A200" i="43"/>
  <c r="A201" i="43"/>
  <c r="E201" i="43"/>
  <c r="F201" i="43"/>
  <c r="G201" i="43"/>
  <c r="H201" i="43"/>
  <c r="I201" i="43"/>
  <c r="K201" i="43"/>
  <c r="L201" i="43"/>
  <c r="A202" i="43"/>
  <c r="A203" i="43"/>
  <c r="E203" i="43"/>
  <c r="F203" i="43"/>
  <c r="G203" i="43"/>
  <c r="H203" i="43"/>
  <c r="I203" i="43"/>
  <c r="K203" i="43"/>
  <c r="L203" i="43"/>
  <c r="A204" i="43"/>
  <c r="E204" i="43"/>
  <c r="F204" i="43"/>
  <c r="G204" i="43"/>
  <c r="H204" i="43"/>
  <c r="I204" i="43"/>
  <c r="K204" i="43"/>
  <c r="L204" i="43"/>
  <c r="A205" i="43"/>
  <c r="E205" i="43"/>
  <c r="F205" i="43"/>
  <c r="G205" i="43"/>
  <c r="H205" i="43"/>
  <c r="I205" i="43"/>
  <c r="K205" i="43"/>
  <c r="L205" i="43"/>
  <c r="A206" i="43"/>
  <c r="E206" i="43"/>
  <c r="F206" i="43"/>
  <c r="G206" i="43"/>
  <c r="H206" i="43"/>
  <c r="I206" i="43"/>
  <c r="K206" i="43"/>
  <c r="L206" i="43"/>
  <c r="A207" i="43"/>
  <c r="E207" i="43"/>
  <c r="F207" i="43"/>
  <c r="G207" i="43"/>
  <c r="H207" i="43"/>
  <c r="I207" i="43"/>
  <c r="K207" i="43"/>
  <c r="L207" i="43"/>
  <c r="A208" i="43"/>
  <c r="E208" i="43"/>
  <c r="F208" i="43"/>
  <c r="G208" i="43"/>
  <c r="H208" i="43"/>
  <c r="I208" i="43"/>
  <c r="K208" i="43"/>
  <c r="L208" i="43"/>
  <c r="A209" i="43"/>
  <c r="L209" i="43"/>
  <c r="A210" i="43"/>
  <c r="L210" i="43"/>
  <c r="A211" i="43"/>
  <c r="L211" i="43"/>
  <c r="A212" i="43"/>
  <c r="E212" i="43"/>
  <c r="F212" i="43"/>
  <c r="G212" i="43"/>
  <c r="H212" i="43"/>
  <c r="I212" i="43"/>
  <c r="K212" i="43"/>
  <c r="L212" i="43"/>
  <c r="A213" i="43"/>
  <c r="A214" i="43"/>
  <c r="E214" i="43"/>
  <c r="F214" i="43"/>
  <c r="G214" i="43"/>
  <c r="H214" i="43"/>
  <c r="I214" i="43"/>
  <c r="K214" i="43"/>
  <c r="L214" i="43"/>
  <c r="A215" i="43"/>
  <c r="E215" i="43"/>
  <c r="F215" i="43"/>
  <c r="G215" i="43"/>
  <c r="H215" i="43"/>
  <c r="I215" i="43"/>
  <c r="K215" i="43"/>
  <c r="L215" i="43"/>
  <c r="A216" i="43"/>
  <c r="E216" i="43"/>
  <c r="F216" i="43"/>
  <c r="G216" i="43"/>
  <c r="H216" i="43"/>
  <c r="I216" i="43"/>
  <c r="K216" i="43"/>
  <c r="L216" i="43"/>
  <c r="A217" i="43"/>
  <c r="E217" i="43"/>
  <c r="F217" i="43"/>
  <c r="G217" i="43"/>
  <c r="H217" i="43"/>
  <c r="I217" i="43"/>
  <c r="K217" i="43"/>
  <c r="L217" i="43"/>
  <c r="A218" i="43"/>
  <c r="E218" i="43"/>
  <c r="F218" i="43"/>
  <c r="G218" i="43"/>
  <c r="H218" i="43"/>
  <c r="I218" i="43"/>
  <c r="K218" i="43"/>
  <c r="L218" i="43"/>
  <c r="A219" i="43"/>
  <c r="A220" i="43"/>
  <c r="A221" i="43"/>
  <c r="A222" i="43"/>
  <c r="E222" i="43"/>
  <c r="F222" i="43"/>
  <c r="G222" i="43"/>
  <c r="H222" i="43"/>
  <c r="I222" i="43"/>
  <c r="K222" i="43"/>
  <c r="L222" i="43"/>
  <c r="A223" i="43"/>
  <c r="A224" i="43"/>
  <c r="E224" i="43"/>
  <c r="F224" i="43"/>
  <c r="G224" i="43"/>
  <c r="H224" i="43"/>
  <c r="I224" i="43"/>
  <c r="K224" i="43"/>
  <c r="L224" i="43"/>
  <c r="A225" i="43"/>
  <c r="E225" i="43"/>
  <c r="F225" i="43"/>
  <c r="G225" i="43"/>
  <c r="H225" i="43"/>
  <c r="I225" i="43"/>
  <c r="K225" i="43"/>
  <c r="L225" i="43"/>
  <c r="A226" i="43"/>
  <c r="E226" i="43"/>
  <c r="F226" i="43"/>
  <c r="G226" i="43"/>
  <c r="H226" i="43"/>
  <c r="I226" i="43"/>
  <c r="K226" i="43"/>
  <c r="L226" i="43"/>
  <c r="A227" i="43"/>
  <c r="E227" i="43"/>
  <c r="F227" i="43"/>
  <c r="G227" i="43"/>
  <c r="H227" i="43"/>
  <c r="I227" i="43"/>
  <c r="K227" i="43"/>
  <c r="L227" i="43"/>
  <c r="A228" i="43"/>
  <c r="E228" i="43"/>
  <c r="F228" i="43"/>
  <c r="G228" i="43"/>
  <c r="H228" i="43"/>
  <c r="I228" i="43"/>
  <c r="K228" i="43"/>
  <c r="L228" i="43"/>
  <c r="A229" i="43"/>
  <c r="A230" i="43"/>
  <c r="A231" i="43"/>
  <c r="A232" i="43"/>
  <c r="E232" i="43"/>
  <c r="F232" i="43"/>
  <c r="G232" i="43"/>
  <c r="H232" i="43"/>
  <c r="I232" i="43"/>
  <c r="K232" i="43"/>
  <c r="L232" i="43"/>
  <c r="A233" i="43"/>
  <c r="A234" i="43"/>
  <c r="E234" i="43"/>
  <c r="F234" i="43"/>
  <c r="G234" i="43"/>
  <c r="H234" i="43"/>
  <c r="I234" i="43"/>
  <c r="K234" i="43"/>
  <c r="L234" i="43"/>
  <c r="A235" i="43"/>
  <c r="E235" i="43"/>
  <c r="F235" i="43"/>
  <c r="G235" i="43"/>
  <c r="H235" i="43"/>
  <c r="I235" i="43"/>
  <c r="K235" i="43"/>
  <c r="L235" i="43"/>
  <c r="A236" i="43"/>
  <c r="E236" i="43"/>
  <c r="F236" i="43"/>
  <c r="G236" i="43"/>
  <c r="H236" i="43"/>
  <c r="I236" i="43"/>
  <c r="K236" i="43"/>
  <c r="L236" i="43"/>
  <c r="A237" i="43"/>
  <c r="E237" i="43"/>
  <c r="F237" i="43"/>
  <c r="G237" i="43"/>
  <c r="H237" i="43"/>
  <c r="I237" i="43"/>
  <c r="K237" i="43"/>
  <c r="L237" i="43"/>
  <c r="A238" i="43"/>
  <c r="E238" i="43"/>
  <c r="F238" i="43"/>
  <c r="G238" i="43"/>
  <c r="H238" i="43"/>
  <c r="I238" i="43"/>
  <c r="K238" i="43"/>
  <c r="L238" i="43"/>
  <c r="A239" i="43"/>
  <c r="A240" i="43"/>
  <c r="A241" i="43"/>
  <c r="A242" i="43"/>
  <c r="A243" i="43"/>
  <c r="E243" i="43"/>
  <c r="F243" i="43"/>
  <c r="G243" i="43"/>
  <c r="H243" i="43"/>
  <c r="I243" i="43"/>
  <c r="K243" i="43"/>
  <c r="L243" i="43"/>
  <c r="A244" i="43"/>
  <c r="A245" i="43"/>
  <c r="A246" i="43"/>
  <c r="A247" i="43"/>
  <c r="A248" i="43"/>
  <c r="A249" i="43"/>
  <c r="A250" i="43"/>
  <c r="A251" i="43"/>
  <c r="A252" i="43"/>
  <c r="A253" i="43"/>
  <c r="E253" i="43"/>
  <c r="F253" i="43"/>
  <c r="G253" i="43"/>
  <c r="H253" i="43"/>
  <c r="I253" i="43"/>
  <c r="K253" i="43"/>
  <c r="L253" i="43"/>
  <c r="A254" i="43"/>
  <c r="A255" i="43"/>
  <c r="E255" i="43"/>
  <c r="A256" i="43"/>
  <c r="A257" i="43"/>
  <c r="A258" i="43"/>
  <c r="A259" i="43"/>
  <c r="A260" i="43"/>
  <c r="A261" i="43"/>
  <c r="A262" i="43"/>
  <c r="A263" i="43"/>
  <c r="E263" i="43"/>
  <c r="F263" i="43"/>
  <c r="G263" i="43"/>
  <c r="H263" i="43"/>
  <c r="I263" i="43"/>
  <c r="K263" i="43"/>
  <c r="L263" i="43"/>
  <c r="A264" i="43"/>
  <c r="A265" i="43"/>
  <c r="E265" i="43"/>
  <c r="F265" i="43"/>
  <c r="G265" i="43"/>
  <c r="H265" i="43"/>
  <c r="I265" i="43"/>
  <c r="K265" i="43"/>
  <c r="L265" i="43"/>
  <c r="A266" i="43"/>
  <c r="A267" i="43"/>
  <c r="A268" i="43"/>
  <c r="A269" i="43"/>
  <c r="A270" i="43"/>
  <c r="K270" i="43"/>
  <c r="L270" i="43"/>
  <c r="A271" i="43"/>
  <c r="K271" i="43"/>
  <c r="L271" i="43"/>
  <c r="A272" i="43"/>
  <c r="K272" i="43"/>
  <c r="L272" i="43"/>
  <c r="A273" i="43"/>
  <c r="K273" i="43"/>
  <c r="L273" i="43"/>
  <c r="A274" i="43"/>
  <c r="K274" i="43"/>
  <c r="L274" i="43"/>
  <c r="A275" i="43"/>
  <c r="K275" i="43"/>
  <c r="L275" i="43"/>
  <c r="A276" i="43"/>
  <c r="K276" i="43"/>
  <c r="L276" i="43"/>
  <c r="A277" i="43"/>
  <c r="K277" i="43"/>
  <c r="L277" i="43"/>
  <c r="A278" i="43"/>
  <c r="A279" i="43"/>
  <c r="K279" i="43"/>
  <c r="L279" i="43"/>
  <c r="A280" i="43"/>
  <c r="K280" i="43"/>
  <c r="L280" i="43"/>
  <c r="A281" i="43"/>
  <c r="K281" i="43"/>
  <c r="L281" i="43"/>
  <c r="A282" i="43"/>
  <c r="E282" i="43"/>
  <c r="F282" i="43"/>
  <c r="G282" i="43"/>
  <c r="H282" i="43"/>
  <c r="I282" i="43"/>
  <c r="K282" i="43"/>
  <c r="L282" i="43"/>
  <c r="A283" i="43"/>
  <c r="A284" i="43"/>
  <c r="E284" i="43"/>
  <c r="F284" i="43"/>
  <c r="G284" i="43"/>
  <c r="H284" i="43"/>
  <c r="I284" i="43"/>
  <c r="K284" i="43"/>
  <c r="A285" i="43"/>
  <c r="A286" i="43"/>
  <c r="A287" i="43"/>
  <c r="A288" i="43"/>
  <c r="A289" i="43"/>
  <c r="A290" i="43"/>
  <c r="A291" i="43"/>
  <c r="E291" i="43"/>
  <c r="F291" i="43"/>
  <c r="G291" i="43"/>
  <c r="H291" i="43"/>
  <c r="I291" i="43"/>
  <c r="K291" i="43"/>
  <c r="L291" i="43"/>
  <c r="A292" i="43"/>
  <c r="A293" i="43"/>
  <c r="A294" i="43"/>
  <c r="A295" i="43"/>
  <c r="A296" i="43"/>
  <c r="A297" i="43"/>
  <c r="E297" i="43"/>
  <c r="F297" i="43"/>
  <c r="G297" i="43"/>
  <c r="H297" i="43"/>
  <c r="I297" i="43"/>
  <c r="K297" i="43"/>
  <c r="L297" i="43"/>
  <c r="A298" i="43"/>
  <c r="A299" i="43"/>
  <c r="F299" i="43"/>
  <c r="G299" i="43"/>
  <c r="H299" i="43"/>
  <c r="I299" i="43"/>
  <c r="K299" i="43"/>
  <c r="A300" i="43"/>
  <c r="F300" i="43"/>
  <c r="G300" i="43"/>
  <c r="H300" i="43"/>
  <c r="I300" i="43"/>
  <c r="K300" i="43"/>
  <c r="A301" i="43"/>
  <c r="F301" i="43"/>
  <c r="G301" i="43"/>
  <c r="H301" i="43"/>
  <c r="I301" i="43"/>
  <c r="K301" i="43"/>
  <c r="A302" i="43"/>
  <c r="E302" i="43"/>
  <c r="A303" i="43"/>
  <c r="A304" i="43"/>
  <c r="E304" i="43"/>
  <c r="F304" i="43"/>
  <c r="G304" i="43"/>
  <c r="H304" i="43"/>
  <c r="I304" i="43"/>
  <c r="K304" i="43"/>
  <c r="A305" i="43"/>
  <c r="A306" i="43"/>
  <c r="A307" i="43"/>
  <c r="A308" i="43"/>
  <c r="E308" i="43"/>
  <c r="F308" i="43"/>
  <c r="G308" i="43"/>
  <c r="H308" i="43"/>
  <c r="I308" i="43"/>
  <c r="K308" i="43"/>
  <c r="L308" i="43"/>
  <c r="A309" i="43"/>
  <c r="A310" i="43"/>
  <c r="E310" i="43"/>
  <c r="F310" i="43"/>
  <c r="G310" i="43"/>
  <c r="H310" i="43"/>
  <c r="I310" i="43"/>
  <c r="K310" i="43"/>
  <c r="L310" i="43"/>
  <c r="A311" i="43"/>
  <c r="A312" i="43"/>
  <c r="E312" i="43"/>
  <c r="F312" i="43"/>
  <c r="G312" i="43"/>
  <c r="H312" i="43"/>
  <c r="I312" i="43"/>
  <c r="K312" i="43"/>
  <c r="L312" i="43"/>
  <c r="A313" i="43"/>
  <c r="A314" i="43"/>
  <c r="A315" i="43"/>
  <c r="E315" i="43"/>
  <c r="F315" i="43"/>
  <c r="G315" i="43"/>
  <c r="H315" i="43"/>
  <c r="I315" i="43"/>
  <c r="K315" i="43"/>
  <c r="A316" i="43"/>
  <c r="A317" i="43"/>
  <c r="E317" i="43"/>
  <c r="F317" i="43"/>
  <c r="G317" i="43"/>
  <c r="H317" i="43"/>
  <c r="I317" i="43"/>
  <c r="K317" i="43"/>
  <c r="A318" i="43"/>
  <c r="A319" i="43"/>
  <c r="E319" i="43"/>
  <c r="F319" i="43"/>
  <c r="G319" i="43"/>
  <c r="H319" i="43"/>
  <c r="I319" i="43"/>
  <c r="K319" i="43"/>
  <c r="A320" i="43"/>
  <c r="A321" i="43"/>
  <c r="A322" i="43"/>
  <c r="A323" i="43"/>
  <c r="A324" i="43"/>
  <c r="E324" i="43"/>
  <c r="F324" i="43"/>
  <c r="G324" i="43"/>
  <c r="H324" i="43"/>
  <c r="I324" i="43"/>
  <c r="K324" i="43"/>
  <c r="L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D1" i="42"/>
  <c r="C5" i="42"/>
  <c r="R7" i="42"/>
  <c r="R8" i="42"/>
  <c r="Q9" i="42"/>
  <c r="R9" i="42"/>
  <c r="B10" i="42"/>
  <c r="D10" i="42"/>
  <c r="E10" i="42"/>
  <c r="F10" i="42"/>
  <c r="G10" i="42"/>
  <c r="H10" i="42"/>
  <c r="L10" i="42"/>
  <c r="M10" i="42"/>
  <c r="Q10" i="42"/>
  <c r="R10" i="42"/>
  <c r="B11" i="42"/>
  <c r="D11" i="42"/>
  <c r="E11" i="42"/>
  <c r="F11" i="42"/>
  <c r="G11" i="42"/>
  <c r="H11" i="42"/>
  <c r="L11" i="42"/>
  <c r="M11" i="42"/>
  <c r="Q11" i="42"/>
  <c r="R11" i="42"/>
  <c r="B12" i="42"/>
  <c r="D12" i="42"/>
  <c r="E12" i="42"/>
  <c r="F12" i="42"/>
  <c r="G12" i="42"/>
  <c r="H12" i="42"/>
  <c r="L12" i="42"/>
  <c r="M12" i="42"/>
  <c r="Q12" i="42"/>
  <c r="R12" i="42"/>
  <c r="B13" i="42"/>
  <c r="D13" i="42"/>
  <c r="E13" i="42"/>
  <c r="F13" i="42"/>
  <c r="G13" i="42"/>
  <c r="H13" i="42"/>
  <c r="L13" i="42"/>
  <c r="M13" i="42"/>
  <c r="Q13" i="42"/>
  <c r="R13" i="42"/>
  <c r="B14" i="42"/>
  <c r="D14" i="42"/>
  <c r="E14" i="42"/>
  <c r="F14" i="42"/>
  <c r="G14" i="42"/>
  <c r="H14" i="42"/>
  <c r="L14" i="42"/>
  <c r="M14" i="42"/>
  <c r="Q14" i="42"/>
  <c r="R14" i="42"/>
  <c r="B15" i="42"/>
  <c r="D15" i="42"/>
  <c r="E15" i="42"/>
  <c r="F15" i="42"/>
  <c r="G15" i="42"/>
  <c r="H15" i="42"/>
  <c r="L15" i="42"/>
  <c r="M15" i="42"/>
  <c r="Q15" i="42"/>
  <c r="R15" i="42"/>
  <c r="B16" i="42"/>
  <c r="D16" i="42"/>
  <c r="E16" i="42"/>
  <c r="F16" i="42"/>
  <c r="G16" i="42"/>
  <c r="H16" i="42"/>
  <c r="L16" i="42"/>
  <c r="M16" i="42"/>
  <c r="Q16" i="42"/>
  <c r="R16" i="42"/>
  <c r="B17" i="42"/>
  <c r="D17" i="42"/>
  <c r="E17" i="42"/>
  <c r="F17" i="42"/>
  <c r="G17" i="42"/>
  <c r="H17" i="42"/>
  <c r="L17" i="42"/>
  <c r="M17" i="42"/>
  <c r="Q17" i="42"/>
  <c r="R17" i="42"/>
  <c r="B18" i="42"/>
  <c r="D18" i="42"/>
  <c r="E18" i="42"/>
  <c r="F18" i="42"/>
  <c r="G18" i="42"/>
  <c r="H18" i="42"/>
  <c r="L18" i="42"/>
  <c r="M18" i="42"/>
  <c r="Q18" i="42"/>
  <c r="R18" i="42"/>
  <c r="B19" i="42"/>
  <c r="D19" i="42"/>
  <c r="E19" i="42"/>
  <c r="F19" i="42"/>
  <c r="G19" i="42"/>
  <c r="H19" i="42"/>
  <c r="L19" i="42"/>
  <c r="M19" i="42"/>
  <c r="Q19" i="42"/>
  <c r="R19" i="42"/>
  <c r="B20" i="42"/>
  <c r="D20" i="42"/>
  <c r="E20" i="42"/>
  <c r="F20" i="42"/>
  <c r="G20" i="42"/>
  <c r="H20" i="42"/>
  <c r="L20" i="42"/>
  <c r="M20" i="42"/>
  <c r="Q20" i="42"/>
  <c r="R20" i="42"/>
  <c r="Q21" i="42"/>
  <c r="R21" i="42"/>
  <c r="Q22" i="42"/>
  <c r="B23" i="42"/>
  <c r="D23" i="42"/>
  <c r="E23" i="42"/>
  <c r="F23" i="42"/>
  <c r="G23" i="42"/>
  <c r="H23" i="42"/>
  <c r="L23" i="42"/>
  <c r="M23" i="42"/>
  <c r="Q23" i="42"/>
  <c r="B24" i="42"/>
  <c r="D24" i="42"/>
  <c r="E24" i="42"/>
  <c r="F24" i="42"/>
  <c r="G24" i="42"/>
  <c r="H24" i="42"/>
  <c r="L24" i="42"/>
  <c r="M24" i="42"/>
  <c r="Q24" i="42"/>
  <c r="B25" i="42"/>
  <c r="D25" i="42"/>
  <c r="E25" i="42"/>
  <c r="F25" i="42"/>
  <c r="G25" i="42"/>
  <c r="H25" i="42"/>
  <c r="L25" i="42"/>
  <c r="M25" i="42"/>
  <c r="Q25" i="42"/>
  <c r="B26" i="42"/>
  <c r="D26" i="42"/>
  <c r="E26" i="42"/>
  <c r="F26" i="42"/>
  <c r="G26" i="42"/>
  <c r="H26" i="42"/>
  <c r="L26" i="42"/>
  <c r="M26" i="42"/>
  <c r="Q26" i="42"/>
  <c r="B27" i="42"/>
  <c r="D27" i="42"/>
  <c r="E27" i="42"/>
  <c r="F27" i="42"/>
  <c r="G27" i="42"/>
  <c r="H27" i="42"/>
  <c r="L27" i="42"/>
  <c r="M27" i="42"/>
  <c r="Q27" i="42"/>
  <c r="B28" i="42"/>
  <c r="D28" i="42"/>
  <c r="E28" i="42"/>
  <c r="F28" i="42"/>
  <c r="G28" i="42"/>
  <c r="H28" i="42"/>
  <c r="L28" i="42"/>
  <c r="M28" i="42"/>
  <c r="B29" i="42"/>
  <c r="D29" i="42"/>
  <c r="E29" i="42"/>
  <c r="F29" i="42"/>
  <c r="G29" i="42"/>
  <c r="H29" i="42"/>
  <c r="L29" i="42"/>
  <c r="M29" i="42"/>
  <c r="B30" i="42"/>
  <c r="D30" i="42"/>
  <c r="E30" i="42"/>
  <c r="F30" i="42"/>
  <c r="G30" i="42"/>
  <c r="H30" i="42"/>
  <c r="L30" i="42"/>
  <c r="M30" i="42"/>
  <c r="B31" i="42"/>
  <c r="D31" i="42"/>
  <c r="E31" i="42"/>
  <c r="F31" i="42"/>
  <c r="G31" i="42"/>
  <c r="H31" i="42"/>
  <c r="L31" i="42"/>
  <c r="M31" i="42"/>
  <c r="B32" i="42"/>
  <c r="D32" i="42"/>
  <c r="E32" i="42"/>
  <c r="F32" i="42"/>
  <c r="G32" i="42"/>
  <c r="H32" i="42"/>
  <c r="L32" i="42"/>
  <c r="M32" i="42"/>
  <c r="B33" i="42"/>
  <c r="D33" i="42"/>
  <c r="E33" i="42"/>
  <c r="F33" i="42"/>
  <c r="G33" i="42"/>
  <c r="H33" i="42"/>
  <c r="L33" i="42"/>
  <c r="M33" i="42"/>
  <c r="B36" i="42"/>
  <c r="D36" i="42"/>
  <c r="E36" i="42"/>
  <c r="F36" i="42"/>
  <c r="G36" i="42"/>
  <c r="H36" i="42"/>
  <c r="L36" i="42"/>
  <c r="M36" i="42"/>
  <c r="B37" i="42"/>
  <c r="D37" i="42"/>
  <c r="E37" i="42"/>
  <c r="F37" i="42"/>
  <c r="G37" i="42"/>
  <c r="H37" i="42"/>
  <c r="L37" i="42"/>
  <c r="M37" i="42"/>
  <c r="B38" i="42"/>
  <c r="D38" i="42"/>
  <c r="E38" i="42"/>
  <c r="F38" i="42"/>
  <c r="G38" i="42"/>
  <c r="H38" i="42"/>
  <c r="L38" i="42"/>
  <c r="M38" i="42"/>
  <c r="B39" i="42"/>
  <c r="D39" i="42"/>
  <c r="E39" i="42"/>
  <c r="F39" i="42"/>
  <c r="G39" i="42"/>
  <c r="H39" i="42"/>
  <c r="L39" i="42"/>
  <c r="M39" i="42"/>
  <c r="B40" i="42"/>
  <c r="D40" i="42"/>
  <c r="E40" i="42"/>
  <c r="F40" i="42"/>
  <c r="G40" i="42"/>
  <c r="H40" i="42"/>
  <c r="L40" i="42"/>
  <c r="M40" i="42"/>
  <c r="B41" i="42"/>
  <c r="D41" i="42"/>
  <c r="E41" i="42"/>
  <c r="F41" i="42"/>
  <c r="G41" i="42"/>
  <c r="H41" i="42"/>
  <c r="L41" i="42"/>
  <c r="M41" i="42"/>
  <c r="B42" i="42"/>
  <c r="D42" i="42"/>
  <c r="E42" i="42"/>
  <c r="F42" i="42"/>
  <c r="G42" i="42"/>
  <c r="H42" i="42"/>
  <c r="L42" i="42"/>
  <c r="M42" i="42"/>
  <c r="B43" i="42"/>
  <c r="D43" i="42"/>
  <c r="E43" i="42"/>
  <c r="F43" i="42"/>
  <c r="G43" i="42"/>
  <c r="H43" i="42"/>
  <c r="L43" i="42"/>
  <c r="M43" i="42"/>
  <c r="B44" i="42"/>
  <c r="D44" i="42"/>
  <c r="E44" i="42"/>
  <c r="F44" i="42"/>
  <c r="G44" i="42"/>
  <c r="H44" i="42"/>
  <c r="L44" i="42"/>
  <c r="M44" i="42"/>
  <c r="B45" i="42"/>
  <c r="D45" i="42"/>
  <c r="E45" i="42"/>
  <c r="F45" i="42"/>
  <c r="G45" i="42"/>
  <c r="H45" i="42"/>
  <c r="L45" i="42"/>
  <c r="M45" i="42"/>
  <c r="B46" i="42"/>
  <c r="D46" i="42"/>
  <c r="E46" i="42"/>
  <c r="F46" i="42"/>
  <c r="G46" i="42"/>
  <c r="H46" i="42"/>
  <c r="L46" i="42"/>
  <c r="M46" i="42"/>
  <c r="C47" i="42"/>
  <c r="D47" i="42"/>
  <c r="G47" i="42"/>
  <c r="L47" i="42"/>
  <c r="M47" i="42"/>
  <c r="M48" i="42"/>
  <c r="C50" i="42"/>
  <c r="D50" i="42"/>
  <c r="E50" i="42"/>
  <c r="F50" i="42"/>
  <c r="G50" i="42"/>
  <c r="H50" i="42"/>
  <c r="I50" i="42"/>
  <c r="J50" i="42"/>
  <c r="K50" i="42"/>
  <c r="L50" i="42"/>
  <c r="M50" i="42"/>
  <c r="B53" i="42"/>
  <c r="C53" i="42"/>
  <c r="D53" i="42"/>
  <c r="E53" i="42"/>
  <c r="F53" i="42"/>
  <c r="G53" i="42"/>
  <c r="H53" i="42"/>
  <c r="I53" i="42"/>
  <c r="J53" i="42"/>
  <c r="K53" i="42"/>
  <c r="L53" i="42"/>
  <c r="M53" i="42"/>
  <c r="B54" i="42"/>
  <c r="C54" i="42"/>
  <c r="D54" i="42"/>
  <c r="E54" i="42"/>
  <c r="F54" i="42"/>
  <c r="G54" i="42"/>
  <c r="H54" i="42"/>
  <c r="I54" i="42"/>
  <c r="J54" i="42"/>
  <c r="K54" i="42"/>
  <c r="L54" i="42"/>
  <c r="M54" i="42"/>
  <c r="B55" i="42"/>
  <c r="C55" i="42"/>
  <c r="D55" i="42"/>
  <c r="E55" i="42"/>
  <c r="F55" i="42"/>
  <c r="G55" i="42"/>
  <c r="H55" i="42"/>
  <c r="I55" i="42"/>
  <c r="J55" i="42"/>
  <c r="K55" i="42"/>
  <c r="L55" i="42"/>
  <c r="M55" i="42"/>
  <c r="B56" i="42"/>
  <c r="C56" i="42"/>
  <c r="D56" i="42"/>
  <c r="E56" i="42"/>
  <c r="F56" i="42"/>
  <c r="G56" i="42"/>
  <c r="H56" i="42"/>
  <c r="I56" i="42"/>
  <c r="J56" i="42"/>
  <c r="K56" i="42"/>
  <c r="L56" i="42"/>
  <c r="M56" i="42"/>
  <c r="B57" i="42"/>
  <c r="C57" i="42"/>
  <c r="D57" i="42"/>
  <c r="E57" i="42"/>
  <c r="F57" i="42"/>
  <c r="G57" i="42"/>
  <c r="H57" i="42"/>
  <c r="I57" i="42"/>
  <c r="J57" i="42"/>
  <c r="K57" i="42"/>
  <c r="L57" i="42"/>
  <c r="M57" i="42"/>
  <c r="B58" i="42"/>
  <c r="C58" i="42"/>
  <c r="D58" i="42"/>
  <c r="E58" i="42"/>
  <c r="F58" i="42"/>
  <c r="G58" i="42"/>
  <c r="H58" i="42"/>
  <c r="I58" i="42"/>
  <c r="J58" i="42"/>
  <c r="K58" i="42"/>
  <c r="L58" i="42"/>
  <c r="M58" i="42"/>
  <c r="B59" i="42"/>
  <c r="C59" i="42"/>
  <c r="D59" i="42"/>
  <c r="E59" i="42"/>
  <c r="F59" i="42"/>
  <c r="G59" i="42"/>
  <c r="H59" i="42"/>
  <c r="I59" i="42"/>
  <c r="J59" i="42"/>
  <c r="K59" i="42"/>
  <c r="L59" i="42"/>
  <c r="M59" i="42"/>
  <c r="B60" i="42"/>
  <c r="C60" i="42"/>
  <c r="D60" i="42"/>
  <c r="E60" i="42"/>
  <c r="F60" i="42"/>
  <c r="G60" i="42"/>
  <c r="H60" i="42"/>
  <c r="I60" i="42"/>
  <c r="J60" i="42"/>
  <c r="K60" i="42"/>
  <c r="L60" i="42"/>
  <c r="M60" i="42"/>
  <c r="B61" i="42"/>
  <c r="C61" i="42"/>
  <c r="D61" i="42"/>
  <c r="E61" i="42"/>
  <c r="F61" i="42"/>
  <c r="G61" i="42"/>
  <c r="H61" i="42"/>
  <c r="I61" i="42"/>
  <c r="J61" i="42"/>
  <c r="K61" i="42"/>
  <c r="L61" i="42"/>
  <c r="M61" i="42"/>
  <c r="B62" i="42"/>
  <c r="C62" i="42"/>
  <c r="D62" i="42"/>
  <c r="E62" i="42"/>
  <c r="F62" i="42"/>
  <c r="G62" i="42"/>
  <c r="H62" i="42"/>
  <c r="I62" i="42"/>
  <c r="J62" i="42"/>
  <c r="K62" i="42"/>
  <c r="L62" i="42"/>
  <c r="M62" i="42"/>
  <c r="B63" i="42"/>
  <c r="C63" i="42"/>
  <c r="D63" i="42"/>
  <c r="E63" i="42"/>
  <c r="F63" i="42"/>
  <c r="G63" i="42"/>
  <c r="H63" i="42"/>
  <c r="I63" i="42"/>
  <c r="J63" i="42"/>
  <c r="K63" i="42"/>
  <c r="L63" i="42"/>
  <c r="M63" i="42"/>
  <c r="B66" i="42"/>
  <c r="C66" i="42"/>
  <c r="D66" i="42"/>
  <c r="E66" i="42"/>
  <c r="F66" i="42"/>
  <c r="G66" i="42"/>
  <c r="H66" i="42"/>
  <c r="I66" i="42"/>
  <c r="J66" i="42"/>
  <c r="K66" i="42"/>
  <c r="L66" i="42"/>
  <c r="M66" i="42"/>
  <c r="B67" i="42"/>
  <c r="C67" i="42"/>
  <c r="D67" i="42"/>
  <c r="E67" i="42"/>
  <c r="F67" i="42"/>
  <c r="G67" i="42"/>
  <c r="H67" i="42"/>
  <c r="I67" i="42"/>
  <c r="J67" i="42"/>
  <c r="K67" i="42"/>
  <c r="L67" i="42"/>
  <c r="M67" i="42"/>
  <c r="B68" i="42"/>
  <c r="C68" i="42"/>
  <c r="D68" i="42"/>
  <c r="E68" i="42"/>
  <c r="F68" i="42"/>
  <c r="G68" i="42"/>
  <c r="H68" i="42"/>
  <c r="I68" i="42"/>
  <c r="J68" i="42"/>
  <c r="K68" i="42"/>
  <c r="L68" i="42"/>
  <c r="M68" i="42"/>
  <c r="B69" i="42"/>
  <c r="C69" i="42"/>
  <c r="D69" i="42"/>
  <c r="E69" i="42"/>
  <c r="F69" i="42"/>
  <c r="G69" i="42"/>
  <c r="H69" i="42"/>
  <c r="I69" i="42"/>
  <c r="J69" i="42"/>
  <c r="K69" i="42"/>
  <c r="L69" i="42"/>
  <c r="M69" i="42"/>
  <c r="B70" i="42"/>
  <c r="C70" i="42"/>
  <c r="D70" i="42"/>
  <c r="E70" i="42"/>
  <c r="F70" i="42"/>
  <c r="G70" i="42"/>
  <c r="H70" i="42"/>
  <c r="I70" i="42"/>
  <c r="J70" i="42"/>
  <c r="K70" i="42"/>
  <c r="L70" i="42"/>
  <c r="M70" i="42"/>
  <c r="B71" i="42"/>
  <c r="C71" i="42"/>
  <c r="D71" i="42"/>
  <c r="E71" i="42"/>
  <c r="F71" i="42"/>
  <c r="G71" i="42"/>
  <c r="H71" i="42"/>
  <c r="I71" i="42"/>
  <c r="J71" i="42"/>
  <c r="K71" i="42"/>
  <c r="L71" i="42"/>
  <c r="M71" i="42"/>
  <c r="B72" i="42"/>
  <c r="C72" i="42"/>
  <c r="D72" i="42"/>
  <c r="E72" i="42"/>
  <c r="F72" i="42"/>
  <c r="G72" i="42"/>
  <c r="H72" i="42"/>
  <c r="I72" i="42"/>
  <c r="J72" i="42"/>
  <c r="K72" i="42"/>
  <c r="L72" i="42"/>
  <c r="M72" i="42"/>
  <c r="B73" i="42"/>
  <c r="C73" i="42"/>
  <c r="D73" i="42"/>
  <c r="E73" i="42"/>
  <c r="F73" i="42"/>
  <c r="G73" i="42"/>
  <c r="H73" i="42"/>
  <c r="I73" i="42"/>
  <c r="J73" i="42"/>
  <c r="K73" i="42"/>
  <c r="L73" i="42"/>
  <c r="M73" i="42"/>
  <c r="B74" i="42"/>
  <c r="C74" i="42"/>
  <c r="D74" i="42"/>
  <c r="E74" i="42"/>
  <c r="F74" i="42"/>
  <c r="G74" i="42"/>
  <c r="H74" i="42"/>
  <c r="I74" i="42"/>
  <c r="J74" i="42"/>
  <c r="K74" i="42"/>
  <c r="L74" i="42"/>
  <c r="M74" i="42"/>
  <c r="B75" i="42"/>
  <c r="C75" i="42"/>
  <c r="D75" i="42"/>
  <c r="E75" i="42"/>
  <c r="F75" i="42"/>
  <c r="G75" i="42"/>
  <c r="H75" i="42"/>
  <c r="I75" i="42"/>
  <c r="J75" i="42"/>
  <c r="K75" i="42"/>
  <c r="L75" i="42"/>
  <c r="M75" i="42"/>
  <c r="B76" i="42"/>
  <c r="C76" i="42"/>
  <c r="D76" i="42"/>
  <c r="E76" i="42"/>
  <c r="F76" i="42"/>
  <c r="G76" i="42"/>
  <c r="H76" i="42"/>
  <c r="I76" i="42"/>
  <c r="J76" i="42"/>
  <c r="K76" i="42"/>
  <c r="L76" i="42"/>
  <c r="M76" i="42"/>
  <c r="B79" i="42"/>
  <c r="C79" i="42"/>
  <c r="D79" i="42"/>
  <c r="E79" i="42"/>
  <c r="F79" i="42"/>
  <c r="G79" i="42"/>
  <c r="H79" i="42"/>
  <c r="I79" i="42"/>
  <c r="J79" i="42"/>
  <c r="K79" i="42"/>
  <c r="L79" i="42"/>
  <c r="M79" i="42"/>
  <c r="B80" i="42"/>
  <c r="C80" i="42"/>
  <c r="D80" i="42"/>
  <c r="E80" i="42"/>
  <c r="F80" i="42"/>
  <c r="G80" i="42"/>
  <c r="H80" i="42"/>
  <c r="I80" i="42"/>
  <c r="J80" i="42"/>
  <c r="K80" i="42"/>
  <c r="L80" i="42"/>
  <c r="M80" i="42"/>
  <c r="B81" i="42"/>
  <c r="C81" i="42"/>
  <c r="D81" i="42"/>
  <c r="E81" i="42"/>
  <c r="F81" i="42"/>
  <c r="G81" i="42"/>
  <c r="H81" i="42"/>
  <c r="I81" i="42"/>
  <c r="J81" i="42"/>
  <c r="K81" i="42"/>
  <c r="L81" i="42"/>
  <c r="M81" i="42"/>
  <c r="B82" i="42"/>
  <c r="C82" i="42"/>
  <c r="D82" i="42"/>
  <c r="E82" i="42"/>
  <c r="F82" i="42"/>
  <c r="G82" i="42"/>
  <c r="H82" i="42"/>
  <c r="I82" i="42"/>
  <c r="J82" i="42"/>
  <c r="K82" i="42"/>
  <c r="L82" i="42"/>
  <c r="M82" i="42"/>
  <c r="B83" i="42"/>
  <c r="C83" i="42"/>
  <c r="D83" i="42"/>
  <c r="E83" i="42"/>
  <c r="F83" i="42"/>
  <c r="G83" i="42"/>
  <c r="H83" i="42"/>
  <c r="I83" i="42"/>
  <c r="J83" i="42"/>
  <c r="K83" i="42"/>
  <c r="L83" i="42"/>
  <c r="M83" i="42"/>
  <c r="B84" i="42"/>
  <c r="C84" i="42"/>
  <c r="D84" i="42"/>
  <c r="E84" i="42"/>
  <c r="F84" i="42"/>
  <c r="G84" i="42"/>
  <c r="H84" i="42"/>
  <c r="I84" i="42"/>
  <c r="J84" i="42"/>
  <c r="K84" i="42"/>
  <c r="L84" i="42"/>
  <c r="M84" i="42"/>
  <c r="B85" i="42"/>
  <c r="C85" i="42"/>
  <c r="D85" i="42"/>
  <c r="E85" i="42"/>
  <c r="F85" i="42"/>
  <c r="G85" i="42"/>
  <c r="H85" i="42"/>
  <c r="I85" i="42"/>
  <c r="J85" i="42"/>
  <c r="K85" i="42"/>
  <c r="L85" i="42"/>
  <c r="M85" i="42"/>
  <c r="B86" i="42"/>
  <c r="C86" i="42"/>
  <c r="D86" i="42"/>
  <c r="E86" i="42"/>
  <c r="F86" i="42"/>
  <c r="G86" i="42"/>
  <c r="H86" i="42"/>
  <c r="I86" i="42"/>
  <c r="J86" i="42"/>
  <c r="K86" i="42"/>
  <c r="L86" i="42"/>
  <c r="M86" i="42"/>
  <c r="B87" i="42"/>
  <c r="C87" i="42"/>
  <c r="D87" i="42"/>
  <c r="E87" i="42"/>
  <c r="F87" i="42"/>
  <c r="G87" i="42"/>
  <c r="H87" i="42"/>
  <c r="I87" i="42"/>
  <c r="J87" i="42"/>
  <c r="K87" i="42"/>
  <c r="L87" i="42"/>
  <c r="M87" i="42"/>
  <c r="B88" i="42"/>
  <c r="C88" i="42"/>
  <c r="D88" i="42"/>
  <c r="E88" i="42"/>
  <c r="F88" i="42"/>
  <c r="G88" i="42"/>
  <c r="H88" i="42"/>
  <c r="I88" i="42"/>
  <c r="J88" i="42"/>
  <c r="K88" i="42"/>
  <c r="L88" i="42"/>
  <c r="M88" i="42"/>
  <c r="B89" i="42"/>
  <c r="C89" i="42"/>
  <c r="D89" i="42"/>
  <c r="E89" i="42"/>
  <c r="F89" i="42"/>
  <c r="G89" i="42"/>
  <c r="H89" i="42"/>
  <c r="I89" i="42"/>
  <c r="J89" i="42"/>
  <c r="K89" i="42"/>
  <c r="L89" i="42"/>
  <c r="M89" i="42"/>
  <c r="C90" i="42"/>
  <c r="D90" i="42"/>
  <c r="G90" i="42"/>
  <c r="L90" i="42"/>
  <c r="M90" i="42"/>
  <c r="M91" i="42"/>
  <c r="C93" i="42"/>
  <c r="D93" i="42"/>
  <c r="E93" i="42"/>
  <c r="F93" i="42"/>
  <c r="G93" i="42"/>
  <c r="H93" i="42"/>
  <c r="I93" i="42"/>
  <c r="J93" i="42"/>
  <c r="K93" i="42"/>
  <c r="L93" i="42"/>
  <c r="M93" i="42"/>
  <c r="B96" i="42"/>
  <c r="C96" i="42"/>
  <c r="D96" i="42"/>
  <c r="E96" i="42"/>
  <c r="F96" i="42"/>
  <c r="G96" i="42"/>
  <c r="H96" i="42"/>
  <c r="I96" i="42"/>
  <c r="J96" i="42"/>
  <c r="K96" i="42"/>
  <c r="L96" i="42"/>
  <c r="M96" i="42"/>
  <c r="B97" i="42"/>
  <c r="C97" i="42"/>
  <c r="D97" i="42"/>
  <c r="E97" i="42"/>
  <c r="F97" i="42"/>
  <c r="G97" i="42"/>
  <c r="H97" i="42"/>
  <c r="I97" i="42"/>
  <c r="J97" i="42"/>
  <c r="K97" i="42"/>
  <c r="L97" i="42"/>
  <c r="M97" i="42"/>
  <c r="B98" i="42"/>
  <c r="C98" i="42"/>
  <c r="D98" i="42"/>
  <c r="E98" i="42"/>
  <c r="F98" i="42"/>
  <c r="G98" i="42"/>
  <c r="H98" i="42"/>
  <c r="I98" i="42"/>
  <c r="J98" i="42"/>
  <c r="K98" i="42"/>
  <c r="L98" i="42"/>
  <c r="M98" i="42"/>
  <c r="B99" i="42"/>
  <c r="C99" i="42"/>
  <c r="D99" i="42"/>
  <c r="E99" i="42"/>
  <c r="F99" i="42"/>
  <c r="G99" i="42"/>
  <c r="H99" i="42"/>
  <c r="I99" i="42"/>
  <c r="J99" i="42"/>
  <c r="K99" i="42"/>
  <c r="L99" i="42"/>
  <c r="M99" i="42"/>
  <c r="B100" i="42"/>
  <c r="C100" i="42"/>
  <c r="D100" i="42"/>
  <c r="E100" i="42"/>
  <c r="F100" i="42"/>
  <c r="G100" i="42"/>
  <c r="H100" i="42"/>
  <c r="I100" i="42"/>
  <c r="J100" i="42"/>
  <c r="K100" i="42"/>
  <c r="L100" i="42"/>
  <c r="M100" i="42"/>
  <c r="B101" i="42"/>
  <c r="C101" i="42"/>
  <c r="D101" i="42"/>
  <c r="E101" i="42"/>
  <c r="F101" i="42"/>
  <c r="G101" i="42"/>
  <c r="H101" i="42"/>
  <c r="I101" i="42"/>
  <c r="J101" i="42"/>
  <c r="K101" i="42"/>
  <c r="L101" i="42"/>
  <c r="M101" i="42"/>
  <c r="B102" i="42"/>
  <c r="C102" i="42"/>
  <c r="D102" i="42"/>
  <c r="E102" i="42"/>
  <c r="F102" i="42"/>
  <c r="G102" i="42"/>
  <c r="H102" i="42"/>
  <c r="I102" i="42"/>
  <c r="J102" i="42"/>
  <c r="K102" i="42"/>
  <c r="L102" i="42"/>
  <c r="M102" i="42"/>
  <c r="B103" i="42"/>
  <c r="C103" i="42"/>
  <c r="D103" i="42"/>
  <c r="E103" i="42"/>
  <c r="F103" i="42"/>
  <c r="G103" i="42"/>
  <c r="H103" i="42"/>
  <c r="I103" i="42"/>
  <c r="J103" i="42"/>
  <c r="K103" i="42"/>
  <c r="L103" i="42"/>
  <c r="M103" i="42"/>
  <c r="B104" i="42"/>
  <c r="C104" i="42"/>
  <c r="D104" i="42"/>
  <c r="E104" i="42"/>
  <c r="F104" i="42"/>
  <c r="G104" i="42"/>
  <c r="H104" i="42"/>
  <c r="I104" i="42"/>
  <c r="J104" i="42"/>
  <c r="K104" i="42"/>
  <c r="L104" i="42"/>
  <c r="M104" i="42"/>
  <c r="B105" i="42"/>
  <c r="C105" i="42"/>
  <c r="D105" i="42"/>
  <c r="E105" i="42"/>
  <c r="F105" i="42"/>
  <c r="G105" i="42"/>
  <c r="H105" i="42"/>
  <c r="I105" i="42"/>
  <c r="J105" i="42"/>
  <c r="K105" i="42"/>
  <c r="L105" i="42"/>
  <c r="M105" i="42"/>
  <c r="B106" i="42"/>
  <c r="C106" i="42"/>
  <c r="D106" i="42"/>
  <c r="E106" i="42"/>
  <c r="F106" i="42"/>
  <c r="G106" i="42"/>
  <c r="H106" i="42"/>
  <c r="I106" i="42"/>
  <c r="J106" i="42"/>
  <c r="K106" i="42"/>
  <c r="L106" i="42"/>
  <c r="M106" i="42"/>
  <c r="B109" i="42"/>
  <c r="C109" i="42"/>
  <c r="D109" i="42"/>
  <c r="E109" i="42"/>
  <c r="F109" i="42"/>
  <c r="G109" i="42"/>
  <c r="H109" i="42"/>
  <c r="I109" i="42"/>
  <c r="J109" i="42"/>
  <c r="K109" i="42"/>
  <c r="L109" i="42"/>
  <c r="M109" i="42"/>
  <c r="B110" i="42"/>
  <c r="C110" i="42"/>
  <c r="D110" i="42"/>
  <c r="E110" i="42"/>
  <c r="F110" i="42"/>
  <c r="G110" i="42"/>
  <c r="H110" i="42"/>
  <c r="I110" i="42"/>
  <c r="J110" i="42"/>
  <c r="K110" i="42"/>
  <c r="L110" i="42"/>
  <c r="M110" i="42"/>
  <c r="B111" i="42"/>
  <c r="C111" i="42"/>
  <c r="D111" i="42"/>
  <c r="E111" i="42"/>
  <c r="F111" i="42"/>
  <c r="G111" i="42"/>
  <c r="H111" i="42"/>
  <c r="I111" i="42"/>
  <c r="J111" i="42"/>
  <c r="K111" i="42"/>
  <c r="L111" i="42"/>
  <c r="M111" i="42"/>
  <c r="B112" i="42"/>
  <c r="C112" i="42"/>
  <c r="D112" i="42"/>
  <c r="E112" i="42"/>
  <c r="F112" i="42"/>
  <c r="G112" i="42"/>
  <c r="H112" i="42"/>
  <c r="I112" i="42"/>
  <c r="J112" i="42"/>
  <c r="K112" i="42"/>
  <c r="L112" i="42"/>
  <c r="M112" i="42"/>
  <c r="B113" i="42"/>
  <c r="C113" i="42"/>
  <c r="D113" i="42"/>
  <c r="E113" i="42"/>
  <c r="F113" i="42"/>
  <c r="G113" i="42"/>
  <c r="H113" i="42"/>
  <c r="I113" i="42"/>
  <c r="J113" i="42"/>
  <c r="K113" i="42"/>
  <c r="L113" i="42"/>
  <c r="M113" i="42"/>
  <c r="B114" i="42"/>
  <c r="C114" i="42"/>
  <c r="D114" i="42"/>
  <c r="E114" i="42"/>
  <c r="F114" i="42"/>
  <c r="G114" i="42"/>
  <c r="H114" i="42"/>
  <c r="I114" i="42"/>
  <c r="J114" i="42"/>
  <c r="K114" i="42"/>
  <c r="L114" i="42"/>
  <c r="M114" i="42"/>
  <c r="B115" i="42"/>
  <c r="C115" i="42"/>
  <c r="D115" i="42"/>
  <c r="E115" i="42"/>
  <c r="F115" i="42"/>
  <c r="G115" i="42"/>
  <c r="H115" i="42"/>
  <c r="I115" i="42"/>
  <c r="J115" i="42"/>
  <c r="K115" i="42"/>
  <c r="L115" i="42"/>
  <c r="M115" i="42"/>
  <c r="B116" i="42"/>
  <c r="C116" i="42"/>
  <c r="D116" i="42"/>
  <c r="E116" i="42"/>
  <c r="F116" i="42"/>
  <c r="G116" i="42"/>
  <c r="H116" i="42"/>
  <c r="I116" i="42"/>
  <c r="J116" i="42"/>
  <c r="K116" i="42"/>
  <c r="L116" i="42"/>
  <c r="M116" i="42"/>
  <c r="B117" i="42"/>
  <c r="C117" i="42"/>
  <c r="D117" i="42"/>
  <c r="E117" i="42"/>
  <c r="F117" i="42"/>
  <c r="G117" i="42"/>
  <c r="H117" i="42"/>
  <c r="I117" i="42"/>
  <c r="J117" i="42"/>
  <c r="K117" i="42"/>
  <c r="L117" i="42"/>
  <c r="M117" i="42"/>
  <c r="B118" i="42"/>
  <c r="C118" i="42"/>
  <c r="D118" i="42"/>
  <c r="E118" i="42"/>
  <c r="F118" i="42"/>
  <c r="G118" i="42"/>
  <c r="H118" i="42"/>
  <c r="I118" i="42"/>
  <c r="J118" i="42"/>
  <c r="K118" i="42"/>
  <c r="L118" i="42"/>
  <c r="M118" i="42"/>
  <c r="B119" i="42"/>
  <c r="C119" i="42"/>
  <c r="D119" i="42"/>
  <c r="E119" i="42"/>
  <c r="F119" i="42"/>
  <c r="G119" i="42"/>
  <c r="H119" i="42"/>
  <c r="I119" i="42"/>
  <c r="J119" i="42"/>
  <c r="K119" i="42"/>
  <c r="L119" i="42"/>
  <c r="M119" i="42"/>
  <c r="B122" i="42"/>
  <c r="C122" i="42"/>
  <c r="D122" i="42"/>
  <c r="E122" i="42"/>
  <c r="F122" i="42"/>
  <c r="G122" i="42"/>
  <c r="H122" i="42"/>
  <c r="I122" i="42"/>
  <c r="J122" i="42"/>
  <c r="K122" i="42"/>
  <c r="L122" i="42"/>
  <c r="M122" i="42"/>
  <c r="B123" i="42"/>
  <c r="C123" i="42"/>
  <c r="D123" i="42"/>
  <c r="E123" i="42"/>
  <c r="F123" i="42"/>
  <c r="G123" i="42"/>
  <c r="H123" i="42"/>
  <c r="I123" i="42"/>
  <c r="J123" i="42"/>
  <c r="K123" i="42"/>
  <c r="L123" i="42"/>
  <c r="M123" i="42"/>
  <c r="B124" i="42"/>
  <c r="C124" i="42"/>
  <c r="D124" i="42"/>
  <c r="E124" i="42"/>
  <c r="F124" i="42"/>
  <c r="G124" i="42"/>
  <c r="H124" i="42"/>
  <c r="I124" i="42"/>
  <c r="J124" i="42"/>
  <c r="K124" i="42"/>
  <c r="L124" i="42"/>
  <c r="M124" i="42"/>
  <c r="B125" i="42"/>
  <c r="C125" i="42"/>
  <c r="D125" i="42"/>
  <c r="E125" i="42"/>
  <c r="F125" i="42"/>
  <c r="G125" i="42"/>
  <c r="H125" i="42"/>
  <c r="I125" i="42"/>
  <c r="J125" i="42"/>
  <c r="K125" i="42"/>
  <c r="L125" i="42"/>
  <c r="M125" i="42"/>
  <c r="B126" i="42"/>
  <c r="C126" i="42"/>
  <c r="D126" i="42"/>
  <c r="E126" i="42"/>
  <c r="F126" i="42"/>
  <c r="G126" i="42"/>
  <c r="H126" i="42"/>
  <c r="I126" i="42"/>
  <c r="J126" i="42"/>
  <c r="K126" i="42"/>
  <c r="L126" i="42"/>
  <c r="M126" i="42"/>
  <c r="B127" i="42"/>
  <c r="C127" i="42"/>
  <c r="D127" i="42"/>
  <c r="E127" i="42"/>
  <c r="F127" i="42"/>
  <c r="G127" i="42"/>
  <c r="H127" i="42"/>
  <c r="I127" i="42"/>
  <c r="J127" i="42"/>
  <c r="K127" i="42"/>
  <c r="L127" i="42"/>
  <c r="M127" i="42"/>
  <c r="B128" i="42"/>
  <c r="C128" i="42"/>
  <c r="D128" i="42"/>
  <c r="E128" i="42"/>
  <c r="F128" i="42"/>
  <c r="G128" i="42"/>
  <c r="H128" i="42"/>
  <c r="I128" i="42"/>
  <c r="J128" i="42"/>
  <c r="K128" i="42"/>
  <c r="L128" i="42"/>
  <c r="M128" i="42"/>
  <c r="B129" i="42"/>
  <c r="C129" i="42"/>
  <c r="D129" i="42"/>
  <c r="E129" i="42"/>
  <c r="F129" i="42"/>
  <c r="G129" i="42"/>
  <c r="H129" i="42"/>
  <c r="I129" i="42"/>
  <c r="J129" i="42"/>
  <c r="K129" i="42"/>
  <c r="L129" i="42"/>
  <c r="M129" i="42"/>
  <c r="B130" i="42"/>
  <c r="C130" i="42"/>
  <c r="D130" i="42"/>
  <c r="E130" i="42"/>
  <c r="F130" i="42"/>
  <c r="G130" i="42"/>
  <c r="H130" i="42"/>
  <c r="I130" i="42"/>
  <c r="J130" i="42"/>
  <c r="K130" i="42"/>
  <c r="L130" i="42"/>
  <c r="M130" i="42"/>
  <c r="B131" i="42"/>
  <c r="C131" i="42"/>
  <c r="D131" i="42"/>
  <c r="E131" i="42"/>
  <c r="F131" i="42"/>
  <c r="G131" i="42"/>
  <c r="H131" i="42"/>
  <c r="I131" i="42"/>
  <c r="J131" i="42"/>
  <c r="K131" i="42"/>
  <c r="L131" i="42"/>
  <c r="M131" i="42"/>
  <c r="B132" i="42"/>
  <c r="C132" i="42"/>
  <c r="D132" i="42"/>
  <c r="E132" i="42"/>
  <c r="F132" i="42"/>
  <c r="G132" i="42"/>
  <c r="H132" i="42"/>
  <c r="I132" i="42"/>
  <c r="J132" i="42"/>
  <c r="K132" i="42"/>
  <c r="L132" i="42"/>
  <c r="M132" i="42"/>
  <c r="C133" i="42"/>
  <c r="D133" i="42"/>
  <c r="G133" i="42"/>
  <c r="L133" i="42"/>
  <c r="M133" i="42"/>
  <c r="M134" i="42"/>
  <c r="C136" i="42"/>
  <c r="D136" i="42"/>
  <c r="E136" i="42"/>
  <c r="F136" i="42"/>
  <c r="G136" i="42"/>
  <c r="H136" i="42"/>
  <c r="I136" i="42"/>
  <c r="J136" i="42"/>
  <c r="K136" i="42"/>
  <c r="L136" i="42"/>
  <c r="M136" i="42"/>
  <c r="B139" i="42"/>
  <c r="C139" i="42"/>
  <c r="D139" i="42"/>
  <c r="E139" i="42"/>
  <c r="F139" i="42"/>
  <c r="G139" i="42"/>
  <c r="H139" i="42"/>
  <c r="I139" i="42"/>
  <c r="J139" i="42"/>
  <c r="K139" i="42"/>
  <c r="L139" i="42"/>
  <c r="M139" i="42"/>
  <c r="B140" i="42"/>
  <c r="C140" i="42"/>
  <c r="D140" i="42"/>
  <c r="E140" i="42"/>
  <c r="F140" i="42"/>
  <c r="G140" i="42"/>
  <c r="H140" i="42"/>
  <c r="I140" i="42"/>
  <c r="J140" i="42"/>
  <c r="K140" i="42"/>
  <c r="L140" i="42"/>
  <c r="M140" i="42"/>
  <c r="B141" i="42"/>
  <c r="C141" i="42"/>
  <c r="D141" i="42"/>
  <c r="E141" i="42"/>
  <c r="F141" i="42"/>
  <c r="G141" i="42"/>
  <c r="H141" i="42"/>
  <c r="I141" i="42"/>
  <c r="J141" i="42"/>
  <c r="K141" i="42"/>
  <c r="L141" i="42"/>
  <c r="M141" i="42"/>
  <c r="B142" i="42"/>
  <c r="C142" i="42"/>
  <c r="D142" i="42"/>
  <c r="E142" i="42"/>
  <c r="F142" i="42"/>
  <c r="G142" i="42"/>
  <c r="H142" i="42"/>
  <c r="I142" i="42"/>
  <c r="J142" i="42"/>
  <c r="K142" i="42"/>
  <c r="L142" i="42"/>
  <c r="M142" i="42"/>
  <c r="B143" i="42"/>
  <c r="C143" i="42"/>
  <c r="D143" i="42"/>
  <c r="E143" i="42"/>
  <c r="F143" i="42"/>
  <c r="G143" i="42"/>
  <c r="H143" i="42"/>
  <c r="I143" i="42"/>
  <c r="J143" i="42"/>
  <c r="K143" i="42"/>
  <c r="L143" i="42"/>
  <c r="M143" i="42"/>
  <c r="B144" i="42"/>
  <c r="C144" i="42"/>
  <c r="D144" i="42"/>
  <c r="E144" i="42"/>
  <c r="F144" i="42"/>
  <c r="G144" i="42"/>
  <c r="H144" i="42"/>
  <c r="I144" i="42"/>
  <c r="J144" i="42"/>
  <c r="K144" i="42"/>
  <c r="L144" i="42"/>
  <c r="M144" i="42"/>
  <c r="B145" i="42"/>
  <c r="C145" i="42"/>
  <c r="D145" i="42"/>
  <c r="E145" i="42"/>
  <c r="F145" i="42"/>
  <c r="G145" i="42"/>
  <c r="H145" i="42"/>
  <c r="I145" i="42"/>
  <c r="J145" i="42"/>
  <c r="K145" i="42"/>
  <c r="L145" i="42"/>
  <c r="M145" i="42"/>
  <c r="B146" i="42"/>
  <c r="C146" i="42"/>
  <c r="D146" i="42"/>
  <c r="E146" i="42"/>
  <c r="F146" i="42"/>
  <c r="G146" i="42"/>
  <c r="H146" i="42"/>
  <c r="I146" i="42"/>
  <c r="J146" i="42"/>
  <c r="K146" i="42"/>
  <c r="L146" i="42"/>
  <c r="M146" i="42"/>
  <c r="B147" i="42"/>
  <c r="C147" i="42"/>
  <c r="D147" i="42"/>
  <c r="E147" i="42"/>
  <c r="F147" i="42"/>
  <c r="G147" i="42"/>
  <c r="H147" i="42"/>
  <c r="I147" i="42"/>
  <c r="J147" i="42"/>
  <c r="K147" i="42"/>
  <c r="L147" i="42"/>
  <c r="M147" i="42"/>
  <c r="B148" i="42"/>
  <c r="C148" i="42"/>
  <c r="D148" i="42"/>
  <c r="E148" i="42"/>
  <c r="F148" i="42"/>
  <c r="G148" i="42"/>
  <c r="H148" i="42"/>
  <c r="I148" i="42"/>
  <c r="J148" i="42"/>
  <c r="K148" i="42"/>
  <c r="L148" i="42"/>
  <c r="M148" i="42"/>
  <c r="B149" i="42"/>
  <c r="C149" i="42"/>
  <c r="D149" i="42"/>
  <c r="E149" i="42"/>
  <c r="F149" i="42"/>
  <c r="G149" i="42"/>
  <c r="H149" i="42"/>
  <c r="I149" i="42"/>
  <c r="J149" i="42"/>
  <c r="K149" i="42"/>
  <c r="L149" i="42"/>
  <c r="M149" i="42"/>
  <c r="B152" i="42"/>
  <c r="C152" i="42"/>
  <c r="D152" i="42"/>
  <c r="E152" i="42"/>
  <c r="F152" i="42"/>
  <c r="G152" i="42"/>
  <c r="H152" i="42"/>
  <c r="I152" i="42"/>
  <c r="J152" i="42"/>
  <c r="K152" i="42"/>
  <c r="L152" i="42"/>
  <c r="M152" i="42"/>
  <c r="B153" i="42"/>
  <c r="C153" i="42"/>
  <c r="D153" i="42"/>
  <c r="E153" i="42"/>
  <c r="F153" i="42"/>
  <c r="G153" i="42"/>
  <c r="H153" i="42"/>
  <c r="I153" i="42"/>
  <c r="J153" i="42"/>
  <c r="K153" i="42"/>
  <c r="L153" i="42"/>
  <c r="M153" i="42"/>
  <c r="B154" i="42"/>
  <c r="C154" i="42"/>
  <c r="D154" i="42"/>
  <c r="E154" i="42"/>
  <c r="F154" i="42"/>
  <c r="G154" i="42"/>
  <c r="H154" i="42"/>
  <c r="I154" i="42"/>
  <c r="J154" i="42"/>
  <c r="K154" i="42"/>
  <c r="L154" i="42"/>
  <c r="M154" i="42"/>
  <c r="B155" i="42"/>
  <c r="C155" i="42"/>
  <c r="D155" i="42"/>
  <c r="E155" i="42"/>
  <c r="F155" i="42"/>
  <c r="G155" i="42"/>
  <c r="H155" i="42"/>
  <c r="I155" i="42"/>
  <c r="J155" i="42"/>
  <c r="K155" i="42"/>
  <c r="L155" i="42"/>
  <c r="M155" i="42"/>
  <c r="B156" i="42"/>
  <c r="C156" i="42"/>
  <c r="D156" i="42"/>
  <c r="E156" i="42"/>
  <c r="F156" i="42"/>
  <c r="G156" i="42"/>
  <c r="H156" i="42"/>
  <c r="I156" i="42"/>
  <c r="J156" i="42"/>
  <c r="K156" i="42"/>
  <c r="L156" i="42"/>
  <c r="M156" i="42"/>
  <c r="B157" i="42"/>
  <c r="C157" i="42"/>
  <c r="D157" i="42"/>
  <c r="E157" i="42"/>
  <c r="F157" i="42"/>
  <c r="G157" i="42"/>
  <c r="H157" i="42"/>
  <c r="I157" i="42"/>
  <c r="J157" i="42"/>
  <c r="K157" i="42"/>
  <c r="L157" i="42"/>
  <c r="M157" i="42"/>
  <c r="B158" i="42"/>
  <c r="C158" i="42"/>
  <c r="D158" i="42"/>
  <c r="E158" i="42"/>
  <c r="F158" i="42"/>
  <c r="G158" i="42"/>
  <c r="H158" i="42"/>
  <c r="I158" i="42"/>
  <c r="J158" i="42"/>
  <c r="K158" i="42"/>
  <c r="L158" i="42"/>
  <c r="M158" i="42"/>
  <c r="B159" i="42"/>
  <c r="C159" i="42"/>
  <c r="D159" i="42"/>
  <c r="E159" i="42"/>
  <c r="F159" i="42"/>
  <c r="G159" i="42"/>
  <c r="H159" i="42"/>
  <c r="I159" i="42"/>
  <c r="J159" i="42"/>
  <c r="K159" i="42"/>
  <c r="L159" i="42"/>
  <c r="M159" i="42"/>
  <c r="B160" i="42"/>
  <c r="C160" i="42"/>
  <c r="D160" i="42"/>
  <c r="E160" i="42"/>
  <c r="F160" i="42"/>
  <c r="G160" i="42"/>
  <c r="H160" i="42"/>
  <c r="I160" i="42"/>
  <c r="J160" i="42"/>
  <c r="K160" i="42"/>
  <c r="L160" i="42"/>
  <c r="M160" i="42"/>
  <c r="B161" i="42"/>
  <c r="C161" i="42"/>
  <c r="D161" i="42"/>
  <c r="E161" i="42"/>
  <c r="F161" i="42"/>
  <c r="G161" i="42"/>
  <c r="H161" i="42"/>
  <c r="I161" i="42"/>
  <c r="J161" i="42"/>
  <c r="K161" i="42"/>
  <c r="L161" i="42"/>
  <c r="M161" i="42"/>
  <c r="B162" i="42"/>
  <c r="C162" i="42"/>
  <c r="D162" i="42"/>
  <c r="E162" i="42"/>
  <c r="F162" i="42"/>
  <c r="G162" i="42"/>
  <c r="H162" i="42"/>
  <c r="I162" i="42"/>
  <c r="J162" i="42"/>
  <c r="K162" i="42"/>
  <c r="L162" i="42"/>
  <c r="M162" i="42"/>
  <c r="B165" i="42"/>
  <c r="C165" i="42"/>
  <c r="D165" i="42"/>
  <c r="E165" i="42"/>
  <c r="F165" i="42"/>
  <c r="G165" i="42"/>
  <c r="H165" i="42"/>
  <c r="I165" i="42"/>
  <c r="J165" i="42"/>
  <c r="K165" i="42"/>
  <c r="L165" i="42"/>
  <c r="M165" i="42"/>
  <c r="B166" i="42"/>
  <c r="C166" i="42"/>
  <c r="D166" i="42"/>
  <c r="E166" i="42"/>
  <c r="F166" i="42"/>
  <c r="G166" i="42"/>
  <c r="H166" i="42"/>
  <c r="I166" i="42"/>
  <c r="J166" i="42"/>
  <c r="K166" i="42"/>
  <c r="L166" i="42"/>
  <c r="M166" i="42"/>
  <c r="B167" i="42"/>
  <c r="C167" i="42"/>
  <c r="D167" i="42"/>
  <c r="E167" i="42"/>
  <c r="F167" i="42"/>
  <c r="G167" i="42"/>
  <c r="H167" i="42"/>
  <c r="I167" i="42"/>
  <c r="J167" i="42"/>
  <c r="K167" i="42"/>
  <c r="L167" i="42"/>
  <c r="M167" i="42"/>
  <c r="B168" i="42"/>
  <c r="C168" i="42"/>
  <c r="D168" i="42"/>
  <c r="E168" i="42"/>
  <c r="F168" i="42"/>
  <c r="G168" i="42"/>
  <c r="H168" i="42"/>
  <c r="I168" i="42"/>
  <c r="J168" i="42"/>
  <c r="K168" i="42"/>
  <c r="L168" i="42"/>
  <c r="M168" i="42"/>
  <c r="B169" i="42"/>
  <c r="C169" i="42"/>
  <c r="D169" i="42"/>
  <c r="E169" i="42"/>
  <c r="F169" i="42"/>
  <c r="G169" i="42"/>
  <c r="H169" i="42"/>
  <c r="I169" i="42"/>
  <c r="J169" i="42"/>
  <c r="K169" i="42"/>
  <c r="L169" i="42"/>
  <c r="M169" i="42"/>
  <c r="B170" i="42"/>
  <c r="C170" i="42"/>
  <c r="D170" i="42"/>
  <c r="E170" i="42"/>
  <c r="F170" i="42"/>
  <c r="G170" i="42"/>
  <c r="H170" i="42"/>
  <c r="I170" i="42"/>
  <c r="J170" i="42"/>
  <c r="K170" i="42"/>
  <c r="L170" i="42"/>
  <c r="M170" i="42"/>
  <c r="B171" i="42"/>
  <c r="C171" i="42"/>
  <c r="D171" i="42"/>
  <c r="E171" i="42"/>
  <c r="F171" i="42"/>
  <c r="G171" i="42"/>
  <c r="H171" i="42"/>
  <c r="I171" i="42"/>
  <c r="J171" i="42"/>
  <c r="K171" i="42"/>
  <c r="L171" i="42"/>
  <c r="M171" i="42"/>
  <c r="B172" i="42"/>
  <c r="C172" i="42"/>
  <c r="D172" i="42"/>
  <c r="E172" i="42"/>
  <c r="F172" i="42"/>
  <c r="G172" i="42"/>
  <c r="H172" i="42"/>
  <c r="I172" i="42"/>
  <c r="J172" i="42"/>
  <c r="K172" i="42"/>
  <c r="L172" i="42"/>
  <c r="M172" i="42"/>
  <c r="B173" i="42"/>
  <c r="C173" i="42"/>
  <c r="D173" i="42"/>
  <c r="E173" i="42"/>
  <c r="F173" i="42"/>
  <c r="G173" i="42"/>
  <c r="H173" i="42"/>
  <c r="I173" i="42"/>
  <c r="J173" i="42"/>
  <c r="K173" i="42"/>
  <c r="L173" i="42"/>
  <c r="M173" i="42"/>
  <c r="B174" i="42"/>
  <c r="C174" i="42"/>
  <c r="D174" i="42"/>
  <c r="E174" i="42"/>
  <c r="F174" i="42"/>
  <c r="G174" i="42"/>
  <c r="H174" i="42"/>
  <c r="I174" i="42"/>
  <c r="J174" i="42"/>
  <c r="K174" i="42"/>
  <c r="L174" i="42"/>
  <c r="M174" i="42"/>
  <c r="B175" i="42"/>
  <c r="C175" i="42"/>
  <c r="D175" i="42"/>
  <c r="E175" i="42"/>
  <c r="F175" i="42"/>
  <c r="G175" i="42"/>
  <c r="H175" i="42"/>
  <c r="I175" i="42"/>
  <c r="J175" i="42"/>
  <c r="K175" i="42"/>
  <c r="L175" i="42"/>
  <c r="M175" i="42"/>
  <c r="C176" i="42"/>
  <c r="D176" i="42"/>
  <c r="G176" i="42"/>
  <c r="L176" i="42"/>
  <c r="M176" i="42"/>
  <c r="M177" i="42"/>
  <c r="W4" i="60"/>
  <c r="Y5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X6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X8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X9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X10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C16" i="60"/>
  <c r="D16" i="60"/>
  <c r="E16" i="60"/>
  <c r="F16" i="60"/>
  <c r="G16" i="60"/>
  <c r="H16" i="60"/>
  <c r="I16" i="60"/>
  <c r="J16" i="60"/>
  <c r="K16" i="60"/>
  <c r="L16" i="60"/>
  <c r="M16" i="60"/>
  <c r="N16" i="60"/>
  <c r="O16" i="60"/>
  <c r="P16" i="60"/>
  <c r="Q16" i="60"/>
  <c r="R16" i="60"/>
  <c r="S16" i="60"/>
  <c r="T16" i="60"/>
  <c r="U16" i="60"/>
  <c r="V16" i="60"/>
  <c r="C17" i="60"/>
  <c r="D17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Q17" i="60"/>
  <c r="R17" i="60"/>
  <c r="S17" i="60"/>
  <c r="T17" i="60"/>
  <c r="U17" i="60"/>
  <c r="V17" i="60"/>
  <c r="W17" i="60"/>
  <c r="X17" i="60"/>
  <c r="Y17" i="60"/>
  <c r="AA17" i="60"/>
  <c r="AB17" i="60"/>
  <c r="C18" i="60"/>
  <c r="D18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C20" i="60"/>
  <c r="D20" i="60"/>
  <c r="E20" i="60"/>
  <c r="F20" i="60"/>
  <c r="G20" i="60"/>
  <c r="H20" i="60"/>
  <c r="I20" i="60"/>
  <c r="J20" i="60"/>
  <c r="K20" i="60"/>
  <c r="L20" i="60"/>
  <c r="M20" i="60"/>
  <c r="N20" i="60"/>
  <c r="O20" i="60"/>
  <c r="P20" i="60"/>
  <c r="Q20" i="60"/>
  <c r="R20" i="60"/>
  <c r="S20" i="60"/>
  <c r="T20" i="60"/>
  <c r="U20" i="60"/>
  <c r="V20" i="60"/>
  <c r="C21" i="60"/>
  <c r="D21" i="60"/>
  <c r="E21" i="60"/>
  <c r="F21" i="60"/>
  <c r="G21" i="60"/>
  <c r="H21" i="60"/>
  <c r="I21" i="60"/>
  <c r="J21" i="60"/>
  <c r="K21" i="60"/>
  <c r="L21" i="60"/>
  <c r="M21" i="60"/>
  <c r="N21" i="60"/>
  <c r="O21" i="60"/>
  <c r="P21" i="60"/>
  <c r="Q21" i="60"/>
  <c r="R21" i="60"/>
  <c r="S21" i="60"/>
  <c r="T21" i="60"/>
  <c r="U21" i="60"/>
  <c r="V21" i="60"/>
  <c r="W21" i="60"/>
  <c r="X21" i="60"/>
  <c r="Y21" i="60"/>
  <c r="AA21" i="60"/>
  <c r="AB21" i="60"/>
  <c r="C22" i="60"/>
  <c r="D22" i="60"/>
  <c r="E22" i="60"/>
  <c r="F22" i="60"/>
  <c r="G22" i="60"/>
  <c r="H22" i="60"/>
  <c r="I22" i="60"/>
  <c r="J22" i="60"/>
  <c r="K22" i="60"/>
  <c r="L22" i="60"/>
  <c r="M22" i="60"/>
  <c r="N22" i="60"/>
  <c r="O22" i="60"/>
  <c r="P22" i="60"/>
  <c r="Q22" i="60"/>
  <c r="R22" i="60"/>
  <c r="S22" i="60"/>
  <c r="T22" i="60"/>
  <c r="U22" i="60"/>
  <c r="V22" i="60"/>
  <c r="C24" i="60"/>
  <c r="D24" i="60"/>
  <c r="E24" i="60"/>
  <c r="F24" i="60"/>
  <c r="G24" i="60"/>
  <c r="H24" i="60"/>
  <c r="I24" i="60"/>
  <c r="J24" i="60"/>
  <c r="K24" i="60"/>
  <c r="L24" i="60"/>
  <c r="M24" i="60"/>
  <c r="N24" i="60"/>
  <c r="O24" i="60"/>
  <c r="P24" i="60"/>
  <c r="Q24" i="60"/>
  <c r="R24" i="60"/>
  <c r="S24" i="60"/>
  <c r="T24" i="60"/>
  <c r="U24" i="60"/>
  <c r="V24" i="60"/>
  <c r="C25" i="60"/>
  <c r="D25" i="60"/>
  <c r="E25" i="60"/>
  <c r="F25" i="60"/>
  <c r="G25" i="60"/>
  <c r="H25" i="60"/>
  <c r="I25" i="60"/>
  <c r="J25" i="60"/>
  <c r="K25" i="60"/>
  <c r="L25" i="60"/>
  <c r="M25" i="60"/>
  <c r="N25" i="60"/>
  <c r="O25" i="60"/>
  <c r="P25" i="60"/>
  <c r="Q25" i="60"/>
  <c r="R25" i="60"/>
  <c r="S25" i="60"/>
  <c r="T25" i="60"/>
  <c r="U25" i="60"/>
  <c r="V25" i="60"/>
  <c r="W25" i="60"/>
  <c r="X25" i="60"/>
  <c r="Y25" i="60"/>
  <c r="AA25" i="60"/>
  <c r="AB25" i="60"/>
  <c r="C26" i="60"/>
  <c r="D26" i="60"/>
  <c r="E26" i="60"/>
  <c r="F26" i="60"/>
  <c r="G26" i="60"/>
  <c r="H26" i="60"/>
  <c r="I26" i="60"/>
  <c r="J26" i="60"/>
  <c r="K26" i="60"/>
  <c r="L26" i="60"/>
  <c r="M26" i="60"/>
  <c r="N26" i="60"/>
  <c r="O26" i="60"/>
  <c r="P26" i="60"/>
  <c r="Q26" i="60"/>
  <c r="R26" i="60"/>
  <c r="S26" i="60"/>
  <c r="T26" i="60"/>
  <c r="U26" i="60"/>
  <c r="V26" i="60"/>
  <c r="C28" i="60"/>
  <c r="D28" i="60"/>
  <c r="E28" i="60"/>
  <c r="F28" i="60"/>
  <c r="G28" i="60"/>
  <c r="H28" i="60"/>
  <c r="I28" i="60"/>
  <c r="J28" i="60"/>
  <c r="K28" i="60"/>
  <c r="L28" i="60"/>
  <c r="M28" i="60"/>
  <c r="N28" i="60"/>
  <c r="O28" i="60"/>
  <c r="P28" i="60"/>
  <c r="Q28" i="60"/>
  <c r="R28" i="60"/>
  <c r="S28" i="60"/>
  <c r="T28" i="60"/>
  <c r="U28" i="60"/>
  <c r="V28" i="60"/>
  <c r="C29" i="60"/>
  <c r="D29" i="60"/>
  <c r="E29" i="60"/>
  <c r="F29" i="60"/>
  <c r="G29" i="60"/>
  <c r="H29" i="60"/>
  <c r="I29" i="60"/>
  <c r="J29" i="60"/>
  <c r="K29" i="60"/>
  <c r="L29" i="60"/>
  <c r="M29" i="60"/>
  <c r="N29" i="60"/>
  <c r="O29" i="60"/>
  <c r="P29" i="60"/>
  <c r="Q29" i="60"/>
  <c r="R29" i="60"/>
  <c r="S29" i="60"/>
  <c r="T29" i="60"/>
  <c r="U29" i="60"/>
  <c r="V29" i="60"/>
  <c r="W29" i="60"/>
  <c r="X29" i="60"/>
  <c r="Y29" i="60"/>
  <c r="AA29" i="60"/>
  <c r="AB29" i="60"/>
  <c r="C30" i="60"/>
  <c r="D30" i="60"/>
  <c r="E30" i="60"/>
  <c r="F30" i="60"/>
  <c r="G30" i="60"/>
  <c r="H30" i="60"/>
  <c r="I30" i="60"/>
  <c r="J30" i="60"/>
  <c r="K30" i="60"/>
  <c r="L30" i="60"/>
  <c r="M30" i="60"/>
  <c r="N30" i="60"/>
  <c r="O30" i="60"/>
  <c r="P30" i="60"/>
  <c r="Q30" i="60"/>
  <c r="R30" i="60"/>
  <c r="S30" i="60"/>
  <c r="T30" i="60"/>
  <c r="U30" i="60"/>
  <c r="V30" i="60"/>
  <c r="C32" i="60"/>
  <c r="D32" i="60"/>
  <c r="E32" i="60"/>
  <c r="F32" i="60"/>
  <c r="G32" i="60"/>
  <c r="H32" i="60"/>
  <c r="I32" i="60"/>
  <c r="J32" i="60"/>
  <c r="K32" i="60"/>
  <c r="L32" i="60"/>
  <c r="M32" i="60"/>
  <c r="N32" i="60"/>
  <c r="O32" i="60"/>
  <c r="P32" i="60"/>
  <c r="Q32" i="60"/>
  <c r="R32" i="60"/>
  <c r="S32" i="60"/>
  <c r="T32" i="60"/>
  <c r="U32" i="60"/>
  <c r="V32" i="60"/>
  <c r="C33" i="60"/>
  <c r="D33" i="60"/>
  <c r="E33" i="60"/>
  <c r="F33" i="60"/>
  <c r="G33" i="60"/>
  <c r="H33" i="60"/>
  <c r="I33" i="60"/>
  <c r="J33" i="60"/>
  <c r="K33" i="60"/>
  <c r="L33" i="60"/>
  <c r="M33" i="60"/>
  <c r="N33" i="60"/>
  <c r="O33" i="60"/>
  <c r="P33" i="60"/>
  <c r="Q33" i="60"/>
  <c r="R33" i="60"/>
  <c r="S33" i="60"/>
  <c r="T33" i="60"/>
  <c r="U33" i="60"/>
  <c r="V33" i="60"/>
  <c r="W33" i="60"/>
  <c r="X33" i="60"/>
  <c r="Y33" i="60"/>
  <c r="AA33" i="60"/>
  <c r="AB33" i="60"/>
  <c r="C34" i="60"/>
  <c r="D34" i="60"/>
  <c r="E34" i="60"/>
  <c r="F34" i="60"/>
  <c r="G34" i="60"/>
  <c r="H34" i="60"/>
  <c r="I34" i="60"/>
  <c r="J34" i="60"/>
  <c r="K34" i="60"/>
  <c r="L34" i="60"/>
  <c r="M34" i="60"/>
  <c r="N34" i="60"/>
  <c r="O34" i="60"/>
  <c r="P34" i="60"/>
  <c r="Q34" i="60"/>
  <c r="R34" i="60"/>
  <c r="S34" i="60"/>
  <c r="T34" i="60"/>
  <c r="U34" i="60"/>
  <c r="V34" i="60"/>
  <c r="C36" i="60"/>
  <c r="D36" i="60"/>
  <c r="E36" i="60"/>
  <c r="F36" i="60"/>
  <c r="G36" i="60"/>
  <c r="H36" i="60"/>
  <c r="I36" i="60"/>
  <c r="J36" i="60"/>
  <c r="K36" i="60"/>
  <c r="L36" i="60"/>
  <c r="M36" i="60"/>
  <c r="N36" i="60"/>
  <c r="O36" i="60"/>
  <c r="P36" i="60"/>
  <c r="Q36" i="60"/>
  <c r="R36" i="60"/>
  <c r="S36" i="60"/>
  <c r="T36" i="60"/>
  <c r="U36" i="60"/>
  <c r="V36" i="60"/>
  <c r="C37" i="60"/>
  <c r="D37" i="60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AA37" i="60"/>
  <c r="AB37" i="60"/>
  <c r="C38" i="60"/>
  <c r="D38" i="60"/>
  <c r="E38" i="60"/>
  <c r="F38" i="60"/>
  <c r="G38" i="60"/>
  <c r="H38" i="60"/>
  <c r="I38" i="60"/>
  <c r="J38" i="60"/>
  <c r="K38" i="60"/>
  <c r="L38" i="60"/>
  <c r="M38" i="60"/>
  <c r="N38" i="60"/>
  <c r="O38" i="60"/>
  <c r="P38" i="60"/>
  <c r="Q38" i="60"/>
  <c r="R38" i="60"/>
  <c r="S38" i="60"/>
  <c r="T38" i="60"/>
  <c r="U38" i="60"/>
  <c r="V38" i="60"/>
  <c r="C40" i="60"/>
  <c r="D40" i="60"/>
  <c r="E40" i="60"/>
  <c r="F40" i="60"/>
  <c r="G40" i="60"/>
  <c r="H40" i="60"/>
  <c r="I40" i="60"/>
  <c r="J40" i="60"/>
  <c r="K40" i="60"/>
  <c r="L40" i="60"/>
  <c r="M40" i="60"/>
  <c r="N40" i="60"/>
  <c r="O40" i="60"/>
  <c r="P40" i="60"/>
  <c r="Q40" i="60"/>
  <c r="R40" i="60"/>
  <c r="S40" i="60"/>
  <c r="T40" i="60"/>
  <c r="U40" i="60"/>
  <c r="V40" i="60"/>
  <c r="C41" i="60"/>
  <c r="D41" i="60"/>
  <c r="E41" i="60"/>
  <c r="F41" i="60"/>
  <c r="G41" i="60"/>
  <c r="H41" i="60"/>
  <c r="I41" i="60"/>
  <c r="J41" i="60"/>
  <c r="K41" i="60"/>
  <c r="L41" i="60"/>
  <c r="M41" i="60"/>
  <c r="N41" i="60"/>
  <c r="O41" i="60"/>
  <c r="P41" i="60"/>
  <c r="Q41" i="60"/>
  <c r="R41" i="60"/>
  <c r="S41" i="60"/>
  <c r="T41" i="60"/>
  <c r="U41" i="60"/>
  <c r="V41" i="60"/>
  <c r="W41" i="60"/>
  <c r="X41" i="60"/>
  <c r="Y41" i="60"/>
  <c r="AA41" i="60"/>
  <c r="AB41" i="60"/>
  <c r="C42" i="60"/>
  <c r="D42" i="60"/>
  <c r="E42" i="60"/>
  <c r="F42" i="60"/>
  <c r="G42" i="60"/>
  <c r="H42" i="60"/>
  <c r="I42" i="60"/>
  <c r="J42" i="60"/>
  <c r="K42" i="60"/>
  <c r="L42" i="60"/>
  <c r="M42" i="60"/>
  <c r="N42" i="60"/>
  <c r="O42" i="60"/>
  <c r="P42" i="60"/>
  <c r="Q42" i="60"/>
  <c r="R42" i="60"/>
  <c r="S42" i="60"/>
  <c r="T42" i="60"/>
  <c r="U42" i="60"/>
  <c r="V42" i="60"/>
  <c r="C44" i="60"/>
  <c r="D44" i="60"/>
  <c r="E44" i="60"/>
  <c r="F44" i="60"/>
  <c r="G44" i="60"/>
  <c r="H44" i="60"/>
  <c r="I44" i="60"/>
  <c r="J44" i="60"/>
  <c r="K44" i="60"/>
  <c r="L44" i="60"/>
  <c r="M44" i="60"/>
  <c r="N44" i="60"/>
  <c r="O44" i="60"/>
  <c r="P44" i="60"/>
  <c r="Q44" i="60"/>
  <c r="R44" i="60"/>
  <c r="S44" i="60"/>
  <c r="T44" i="60"/>
  <c r="U44" i="60"/>
  <c r="V44" i="60"/>
  <c r="C45" i="60"/>
  <c r="D45" i="60"/>
  <c r="E45" i="60"/>
  <c r="F45" i="60"/>
  <c r="G45" i="60"/>
  <c r="H45" i="60"/>
  <c r="I45" i="60"/>
  <c r="J45" i="60"/>
  <c r="K45" i="60"/>
  <c r="L45" i="60"/>
  <c r="M45" i="60"/>
  <c r="N45" i="60"/>
  <c r="O45" i="60"/>
  <c r="P45" i="60"/>
  <c r="Q45" i="60"/>
  <c r="R45" i="60"/>
  <c r="S45" i="60"/>
  <c r="T45" i="60"/>
  <c r="U45" i="60"/>
  <c r="V45" i="60"/>
  <c r="W45" i="60"/>
  <c r="X45" i="60"/>
  <c r="Y45" i="60"/>
  <c r="AA45" i="60"/>
  <c r="AB45" i="60"/>
  <c r="C46" i="60"/>
  <c r="D46" i="60"/>
  <c r="E46" i="60"/>
  <c r="F46" i="60"/>
  <c r="G46" i="60"/>
  <c r="H46" i="60"/>
  <c r="I46" i="60"/>
  <c r="J46" i="60"/>
  <c r="K46" i="60"/>
  <c r="L46" i="60"/>
  <c r="M46" i="60"/>
  <c r="N46" i="60"/>
  <c r="O46" i="60"/>
  <c r="P46" i="60"/>
  <c r="Q46" i="60"/>
  <c r="R46" i="60"/>
  <c r="S46" i="60"/>
  <c r="T46" i="60"/>
  <c r="U46" i="60"/>
  <c r="V46" i="60"/>
  <c r="C48" i="60"/>
  <c r="D48" i="60"/>
  <c r="E48" i="60"/>
  <c r="F48" i="60"/>
  <c r="G48" i="60"/>
  <c r="H48" i="60"/>
  <c r="I48" i="60"/>
  <c r="J48" i="60"/>
  <c r="K48" i="60"/>
  <c r="L48" i="60"/>
  <c r="M48" i="60"/>
  <c r="N48" i="60"/>
  <c r="O48" i="60"/>
  <c r="P48" i="60"/>
  <c r="Q48" i="60"/>
  <c r="R48" i="60"/>
  <c r="S48" i="60"/>
  <c r="T48" i="60"/>
  <c r="U48" i="60"/>
  <c r="V48" i="60"/>
  <c r="C49" i="60"/>
  <c r="D49" i="60"/>
  <c r="E49" i="60"/>
  <c r="F49" i="60"/>
  <c r="G49" i="60"/>
  <c r="H49" i="60"/>
  <c r="I49" i="60"/>
  <c r="J49" i="60"/>
  <c r="K49" i="60"/>
  <c r="L49" i="60"/>
  <c r="M49" i="60"/>
  <c r="N49" i="60"/>
  <c r="O49" i="60"/>
  <c r="P49" i="60"/>
  <c r="Q49" i="60"/>
  <c r="R49" i="60"/>
  <c r="S49" i="60"/>
  <c r="T49" i="60"/>
  <c r="U49" i="60"/>
  <c r="V49" i="60"/>
  <c r="W49" i="60"/>
  <c r="X49" i="60"/>
  <c r="Y49" i="60"/>
  <c r="AA49" i="60"/>
  <c r="AB49" i="60"/>
  <c r="C50" i="60"/>
  <c r="D50" i="60"/>
  <c r="E50" i="60"/>
  <c r="F50" i="60"/>
  <c r="G50" i="60"/>
  <c r="H50" i="60"/>
  <c r="I50" i="60"/>
  <c r="J50" i="60"/>
  <c r="K50" i="60"/>
  <c r="L50" i="60"/>
  <c r="M50" i="60"/>
  <c r="N50" i="60"/>
  <c r="O50" i="60"/>
  <c r="P50" i="60"/>
  <c r="Q50" i="60"/>
  <c r="R50" i="60"/>
  <c r="S50" i="60"/>
  <c r="T50" i="60"/>
  <c r="U50" i="60"/>
  <c r="V50" i="60"/>
  <c r="C52" i="60"/>
  <c r="D52" i="60"/>
  <c r="E52" i="60"/>
  <c r="F52" i="60"/>
  <c r="G52" i="60"/>
  <c r="H52" i="60"/>
  <c r="I52" i="60"/>
  <c r="J52" i="60"/>
  <c r="K52" i="60"/>
  <c r="L52" i="60"/>
  <c r="M52" i="60"/>
  <c r="N52" i="60"/>
  <c r="O52" i="60"/>
  <c r="P52" i="60"/>
  <c r="Q52" i="60"/>
  <c r="R52" i="60"/>
  <c r="S52" i="60"/>
  <c r="T52" i="60"/>
  <c r="U52" i="60"/>
  <c r="V52" i="60"/>
  <c r="C53" i="60"/>
  <c r="D53" i="60"/>
  <c r="E53" i="60"/>
  <c r="F53" i="60"/>
  <c r="G53" i="60"/>
  <c r="H53" i="60"/>
  <c r="I53" i="60"/>
  <c r="J53" i="60"/>
  <c r="K53" i="60"/>
  <c r="L53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AA53" i="60"/>
  <c r="AB53" i="60"/>
  <c r="C54" i="60"/>
  <c r="D54" i="60"/>
  <c r="E54" i="60"/>
  <c r="F54" i="60"/>
  <c r="G54" i="60"/>
  <c r="H54" i="60"/>
  <c r="I54" i="60"/>
  <c r="J54" i="60"/>
  <c r="K54" i="60"/>
  <c r="L54" i="60"/>
  <c r="M54" i="60"/>
  <c r="N54" i="60"/>
  <c r="O54" i="60"/>
  <c r="P54" i="60"/>
  <c r="Q54" i="60"/>
  <c r="R54" i="60"/>
  <c r="S54" i="60"/>
  <c r="T54" i="60"/>
  <c r="U54" i="60"/>
  <c r="V54" i="60"/>
  <c r="C56" i="60"/>
  <c r="D56" i="60"/>
  <c r="E56" i="60"/>
  <c r="F56" i="60"/>
  <c r="G56" i="60"/>
  <c r="H56" i="60"/>
  <c r="I56" i="60"/>
  <c r="J56" i="60"/>
  <c r="K56" i="60"/>
  <c r="L56" i="60"/>
  <c r="M56" i="60"/>
  <c r="N56" i="60"/>
  <c r="O56" i="60"/>
  <c r="P56" i="60"/>
  <c r="Q56" i="60"/>
  <c r="R56" i="60"/>
  <c r="S56" i="60"/>
  <c r="T56" i="60"/>
  <c r="U56" i="60"/>
  <c r="V56" i="60"/>
  <c r="C57" i="60"/>
  <c r="D57" i="60"/>
  <c r="E57" i="60"/>
  <c r="F57" i="60"/>
  <c r="G57" i="60"/>
  <c r="H57" i="60"/>
  <c r="I57" i="60"/>
  <c r="J57" i="60"/>
  <c r="K57" i="60"/>
  <c r="L57" i="60"/>
  <c r="M57" i="60"/>
  <c r="N57" i="60"/>
  <c r="O57" i="60"/>
  <c r="P57" i="60"/>
  <c r="Q57" i="60"/>
  <c r="R57" i="60"/>
  <c r="S57" i="60"/>
  <c r="T57" i="60"/>
  <c r="U57" i="60"/>
  <c r="V57" i="60"/>
  <c r="W57" i="60"/>
  <c r="X57" i="60"/>
  <c r="Y57" i="60"/>
  <c r="AA57" i="60"/>
  <c r="AB57" i="60"/>
  <c r="C58" i="60"/>
  <c r="D58" i="60"/>
  <c r="E58" i="60"/>
  <c r="F58" i="60"/>
  <c r="G58" i="60"/>
  <c r="H58" i="60"/>
  <c r="I58" i="60"/>
  <c r="J58" i="60"/>
  <c r="K58" i="60"/>
  <c r="L58" i="60"/>
  <c r="M58" i="60"/>
  <c r="N58" i="60"/>
  <c r="O58" i="60"/>
  <c r="P58" i="60"/>
  <c r="Q58" i="60"/>
  <c r="R58" i="60"/>
  <c r="S58" i="60"/>
  <c r="T58" i="60"/>
  <c r="U58" i="60"/>
  <c r="V58" i="60"/>
  <c r="C60" i="60"/>
  <c r="D60" i="60"/>
  <c r="E60" i="60"/>
  <c r="F60" i="60"/>
  <c r="G60" i="60"/>
  <c r="H60" i="60"/>
  <c r="I60" i="60"/>
  <c r="J60" i="60"/>
  <c r="K60" i="60"/>
  <c r="L60" i="60"/>
  <c r="M60" i="60"/>
  <c r="N60" i="60"/>
  <c r="O60" i="60"/>
  <c r="P60" i="60"/>
  <c r="Q60" i="60"/>
  <c r="R60" i="60"/>
  <c r="S60" i="60"/>
  <c r="T60" i="60"/>
  <c r="U60" i="60"/>
  <c r="V60" i="60"/>
  <c r="C61" i="60"/>
  <c r="D61" i="60"/>
  <c r="E61" i="60"/>
  <c r="F61" i="60"/>
  <c r="G61" i="60"/>
  <c r="H61" i="60"/>
  <c r="I61" i="60"/>
  <c r="J61" i="60"/>
  <c r="K61" i="60"/>
  <c r="L61" i="60"/>
  <c r="M61" i="60"/>
  <c r="N61" i="60"/>
  <c r="O61" i="60"/>
  <c r="P61" i="60"/>
  <c r="Q61" i="60"/>
  <c r="R61" i="60"/>
  <c r="S61" i="60"/>
  <c r="T61" i="60"/>
  <c r="U61" i="60"/>
  <c r="V61" i="60"/>
  <c r="W61" i="60"/>
  <c r="X61" i="60"/>
  <c r="Y61" i="60"/>
  <c r="AA61" i="60"/>
  <c r="AB61" i="60"/>
  <c r="C62" i="60"/>
  <c r="D62" i="60"/>
  <c r="E62" i="60"/>
  <c r="F62" i="60"/>
  <c r="G62" i="60"/>
  <c r="H62" i="60"/>
  <c r="I62" i="60"/>
  <c r="J62" i="60"/>
  <c r="K62" i="60"/>
  <c r="L62" i="60"/>
  <c r="M62" i="60"/>
  <c r="N62" i="60"/>
  <c r="O62" i="60"/>
  <c r="P62" i="60"/>
  <c r="Q62" i="60"/>
  <c r="R62" i="60"/>
  <c r="S62" i="60"/>
  <c r="T62" i="60"/>
  <c r="U62" i="60"/>
  <c r="V62" i="60"/>
  <c r="C64" i="60"/>
  <c r="D64" i="60"/>
  <c r="E64" i="60"/>
  <c r="F64" i="60"/>
  <c r="G64" i="60"/>
  <c r="H64" i="60"/>
  <c r="I64" i="60"/>
  <c r="J64" i="60"/>
  <c r="K64" i="60"/>
  <c r="L64" i="60"/>
  <c r="M64" i="60"/>
  <c r="N64" i="60"/>
  <c r="O64" i="60"/>
  <c r="P64" i="60"/>
  <c r="Q64" i="60"/>
  <c r="R64" i="60"/>
  <c r="S64" i="60"/>
  <c r="T64" i="60"/>
  <c r="U64" i="60"/>
  <c r="V64" i="60"/>
  <c r="C65" i="60"/>
  <c r="D65" i="60"/>
  <c r="E65" i="60"/>
  <c r="F65" i="60"/>
  <c r="G65" i="60"/>
  <c r="H65" i="60"/>
  <c r="I65" i="60"/>
  <c r="J65" i="60"/>
  <c r="K65" i="60"/>
  <c r="L65" i="60"/>
  <c r="M65" i="60"/>
  <c r="N65" i="60"/>
  <c r="O65" i="60"/>
  <c r="P65" i="60"/>
  <c r="Q65" i="60"/>
  <c r="R65" i="60"/>
  <c r="S65" i="60"/>
  <c r="T65" i="60"/>
  <c r="U65" i="60"/>
  <c r="V65" i="60"/>
  <c r="W65" i="60"/>
  <c r="X65" i="60"/>
  <c r="Y65" i="60"/>
  <c r="AA65" i="60"/>
  <c r="AB65" i="60"/>
  <c r="C66" i="60"/>
  <c r="D66" i="60"/>
  <c r="E66" i="60"/>
  <c r="F66" i="60"/>
  <c r="G66" i="60"/>
  <c r="H66" i="60"/>
  <c r="I66" i="60"/>
  <c r="J66" i="60"/>
  <c r="K66" i="60"/>
  <c r="L66" i="60"/>
  <c r="M66" i="60"/>
  <c r="N66" i="60"/>
  <c r="O66" i="60"/>
  <c r="P66" i="60"/>
  <c r="Q66" i="60"/>
  <c r="R66" i="60"/>
  <c r="S66" i="60"/>
  <c r="T66" i="60"/>
  <c r="U66" i="60"/>
  <c r="V66" i="60"/>
  <c r="W4" i="48"/>
  <c r="Y5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X8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X9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X10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C17" i="48"/>
  <c r="D17" i="48"/>
  <c r="E17" i="48"/>
  <c r="F17" i="48"/>
  <c r="G17" i="48"/>
  <c r="H17" i="48"/>
  <c r="I17" i="48"/>
  <c r="J17" i="48"/>
  <c r="K17" i="48"/>
  <c r="L17" i="48"/>
  <c r="M17" i="48"/>
  <c r="N17" i="48"/>
  <c r="O17" i="48"/>
  <c r="P17" i="48"/>
  <c r="Q17" i="48"/>
  <c r="R17" i="48"/>
  <c r="S17" i="48"/>
  <c r="T17" i="48"/>
  <c r="U17" i="48"/>
  <c r="V17" i="48"/>
  <c r="W17" i="48"/>
  <c r="X17" i="48"/>
  <c r="Y17" i="48"/>
  <c r="AA17" i="48"/>
  <c r="AB17" i="48"/>
  <c r="C18" i="48"/>
  <c r="D18" i="48"/>
  <c r="E18" i="48"/>
  <c r="F18" i="48"/>
  <c r="G18" i="48"/>
  <c r="H18" i="48"/>
  <c r="I18" i="48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C20" i="48"/>
  <c r="D20" i="48"/>
  <c r="E20" i="48"/>
  <c r="F20" i="48"/>
  <c r="G20" i="48"/>
  <c r="H20" i="48"/>
  <c r="I20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C21" i="48"/>
  <c r="D21" i="48"/>
  <c r="E21" i="48"/>
  <c r="F21" i="48"/>
  <c r="G21" i="48"/>
  <c r="H21" i="48"/>
  <c r="I21" i="48"/>
  <c r="J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AA21" i="48"/>
  <c r="AB21" i="48"/>
  <c r="C22" i="48"/>
  <c r="D22" i="48"/>
  <c r="E22" i="48"/>
  <c r="F22" i="48"/>
  <c r="G22" i="48"/>
  <c r="H22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C24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C25" i="48"/>
  <c r="D25" i="48"/>
  <c r="E25" i="48"/>
  <c r="F25" i="48"/>
  <c r="G25" i="48"/>
  <c r="H25" i="48"/>
  <c r="I25" i="48"/>
  <c r="J25" i="48"/>
  <c r="K25" i="48"/>
  <c r="L25" i="48"/>
  <c r="M25" i="48"/>
  <c r="N25" i="48"/>
  <c r="O25" i="48"/>
  <c r="P25" i="48"/>
  <c r="Q25" i="48"/>
  <c r="R25" i="48"/>
  <c r="S25" i="48"/>
  <c r="T25" i="48"/>
  <c r="U25" i="48"/>
  <c r="V25" i="48"/>
  <c r="W25" i="48"/>
  <c r="X25" i="48"/>
  <c r="Y25" i="48"/>
  <c r="AB25" i="48"/>
  <c r="C26" i="48"/>
  <c r="D26" i="48"/>
  <c r="E26" i="48"/>
  <c r="F26" i="48"/>
  <c r="G26" i="48"/>
  <c r="H26" i="48"/>
  <c r="I26" i="48"/>
  <c r="J26" i="48"/>
  <c r="K26" i="48"/>
  <c r="L26" i="48"/>
  <c r="M26" i="48"/>
  <c r="N26" i="48"/>
  <c r="O26" i="48"/>
  <c r="P26" i="48"/>
  <c r="Q26" i="48"/>
  <c r="R26" i="48"/>
  <c r="S26" i="48"/>
  <c r="T26" i="48"/>
  <c r="U26" i="48"/>
  <c r="V26" i="48"/>
  <c r="C28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C29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AA29" i="48"/>
  <c r="AB29" i="48"/>
  <c r="C30" i="48"/>
  <c r="D30" i="48"/>
  <c r="E30" i="48"/>
  <c r="F30" i="48"/>
  <c r="G30" i="48"/>
  <c r="H30" i="48"/>
  <c r="I30" i="48"/>
  <c r="J30" i="48"/>
  <c r="K30" i="48"/>
  <c r="L30" i="48"/>
  <c r="M30" i="48"/>
  <c r="N30" i="48"/>
  <c r="O30" i="48"/>
  <c r="P30" i="48"/>
  <c r="Q30" i="48"/>
  <c r="R30" i="48"/>
  <c r="S30" i="48"/>
  <c r="T30" i="48"/>
  <c r="U30" i="48"/>
  <c r="V30" i="48"/>
  <c r="C32" i="48"/>
  <c r="D32" i="48"/>
  <c r="E32" i="48"/>
  <c r="F32" i="48"/>
  <c r="G32" i="48"/>
  <c r="H32" i="48"/>
  <c r="I32" i="48"/>
  <c r="J32" i="48"/>
  <c r="K32" i="48"/>
  <c r="L32" i="48"/>
  <c r="M32" i="48"/>
  <c r="N32" i="48"/>
  <c r="O32" i="48"/>
  <c r="P32" i="48"/>
  <c r="Q32" i="48"/>
  <c r="R32" i="48"/>
  <c r="S32" i="48"/>
  <c r="T32" i="48"/>
  <c r="U32" i="48"/>
  <c r="V32" i="48"/>
  <c r="C33" i="48"/>
  <c r="D33" i="48"/>
  <c r="E33" i="48"/>
  <c r="F33" i="48"/>
  <c r="G33" i="48"/>
  <c r="H33" i="48"/>
  <c r="I33" i="48"/>
  <c r="J33" i="48"/>
  <c r="K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AA33" i="48"/>
  <c r="AB33" i="48"/>
  <c r="C34" i="48"/>
  <c r="D34" i="48"/>
  <c r="E34" i="48"/>
  <c r="F34" i="48"/>
  <c r="G34" i="48"/>
  <c r="H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C36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C37" i="48"/>
  <c r="D37" i="48"/>
  <c r="E37" i="48"/>
  <c r="F37" i="48"/>
  <c r="G37" i="48"/>
  <c r="H37" i="48"/>
  <c r="I37" i="48"/>
  <c r="J37" i="48"/>
  <c r="K37" i="48"/>
  <c r="L37" i="48"/>
  <c r="M37" i="48"/>
  <c r="N37" i="48"/>
  <c r="O37" i="48"/>
  <c r="P37" i="48"/>
  <c r="Q37" i="48"/>
  <c r="R37" i="48"/>
  <c r="S37" i="48"/>
  <c r="T37" i="48"/>
  <c r="U37" i="48"/>
  <c r="V37" i="48"/>
  <c r="W37" i="48"/>
  <c r="X37" i="48"/>
  <c r="Y37" i="48"/>
  <c r="AA37" i="48"/>
  <c r="AB37" i="48"/>
  <c r="C38" i="48"/>
  <c r="D38" i="48"/>
  <c r="E38" i="48"/>
  <c r="F38" i="48"/>
  <c r="G38" i="48"/>
  <c r="H38" i="48"/>
  <c r="I38" i="48"/>
  <c r="J38" i="48"/>
  <c r="K38" i="48"/>
  <c r="L38" i="48"/>
  <c r="M38" i="48"/>
  <c r="N38" i="48"/>
  <c r="O38" i="48"/>
  <c r="P38" i="48"/>
  <c r="Q38" i="48"/>
  <c r="R38" i="48"/>
  <c r="S38" i="48"/>
  <c r="T38" i="48"/>
  <c r="U38" i="48"/>
  <c r="V38" i="48"/>
  <c r="C40" i="48"/>
  <c r="D40" i="48"/>
  <c r="E40" i="48"/>
  <c r="F40" i="48"/>
  <c r="G40" i="48"/>
  <c r="H40" i="48"/>
  <c r="I40" i="48"/>
  <c r="J40" i="48"/>
  <c r="K40" i="48"/>
  <c r="L40" i="48"/>
  <c r="M40" i="48"/>
  <c r="N40" i="48"/>
  <c r="O40" i="48"/>
  <c r="P40" i="48"/>
  <c r="Q40" i="48"/>
  <c r="R40" i="48"/>
  <c r="S40" i="48"/>
  <c r="T40" i="48"/>
  <c r="U40" i="48"/>
  <c r="V40" i="48"/>
  <c r="C41" i="48"/>
  <c r="D41" i="48"/>
  <c r="E41" i="48"/>
  <c r="F41" i="48"/>
  <c r="G41" i="48"/>
  <c r="H41" i="48"/>
  <c r="I41" i="48"/>
  <c r="J41" i="48"/>
  <c r="K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AA41" i="48"/>
  <c r="AB41" i="48"/>
  <c r="C42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C44" i="48"/>
  <c r="D44" i="48"/>
  <c r="E44" i="48"/>
  <c r="F44" i="48"/>
  <c r="G44" i="48"/>
  <c r="H44" i="48"/>
  <c r="I44" i="48"/>
  <c r="J44" i="48"/>
  <c r="K44" i="48"/>
  <c r="L44" i="48"/>
  <c r="M44" i="48"/>
  <c r="N44" i="48"/>
  <c r="O44" i="48"/>
  <c r="P44" i="48"/>
  <c r="Q44" i="48"/>
  <c r="R44" i="48"/>
  <c r="S44" i="48"/>
  <c r="T44" i="48"/>
  <c r="U44" i="48"/>
  <c r="V44" i="48"/>
  <c r="C45" i="48"/>
  <c r="D45" i="48"/>
  <c r="E45" i="48"/>
  <c r="F45" i="48"/>
  <c r="G45" i="48"/>
  <c r="H45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AA45" i="48"/>
  <c r="AB45" i="48"/>
  <c r="C46" i="48"/>
  <c r="D46" i="48"/>
  <c r="E46" i="48"/>
  <c r="F46" i="48"/>
  <c r="G46" i="48"/>
  <c r="H46" i="48"/>
  <c r="I46" i="48"/>
  <c r="J46" i="48"/>
  <c r="K46" i="48"/>
  <c r="L46" i="48"/>
  <c r="M46" i="48"/>
  <c r="N46" i="48"/>
  <c r="O46" i="48"/>
  <c r="P46" i="48"/>
  <c r="Q46" i="48"/>
  <c r="R46" i="48"/>
  <c r="S46" i="48"/>
  <c r="T46" i="48"/>
  <c r="U46" i="48"/>
  <c r="V46" i="48"/>
  <c r="C48" i="48"/>
  <c r="D48" i="48"/>
  <c r="E48" i="48"/>
  <c r="F48" i="48"/>
  <c r="G48" i="48"/>
  <c r="H48" i="48"/>
  <c r="I48" i="48"/>
  <c r="J48" i="48"/>
  <c r="K48" i="48"/>
  <c r="L48" i="48"/>
  <c r="M48" i="48"/>
  <c r="N48" i="48"/>
  <c r="O48" i="48"/>
  <c r="P48" i="48"/>
  <c r="Q48" i="48"/>
  <c r="R48" i="48"/>
  <c r="S48" i="48"/>
  <c r="T48" i="48"/>
  <c r="U48" i="48"/>
  <c r="V48" i="48"/>
  <c r="C49" i="48"/>
  <c r="D49" i="48"/>
  <c r="E49" i="48"/>
  <c r="F49" i="48"/>
  <c r="G49" i="48"/>
  <c r="H49" i="48"/>
  <c r="I49" i="48"/>
  <c r="J49" i="48"/>
  <c r="K49" i="48"/>
  <c r="L49" i="48"/>
  <c r="M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AA49" i="48"/>
  <c r="AB49" i="48"/>
  <c r="C50" i="48"/>
  <c r="D50" i="48"/>
  <c r="E50" i="48"/>
  <c r="F50" i="48"/>
  <c r="G50" i="48"/>
  <c r="H50" i="48"/>
  <c r="I50" i="48"/>
  <c r="J50" i="48"/>
  <c r="K50" i="48"/>
  <c r="L50" i="48"/>
  <c r="M50" i="48"/>
  <c r="N50" i="48"/>
  <c r="O50" i="48"/>
  <c r="P50" i="48"/>
  <c r="Q50" i="48"/>
  <c r="R50" i="48"/>
  <c r="S50" i="48"/>
  <c r="T50" i="48"/>
  <c r="U50" i="48"/>
  <c r="V50" i="48"/>
  <c r="C52" i="48"/>
  <c r="D52" i="48"/>
  <c r="E52" i="48"/>
  <c r="F52" i="48"/>
  <c r="G52" i="48"/>
  <c r="H52" i="48"/>
  <c r="I52" i="48"/>
  <c r="J52" i="48"/>
  <c r="K52" i="48"/>
  <c r="L52" i="48"/>
  <c r="M52" i="48"/>
  <c r="N52" i="48"/>
  <c r="O52" i="48"/>
  <c r="P52" i="48"/>
  <c r="Q52" i="48"/>
  <c r="R52" i="48"/>
  <c r="S52" i="48"/>
  <c r="T52" i="48"/>
  <c r="U52" i="48"/>
  <c r="V52" i="48"/>
  <c r="C53" i="48"/>
  <c r="D53" i="48"/>
  <c r="E53" i="48"/>
  <c r="F53" i="48"/>
  <c r="G53" i="48"/>
  <c r="H53" i="48"/>
  <c r="I53" i="48"/>
  <c r="J53" i="48"/>
  <c r="K53" i="48"/>
  <c r="L53" i="48"/>
  <c r="M53" i="48"/>
  <c r="N53" i="48"/>
  <c r="O53" i="48"/>
  <c r="P53" i="48"/>
  <c r="Q53" i="48"/>
  <c r="R53" i="48"/>
  <c r="S53" i="48"/>
  <c r="T53" i="48"/>
  <c r="U53" i="48"/>
  <c r="V53" i="48"/>
  <c r="W53" i="48"/>
  <c r="X53" i="48"/>
  <c r="Y53" i="48"/>
  <c r="AA53" i="48"/>
  <c r="AB53" i="48"/>
  <c r="C54" i="48"/>
  <c r="D54" i="48"/>
  <c r="E54" i="48"/>
  <c r="F54" i="48"/>
  <c r="G54" i="48"/>
  <c r="H54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C56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C57" i="48"/>
  <c r="D57" i="48"/>
  <c r="E57" i="48"/>
  <c r="F57" i="48"/>
  <c r="G57" i="48"/>
  <c r="H57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W57" i="48"/>
  <c r="X57" i="48"/>
  <c r="Y57" i="48"/>
  <c r="AA57" i="48"/>
  <c r="AB57" i="48"/>
  <c r="C58" i="48"/>
  <c r="D58" i="48"/>
  <c r="E58" i="48"/>
  <c r="F58" i="48"/>
  <c r="G58" i="48"/>
  <c r="H58" i="48"/>
  <c r="I58" i="48"/>
  <c r="J58" i="48"/>
  <c r="K58" i="48"/>
  <c r="L58" i="48"/>
  <c r="M58" i="48"/>
  <c r="N58" i="48"/>
  <c r="O58" i="48"/>
  <c r="P58" i="48"/>
  <c r="Q58" i="48"/>
  <c r="R58" i="48"/>
  <c r="S58" i="48"/>
  <c r="T58" i="48"/>
  <c r="U58" i="48"/>
  <c r="V58" i="48"/>
  <c r="C60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C61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AA61" i="48"/>
  <c r="AB61" i="48"/>
  <c r="C62" i="48"/>
  <c r="D62" i="48"/>
  <c r="E62" i="48"/>
  <c r="F62" i="48"/>
  <c r="G62" i="48"/>
  <c r="H62" i="48"/>
  <c r="I62" i="48"/>
  <c r="J62" i="48"/>
  <c r="K62" i="48"/>
  <c r="L62" i="48"/>
  <c r="M62" i="48"/>
  <c r="N62" i="48"/>
  <c r="O62" i="48"/>
  <c r="P62" i="48"/>
  <c r="Q62" i="48"/>
  <c r="R62" i="48"/>
  <c r="S62" i="48"/>
  <c r="T62" i="48"/>
  <c r="U62" i="48"/>
  <c r="V62" i="48"/>
  <c r="C64" i="48"/>
  <c r="D64" i="48"/>
  <c r="E64" i="48"/>
  <c r="F64" i="48"/>
  <c r="G64" i="48"/>
  <c r="H64" i="48"/>
  <c r="I64" i="48"/>
  <c r="J64" i="48"/>
  <c r="K64" i="48"/>
  <c r="L64" i="48"/>
  <c r="M64" i="48"/>
  <c r="N64" i="48"/>
  <c r="O64" i="48"/>
  <c r="P64" i="48"/>
  <c r="Q64" i="48"/>
  <c r="R64" i="48"/>
  <c r="S64" i="48"/>
  <c r="T64" i="48"/>
  <c r="U64" i="48"/>
  <c r="V64" i="48"/>
  <c r="C65" i="48"/>
  <c r="D65" i="48"/>
  <c r="E65" i="48"/>
  <c r="F65" i="48"/>
  <c r="G65" i="48"/>
  <c r="H65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AA65" i="48"/>
  <c r="AB65" i="48"/>
  <c r="C66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C68" i="48"/>
  <c r="D68" i="48"/>
  <c r="E68" i="48"/>
  <c r="F68" i="48"/>
  <c r="G68" i="48"/>
  <c r="H68" i="48"/>
  <c r="I68" i="48"/>
  <c r="J68" i="48"/>
  <c r="K68" i="48"/>
  <c r="L68" i="48"/>
  <c r="M68" i="48"/>
  <c r="N68" i="48"/>
  <c r="O68" i="48"/>
  <c r="P68" i="48"/>
  <c r="Q68" i="48"/>
  <c r="R68" i="48"/>
  <c r="S68" i="48"/>
  <c r="T68" i="48"/>
  <c r="U68" i="48"/>
  <c r="V68" i="48"/>
  <c r="C69" i="48"/>
  <c r="D69" i="48"/>
  <c r="E69" i="48"/>
  <c r="F69" i="48"/>
  <c r="G69" i="48"/>
  <c r="H69" i="48"/>
  <c r="I69" i="48"/>
  <c r="J69" i="48"/>
  <c r="K69" i="48"/>
  <c r="L69" i="48"/>
  <c r="M69" i="48"/>
  <c r="N69" i="48"/>
  <c r="O69" i="48"/>
  <c r="P69" i="48"/>
  <c r="Q69" i="48"/>
  <c r="R69" i="48"/>
  <c r="S69" i="48"/>
  <c r="T69" i="48"/>
  <c r="U69" i="48"/>
  <c r="V69" i="48"/>
  <c r="W69" i="48"/>
  <c r="X69" i="48"/>
  <c r="Y69" i="48"/>
  <c r="AA69" i="48"/>
  <c r="AB69" i="48"/>
  <c r="C70" i="48"/>
  <c r="D70" i="48"/>
  <c r="E70" i="48"/>
  <c r="F70" i="48"/>
  <c r="G70" i="48"/>
  <c r="H70" i="48"/>
  <c r="I70" i="48"/>
  <c r="J70" i="48"/>
  <c r="K70" i="48"/>
  <c r="L70" i="48"/>
  <c r="M70" i="48"/>
  <c r="N70" i="48"/>
  <c r="O70" i="48"/>
  <c r="P70" i="48"/>
  <c r="Q70" i="48"/>
  <c r="R70" i="48"/>
  <c r="S70" i="48"/>
  <c r="T70" i="48"/>
  <c r="U70" i="48"/>
  <c r="V70" i="48"/>
  <c r="W4" i="53"/>
  <c r="Y5" i="53"/>
  <c r="C6" i="53"/>
  <c r="D6" i="53"/>
  <c r="E6" i="53"/>
  <c r="F6" i="53"/>
  <c r="G6" i="53"/>
  <c r="H6" i="53"/>
  <c r="I6" i="53"/>
  <c r="J6" i="53"/>
  <c r="K6" i="53"/>
  <c r="L6" i="53"/>
  <c r="M6" i="53"/>
  <c r="N6" i="53"/>
  <c r="O6" i="53"/>
  <c r="P6" i="53"/>
  <c r="Q6" i="53"/>
  <c r="R6" i="53"/>
  <c r="S6" i="53"/>
  <c r="T6" i="53"/>
  <c r="U6" i="53"/>
  <c r="V6" i="53"/>
  <c r="X6" i="53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X8" i="53"/>
  <c r="C9" i="53"/>
  <c r="D9" i="53"/>
  <c r="E9" i="53"/>
  <c r="F9" i="53"/>
  <c r="G9" i="53"/>
  <c r="H9" i="53"/>
  <c r="I9" i="53"/>
  <c r="J9" i="53"/>
  <c r="K9" i="53"/>
  <c r="L9" i="53"/>
  <c r="M9" i="53"/>
  <c r="N9" i="53"/>
  <c r="O9" i="53"/>
  <c r="P9" i="53"/>
  <c r="Q9" i="53"/>
  <c r="R9" i="53"/>
  <c r="S9" i="53"/>
  <c r="T9" i="53"/>
  <c r="U9" i="53"/>
  <c r="V9" i="53"/>
  <c r="X9" i="53"/>
  <c r="C10" i="53"/>
  <c r="D10" i="53"/>
  <c r="E10" i="53"/>
  <c r="F10" i="53"/>
  <c r="G10" i="53"/>
  <c r="H10" i="53"/>
  <c r="I10" i="53"/>
  <c r="J10" i="53"/>
  <c r="K10" i="53"/>
  <c r="L10" i="53"/>
  <c r="M10" i="53"/>
  <c r="N10" i="53"/>
  <c r="O10" i="53"/>
  <c r="P10" i="53"/>
  <c r="Q10" i="53"/>
  <c r="R10" i="53"/>
  <c r="S10" i="53"/>
  <c r="T10" i="53"/>
  <c r="U10" i="53"/>
  <c r="V10" i="53"/>
  <c r="X10" i="53"/>
  <c r="C12" i="53"/>
  <c r="D12" i="53"/>
  <c r="E12" i="53"/>
  <c r="F12" i="53"/>
  <c r="G12" i="53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C13" i="53"/>
  <c r="D13" i="53"/>
  <c r="E13" i="53"/>
  <c r="F13" i="53"/>
  <c r="G13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C14" i="53"/>
  <c r="D14" i="53"/>
  <c r="E14" i="53"/>
  <c r="F14" i="53"/>
  <c r="G14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C16" i="53"/>
  <c r="D16" i="53"/>
  <c r="E16" i="53"/>
  <c r="F16" i="53"/>
  <c r="G16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C17" i="53"/>
  <c r="D17" i="53"/>
  <c r="E17" i="53"/>
  <c r="F17" i="53"/>
  <c r="G17" i="53"/>
  <c r="H17" i="53"/>
  <c r="I17" i="53"/>
  <c r="J17" i="53"/>
  <c r="K17" i="53"/>
  <c r="L17" i="53"/>
  <c r="M17" i="53"/>
  <c r="N17" i="53"/>
  <c r="O17" i="53"/>
  <c r="P17" i="53"/>
  <c r="Q17" i="53"/>
  <c r="R17" i="53"/>
  <c r="S17" i="53"/>
  <c r="T17" i="53"/>
  <c r="U17" i="53"/>
  <c r="V17" i="53"/>
  <c r="W17" i="53"/>
  <c r="X17" i="53"/>
  <c r="Y17" i="53"/>
  <c r="AA17" i="53"/>
  <c r="AB17" i="53"/>
  <c r="C18" i="53"/>
  <c r="D18" i="53"/>
  <c r="E18" i="53"/>
  <c r="F18" i="53"/>
  <c r="G18" i="53"/>
  <c r="H18" i="53"/>
  <c r="I18" i="53"/>
  <c r="J18" i="53"/>
  <c r="K18" i="53"/>
  <c r="L18" i="53"/>
  <c r="M18" i="53"/>
  <c r="N18" i="53"/>
  <c r="O18" i="53"/>
  <c r="P18" i="53"/>
  <c r="Q18" i="53"/>
  <c r="R18" i="53"/>
  <c r="S18" i="53"/>
  <c r="T18" i="53"/>
  <c r="U18" i="53"/>
  <c r="V18" i="53"/>
  <c r="C20" i="53"/>
  <c r="D20" i="53"/>
  <c r="E20" i="53"/>
  <c r="F20" i="53"/>
  <c r="G20" i="53"/>
  <c r="H20" i="53"/>
  <c r="I20" i="53"/>
  <c r="J20" i="53"/>
  <c r="K20" i="53"/>
  <c r="L20" i="53"/>
  <c r="M20" i="53"/>
  <c r="N20" i="53"/>
  <c r="O20" i="53"/>
  <c r="P20" i="53"/>
  <c r="Q20" i="53"/>
  <c r="R20" i="53"/>
  <c r="S20" i="53"/>
  <c r="T20" i="53"/>
  <c r="U20" i="53"/>
  <c r="V20" i="53"/>
  <c r="C21" i="53"/>
  <c r="D21" i="53"/>
  <c r="E21" i="53"/>
  <c r="F21" i="53"/>
  <c r="G21" i="53"/>
  <c r="H21" i="53"/>
  <c r="I21" i="53"/>
  <c r="J21" i="53"/>
  <c r="K21" i="53"/>
  <c r="L21" i="53"/>
  <c r="M21" i="53"/>
  <c r="N21" i="53"/>
  <c r="O21" i="53"/>
  <c r="P21" i="53"/>
  <c r="Q21" i="53"/>
  <c r="R21" i="53"/>
  <c r="S21" i="53"/>
  <c r="T21" i="53"/>
  <c r="U21" i="53"/>
  <c r="V21" i="53"/>
  <c r="W21" i="53"/>
  <c r="X21" i="53"/>
  <c r="Y21" i="53"/>
  <c r="AA21" i="53"/>
  <c r="AB21" i="53"/>
  <c r="C22" i="53"/>
  <c r="D22" i="53"/>
  <c r="E22" i="53"/>
  <c r="F22" i="53"/>
  <c r="G22" i="53"/>
  <c r="H22" i="53"/>
  <c r="I22" i="53"/>
  <c r="J22" i="53"/>
  <c r="K22" i="53"/>
  <c r="L22" i="53"/>
  <c r="M22" i="53"/>
  <c r="N22" i="53"/>
  <c r="O22" i="53"/>
  <c r="P22" i="53"/>
  <c r="Q22" i="53"/>
  <c r="R22" i="53"/>
  <c r="S22" i="53"/>
  <c r="T22" i="53"/>
  <c r="U22" i="53"/>
  <c r="V22" i="53"/>
  <c r="C24" i="53"/>
  <c r="D24" i="53"/>
  <c r="E24" i="53"/>
  <c r="F24" i="53"/>
  <c r="G24" i="53"/>
  <c r="H24" i="53"/>
  <c r="I24" i="53"/>
  <c r="J24" i="53"/>
  <c r="K24" i="53"/>
  <c r="L24" i="53"/>
  <c r="M24" i="53"/>
  <c r="N24" i="53"/>
  <c r="O24" i="53"/>
  <c r="P24" i="53"/>
  <c r="Q24" i="53"/>
  <c r="R24" i="53"/>
  <c r="S24" i="53"/>
  <c r="T24" i="53"/>
  <c r="U24" i="53"/>
  <c r="V24" i="53"/>
  <c r="C25" i="53"/>
  <c r="D25" i="53"/>
  <c r="E25" i="53"/>
  <c r="F25" i="53"/>
  <c r="G25" i="53"/>
  <c r="H25" i="53"/>
  <c r="I25" i="53"/>
  <c r="J25" i="53"/>
  <c r="K25" i="53"/>
  <c r="L25" i="53"/>
  <c r="M25" i="53"/>
  <c r="N25" i="53"/>
  <c r="O25" i="53"/>
  <c r="P25" i="53"/>
  <c r="Q25" i="53"/>
  <c r="R25" i="53"/>
  <c r="S25" i="53"/>
  <c r="T25" i="53"/>
  <c r="U25" i="53"/>
  <c r="V25" i="53"/>
  <c r="W25" i="53"/>
  <c r="X25" i="53"/>
  <c r="Y25" i="53"/>
  <c r="AB25" i="53"/>
  <c r="C26" i="53"/>
  <c r="D26" i="53"/>
  <c r="E26" i="53"/>
  <c r="F26" i="53"/>
  <c r="G26" i="53"/>
  <c r="H26" i="53"/>
  <c r="I26" i="53"/>
  <c r="J26" i="53"/>
  <c r="K26" i="53"/>
  <c r="L26" i="53"/>
  <c r="M26" i="53"/>
  <c r="N26" i="53"/>
  <c r="O26" i="53"/>
  <c r="P26" i="53"/>
  <c r="Q26" i="53"/>
  <c r="R26" i="53"/>
  <c r="S26" i="53"/>
  <c r="T26" i="53"/>
  <c r="U26" i="53"/>
  <c r="V26" i="53"/>
  <c r="C28" i="53"/>
  <c r="D28" i="53"/>
  <c r="E28" i="53"/>
  <c r="F28" i="53"/>
  <c r="G28" i="53"/>
  <c r="H28" i="53"/>
  <c r="I28" i="53"/>
  <c r="J28" i="53"/>
  <c r="K28" i="53"/>
  <c r="L28" i="53"/>
  <c r="M28" i="53"/>
  <c r="N28" i="53"/>
  <c r="O28" i="53"/>
  <c r="P28" i="53"/>
  <c r="Q28" i="53"/>
  <c r="R28" i="53"/>
  <c r="S28" i="53"/>
  <c r="T28" i="53"/>
  <c r="U28" i="53"/>
  <c r="V28" i="53"/>
  <c r="C29" i="53"/>
  <c r="D29" i="53"/>
  <c r="E29" i="53"/>
  <c r="F29" i="53"/>
  <c r="G29" i="53"/>
  <c r="H29" i="53"/>
  <c r="I29" i="53"/>
  <c r="J29" i="53"/>
  <c r="K29" i="53"/>
  <c r="L29" i="53"/>
  <c r="M29" i="53"/>
  <c r="N29" i="53"/>
  <c r="O29" i="53"/>
  <c r="P29" i="53"/>
  <c r="Q29" i="53"/>
  <c r="R29" i="53"/>
  <c r="S29" i="53"/>
  <c r="T29" i="53"/>
  <c r="U29" i="53"/>
  <c r="V29" i="53"/>
  <c r="W29" i="53"/>
  <c r="X29" i="53"/>
  <c r="Y29" i="53"/>
  <c r="AA29" i="53"/>
  <c r="AB29" i="53"/>
  <c r="C30" i="53"/>
  <c r="D30" i="53"/>
  <c r="E30" i="53"/>
  <c r="F30" i="53"/>
  <c r="G30" i="53"/>
  <c r="H30" i="53"/>
  <c r="I30" i="53"/>
  <c r="J30" i="53"/>
  <c r="K30" i="53"/>
  <c r="L30" i="53"/>
  <c r="M30" i="53"/>
  <c r="N30" i="53"/>
  <c r="O30" i="53"/>
  <c r="P30" i="53"/>
  <c r="Q30" i="53"/>
  <c r="R30" i="53"/>
  <c r="S30" i="53"/>
  <c r="T30" i="53"/>
  <c r="U30" i="53"/>
  <c r="V30" i="53"/>
  <c r="C32" i="53"/>
  <c r="D32" i="53"/>
  <c r="E32" i="53"/>
  <c r="F32" i="53"/>
  <c r="G32" i="53"/>
  <c r="H32" i="53"/>
  <c r="I32" i="53"/>
  <c r="J32" i="53"/>
  <c r="K32" i="53"/>
  <c r="L32" i="53"/>
  <c r="M32" i="53"/>
  <c r="N32" i="53"/>
  <c r="O32" i="53"/>
  <c r="P32" i="53"/>
  <c r="Q32" i="53"/>
  <c r="R32" i="53"/>
  <c r="S32" i="53"/>
  <c r="T32" i="53"/>
  <c r="U32" i="53"/>
  <c r="V32" i="53"/>
  <c r="C33" i="53"/>
  <c r="D33" i="53"/>
  <c r="E33" i="53"/>
  <c r="F33" i="53"/>
  <c r="G33" i="53"/>
  <c r="H33" i="53"/>
  <c r="I33" i="53"/>
  <c r="J33" i="53"/>
  <c r="K33" i="53"/>
  <c r="L33" i="53"/>
  <c r="M33" i="53"/>
  <c r="N33" i="53"/>
  <c r="O33" i="53"/>
  <c r="P33" i="53"/>
  <c r="Q33" i="53"/>
  <c r="R33" i="53"/>
  <c r="S33" i="53"/>
  <c r="T33" i="53"/>
  <c r="U33" i="53"/>
  <c r="V33" i="53"/>
  <c r="W33" i="53"/>
  <c r="X33" i="53"/>
  <c r="Y33" i="53"/>
  <c r="AA33" i="53"/>
  <c r="AB33" i="53"/>
  <c r="C34" i="53"/>
  <c r="D34" i="53"/>
  <c r="E34" i="53"/>
  <c r="F34" i="53"/>
  <c r="G34" i="53"/>
  <c r="H34" i="53"/>
  <c r="I34" i="53"/>
  <c r="J34" i="53"/>
  <c r="K34" i="53"/>
  <c r="L34" i="53"/>
  <c r="M34" i="53"/>
  <c r="N34" i="53"/>
  <c r="O34" i="53"/>
  <c r="P34" i="53"/>
  <c r="Q34" i="53"/>
  <c r="R34" i="53"/>
  <c r="S34" i="53"/>
  <c r="T34" i="53"/>
  <c r="U34" i="53"/>
  <c r="V34" i="53"/>
  <c r="C36" i="53"/>
  <c r="D36" i="53"/>
  <c r="E36" i="53"/>
  <c r="F36" i="53"/>
  <c r="G36" i="53"/>
  <c r="H36" i="53"/>
  <c r="I36" i="53"/>
  <c r="J36" i="53"/>
  <c r="K36" i="53"/>
  <c r="L36" i="53"/>
  <c r="M36" i="53"/>
  <c r="N36" i="53"/>
  <c r="O36" i="53"/>
  <c r="P36" i="53"/>
  <c r="Q36" i="53"/>
  <c r="R36" i="53"/>
  <c r="S36" i="53"/>
  <c r="T36" i="53"/>
  <c r="U36" i="53"/>
  <c r="V36" i="53"/>
  <c r="C37" i="53"/>
  <c r="D37" i="53"/>
  <c r="E37" i="53"/>
  <c r="F37" i="53"/>
  <c r="G37" i="53"/>
  <c r="H37" i="53"/>
  <c r="I37" i="53"/>
  <c r="J37" i="53"/>
  <c r="K37" i="53"/>
  <c r="L37" i="53"/>
  <c r="M37" i="53"/>
  <c r="N37" i="53"/>
  <c r="O37" i="53"/>
  <c r="P37" i="53"/>
  <c r="Q37" i="53"/>
  <c r="R37" i="53"/>
  <c r="S37" i="53"/>
  <c r="T37" i="53"/>
  <c r="U37" i="53"/>
  <c r="V37" i="53"/>
  <c r="W37" i="53"/>
  <c r="X37" i="53"/>
  <c r="Y37" i="53"/>
  <c r="AA37" i="53"/>
  <c r="AB37" i="53"/>
  <c r="C38" i="53"/>
  <c r="D38" i="53"/>
  <c r="E38" i="53"/>
  <c r="F38" i="53"/>
  <c r="G38" i="53"/>
  <c r="H38" i="53"/>
  <c r="I38" i="53"/>
  <c r="J38" i="53"/>
  <c r="K38" i="53"/>
  <c r="L38" i="53"/>
  <c r="M38" i="53"/>
  <c r="N38" i="53"/>
  <c r="O38" i="53"/>
  <c r="P38" i="53"/>
  <c r="Q38" i="53"/>
  <c r="R38" i="53"/>
  <c r="S38" i="53"/>
  <c r="T38" i="53"/>
  <c r="U38" i="53"/>
  <c r="V38" i="53"/>
  <c r="C40" i="53"/>
  <c r="D40" i="53"/>
  <c r="E40" i="53"/>
  <c r="F40" i="53"/>
  <c r="G40" i="53"/>
  <c r="H40" i="53"/>
  <c r="I40" i="53"/>
  <c r="J40" i="53"/>
  <c r="K40" i="53"/>
  <c r="L40" i="53"/>
  <c r="M40" i="53"/>
  <c r="N40" i="53"/>
  <c r="O40" i="53"/>
  <c r="P40" i="53"/>
  <c r="Q40" i="53"/>
  <c r="R40" i="53"/>
  <c r="S40" i="53"/>
  <c r="T40" i="53"/>
  <c r="U40" i="53"/>
  <c r="V40" i="53"/>
  <c r="C41" i="53"/>
  <c r="D41" i="53"/>
  <c r="E41" i="53"/>
  <c r="F41" i="53"/>
  <c r="G41" i="53"/>
  <c r="H41" i="53"/>
  <c r="I41" i="53"/>
  <c r="J41" i="53"/>
  <c r="K41" i="53"/>
  <c r="L41" i="53"/>
  <c r="M41" i="53"/>
  <c r="N41" i="53"/>
  <c r="O41" i="53"/>
  <c r="P41" i="53"/>
  <c r="Q41" i="53"/>
  <c r="R41" i="53"/>
  <c r="S41" i="53"/>
  <c r="T41" i="53"/>
  <c r="U41" i="53"/>
  <c r="V41" i="53"/>
  <c r="W41" i="53"/>
  <c r="X41" i="53"/>
  <c r="Y41" i="53"/>
  <c r="AA41" i="53"/>
  <c r="AB41" i="53"/>
  <c r="C42" i="53"/>
  <c r="D42" i="53"/>
  <c r="E42" i="53"/>
  <c r="F42" i="53"/>
  <c r="G42" i="53"/>
  <c r="H42" i="53"/>
  <c r="I42" i="53"/>
  <c r="J42" i="53"/>
  <c r="K42" i="53"/>
  <c r="L42" i="53"/>
  <c r="M42" i="53"/>
  <c r="N42" i="53"/>
  <c r="O42" i="53"/>
  <c r="P42" i="53"/>
  <c r="Q42" i="53"/>
  <c r="R42" i="53"/>
  <c r="S42" i="53"/>
  <c r="T42" i="53"/>
  <c r="U42" i="53"/>
  <c r="V42" i="53"/>
  <c r="C44" i="53"/>
  <c r="D44" i="53"/>
  <c r="E44" i="53"/>
  <c r="F44" i="53"/>
  <c r="G44" i="53"/>
  <c r="H44" i="53"/>
  <c r="I44" i="53"/>
  <c r="J44" i="53"/>
  <c r="K44" i="53"/>
  <c r="L44" i="53"/>
  <c r="M44" i="53"/>
  <c r="N44" i="53"/>
  <c r="O44" i="53"/>
  <c r="P44" i="53"/>
  <c r="Q44" i="53"/>
  <c r="R44" i="53"/>
  <c r="S44" i="53"/>
  <c r="T44" i="53"/>
  <c r="U44" i="53"/>
  <c r="V44" i="53"/>
  <c r="C45" i="53"/>
  <c r="D45" i="53"/>
  <c r="E45" i="53"/>
  <c r="F45" i="53"/>
  <c r="G45" i="53"/>
  <c r="H45" i="53"/>
  <c r="I45" i="53"/>
  <c r="J45" i="53"/>
  <c r="K45" i="53"/>
  <c r="L45" i="53"/>
  <c r="M45" i="53"/>
  <c r="N45" i="53"/>
  <c r="O45" i="53"/>
  <c r="P45" i="53"/>
  <c r="Q45" i="53"/>
  <c r="R45" i="53"/>
  <c r="S45" i="53"/>
  <c r="T45" i="53"/>
  <c r="U45" i="53"/>
  <c r="V45" i="53"/>
  <c r="W45" i="53"/>
  <c r="X45" i="53"/>
  <c r="Y45" i="53"/>
  <c r="AA45" i="53"/>
  <c r="AB45" i="53"/>
  <c r="C46" i="53"/>
  <c r="D46" i="53"/>
  <c r="E46" i="53"/>
  <c r="F46" i="53"/>
  <c r="G46" i="53"/>
  <c r="H46" i="53"/>
  <c r="I46" i="53"/>
  <c r="J46" i="53"/>
  <c r="K46" i="53"/>
  <c r="L46" i="53"/>
  <c r="M46" i="53"/>
  <c r="N46" i="53"/>
  <c r="O46" i="53"/>
  <c r="P46" i="53"/>
  <c r="Q46" i="53"/>
  <c r="R46" i="53"/>
  <c r="S46" i="53"/>
  <c r="T46" i="53"/>
  <c r="U46" i="53"/>
  <c r="V46" i="53"/>
  <c r="C48" i="53"/>
  <c r="D48" i="53"/>
  <c r="E48" i="53"/>
  <c r="F48" i="53"/>
  <c r="G48" i="53"/>
  <c r="H48" i="53"/>
  <c r="I48" i="53"/>
  <c r="J48" i="53"/>
  <c r="K48" i="53"/>
  <c r="L48" i="53"/>
  <c r="M48" i="53"/>
  <c r="N48" i="53"/>
  <c r="O48" i="53"/>
  <c r="P48" i="53"/>
  <c r="Q48" i="53"/>
  <c r="R48" i="53"/>
  <c r="S48" i="53"/>
  <c r="T48" i="53"/>
  <c r="U48" i="53"/>
  <c r="V48" i="53"/>
  <c r="C49" i="53"/>
  <c r="D49" i="53"/>
  <c r="E49" i="53"/>
  <c r="F49" i="53"/>
  <c r="G49" i="53"/>
  <c r="H49" i="53"/>
  <c r="I49" i="53"/>
  <c r="J49" i="53"/>
  <c r="K49" i="53"/>
  <c r="L49" i="53"/>
  <c r="M49" i="53"/>
  <c r="N49" i="53"/>
  <c r="O49" i="53"/>
  <c r="P49" i="53"/>
  <c r="Q49" i="53"/>
  <c r="R49" i="53"/>
  <c r="S49" i="53"/>
  <c r="T49" i="53"/>
  <c r="U49" i="53"/>
  <c r="V49" i="53"/>
  <c r="W49" i="53"/>
  <c r="X49" i="53"/>
  <c r="Y49" i="53"/>
  <c r="AA49" i="53"/>
  <c r="AB49" i="53"/>
  <c r="C50" i="53"/>
  <c r="D50" i="53"/>
  <c r="E50" i="53"/>
  <c r="F50" i="53"/>
  <c r="G50" i="53"/>
  <c r="H50" i="53"/>
  <c r="I50" i="53"/>
  <c r="J50" i="53"/>
  <c r="K50" i="53"/>
  <c r="L50" i="53"/>
  <c r="M50" i="53"/>
  <c r="N50" i="53"/>
  <c r="O50" i="53"/>
  <c r="P50" i="53"/>
  <c r="Q50" i="53"/>
  <c r="R50" i="53"/>
  <c r="S50" i="53"/>
  <c r="T50" i="53"/>
  <c r="U50" i="53"/>
  <c r="V50" i="53"/>
  <c r="C52" i="53"/>
  <c r="D52" i="53"/>
  <c r="E52" i="53"/>
  <c r="F52" i="53"/>
  <c r="G52" i="53"/>
  <c r="H52" i="53"/>
  <c r="I52" i="53"/>
  <c r="J52" i="53"/>
  <c r="K52" i="53"/>
  <c r="L52" i="53"/>
  <c r="M52" i="53"/>
  <c r="N52" i="53"/>
  <c r="O52" i="53"/>
  <c r="P52" i="53"/>
  <c r="Q52" i="53"/>
  <c r="R52" i="53"/>
  <c r="S52" i="53"/>
  <c r="T52" i="53"/>
  <c r="U52" i="53"/>
  <c r="V52" i="53"/>
  <c r="C53" i="53"/>
  <c r="D53" i="53"/>
  <c r="E53" i="53"/>
  <c r="F53" i="53"/>
  <c r="G53" i="53"/>
  <c r="H53" i="53"/>
  <c r="I53" i="53"/>
  <c r="J53" i="53"/>
  <c r="K53" i="53"/>
  <c r="L53" i="53"/>
  <c r="M53" i="53"/>
  <c r="N53" i="53"/>
  <c r="O53" i="53"/>
  <c r="P53" i="53"/>
  <c r="Q53" i="53"/>
  <c r="R53" i="53"/>
  <c r="S53" i="53"/>
  <c r="T53" i="53"/>
  <c r="U53" i="53"/>
  <c r="V53" i="53"/>
  <c r="W53" i="53"/>
  <c r="X53" i="53"/>
  <c r="Y53" i="53"/>
  <c r="AA53" i="53"/>
  <c r="AB53" i="53"/>
  <c r="C54" i="53"/>
  <c r="D54" i="53"/>
  <c r="E54" i="53"/>
  <c r="F54" i="53"/>
  <c r="G54" i="53"/>
  <c r="H54" i="53"/>
  <c r="I54" i="53"/>
  <c r="J54" i="53"/>
  <c r="K54" i="53"/>
  <c r="L54" i="53"/>
  <c r="M54" i="53"/>
  <c r="N54" i="53"/>
  <c r="O54" i="53"/>
  <c r="P54" i="53"/>
  <c r="Q54" i="53"/>
  <c r="R54" i="53"/>
  <c r="S54" i="53"/>
  <c r="T54" i="53"/>
  <c r="U54" i="53"/>
  <c r="V54" i="53"/>
  <c r="C56" i="53"/>
  <c r="D56" i="53"/>
  <c r="E56" i="53"/>
  <c r="F56" i="53"/>
  <c r="G56" i="53"/>
  <c r="H56" i="53"/>
  <c r="I56" i="53"/>
  <c r="J56" i="53"/>
  <c r="K56" i="53"/>
  <c r="L56" i="53"/>
  <c r="M56" i="53"/>
  <c r="N56" i="53"/>
  <c r="O56" i="53"/>
  <c r="P56" i="53"/>
  <c r="Q56" i="53"/>
  <c r="R56" i="53"/>
  <c r="S56" i="53"/>
  <c r="T56" i="53"/>
  <c r="U56" i="53"/>
  <c r="V56" i="53"/>
  <c r="C57" i="53"/>
  <c r="D57" i="53"/>
  <c r="E57" i="53"/>
  <c r="F57" i="53"/>
  <c r="G57" i="53"/>
  <c r="H57" i="53"/>
  <c r="I57" i="53"/>
  <c r="J57" i="53"/>
  <c r="K57" i="53"/>
  <c r="L57" i="53"/>
  <c r="M57" i="53"/>
  <c r="N57" i="53"/>
  <c r="O57" i="53"/>
  <c r="P57" i="53"/>
  <c r="Q57" i="53"/>
  <c r="R57" i="53"/>
  <c r="S57" i="53"/>
  <c r="T57" i="53"/>
  <c r="U57" i="53"/>
  <c r="V57" i="53"/>
  <c r="W57" i="53"/>
  <c r="X57" i="53"/>
  <c r="Y57" i="53"/>
  <c r="AA57" i="53"/>
  <c r="AB57" i="53"/>
  <c r="C58" i="53"/>
  <c r="D58" i="53"/>
  <c r="E58" i="53"/>
  <c r="F58" i="53"/>
  <c r="G58" i="53"/>
  <c r="H58" i="53"/>
  <c r="I58" i="53"/>
  <c r="J58" i="53"/>
  <c r="K58" i="53"/>
  <c r="L58" i="53"/>
  <c r="M58" i="53"/>
  <c r="N58" i="53"/>
  <c r="O58" i="53"/>
  <c r="P58" i="53"/>
  <c r="Q58" i="53"/>
  <c r="R58" i="53"/>
  <c r="S58" i="53"/>
  <c r="T58" i="53"/>
  <c r="U58" i="53"/>
  <c r="V58" i="53"/>
  <c r="C60" i="53"/>
  <c r="D60" i="53"/>
  <c r="E60" i="53"/>
  <c r="F60" i="53"/>
  <c r="G60" i="53"/>
  <c r="H60" i="53"/>
  <c r="I60" i="53"/>
  <c r="J60" i="53"/>
  <c r="K60" i="53"/>
  <c r="L60" i="53"/>
  <c r="M60" i="53"/>
  <c r="N60" i="53"/>
  <c r="O60" i="53"/>
  <c r="P60" i="53"/>
  <c r="Q60" i="53"/>
  <c r="R60" i="53"/>
  <c r="S60" i="53"/>
  <c r="T60" i="53"/>
  <c r="U60" i="53"/>
  <c r="V60" i="53"/>
  <c r="C61" i="53"/>
  <c r="D61" i="53"/>
  <c r="E61" i="53"/>
  <c r="F61" i="53"/>
  <c r="G61" i="53"/>
  <c r="H61" i="53"/>
  <c r="I61" i="53"/>
  <c r="J61" i="53"/>
  <c r="K61" i="53"/>
  <c r="L61" i="53"/>
  <c r="M61" i="53"/>
  <c r="N61" i="53"/>
  <c r="O61" i="53"/>
  <c r="P61" i="53"/>
  <c r="Q61" i="53"/>
  <c r="R61" i="53"/>
  <c r="S61" i="53"/>
  <c r="T61" i="53"/>
  <c r="U61" i="53"/>
  <c r="V61" i="53"/>
  <c r="W61" i="53"/>
  <c r="X61" i="53"/>
  <c r="Y61" i="53"/>
  <c r="AA61" i="53"/>
  <c r="AB61" i="53"/>
  <c r="C62" i="53"/>
  <c r="D62" i="53"/>
  <c r="E62" i="53"/>
  <c r="F62" i="53"/>
  <c r="G62" i="53"/>
  <c r="H62" i="53"/>
  <c r="I62" i="53"/>
  <c r="J62" i="53"/>
  <c r="K62" i="53"/>
  <c r="L62" i="53"/>
  <c r="M62" i="53"/>
  <c r="N62" i="53"/>
  <c r="O62" i="53"/>
  <c r="P62" i="53"/>
  <c r="Q62" i="53"/>
  <c r="R62" i="53"/>
  <c r="S62" i="53"/>
  <c r="T62" i="53"/>
  <c r="U62" i="53"/>
  <c r="V62" i="53"/>
  <c r="C64" i="53"/>
  <c r="D64" i="53"/>
  <c r="E64" i="53"/>
  <c r="F64" i="53"/>
  <c r="G64" i="53"/>
  <c r="H64" i="53"/>
  <c r="I64" i="53"/>
  <c r="J64" i="53"/>
  <c r="K64" i="53"/>
  <c r="L64" i="53"/>
  <c r="M64" i="53"/>
  <c r="N64" i="53"/>
  <c r="O64" i="53"/>
  <c r="P64" i="53"/>
  <c r="Q64" i="53"/>
  <c r="R64" i="53"/>
  <c r="S64" i="53"/>
  <c r="T64" i="53"/>
  <c r="U64" i="53"/>
  <c r="V64" i="53"/>
  <c r="C65" i="53"/>
  <c r="D65" i="53"/>
  <c r="E65" i="53"/>
  <c r="F65" i="53"/>
  <c r="G65" i="53"/>
  <c r="H65" i="53"/>
  <c r="I65" i="53"/>
  <c r="J65" i="53"/>
  <c r="K65" i="53"/>
  <c r="L65" i="53"/>
  <c r="M65" i="53"/>
  <c r="N65" i="53"/>
  <c r="O65" i="53"/>
  <c r="P65" i="53"/>
  <c r="Q65" i="53"/>
  <c r="R65" i="53"/>
  <c r="S65" i="53"/>
  <c r="T65" i="53"/>
  <c r="U65" i="53"/>
  <c r="V65" i="53"/>
  <c r="W65" i="53"/>
  <c r="X65" i="53"/>
  <c r="Y65" i="53"/>
  <c r="AA65" i="53"/>
  <c r="AB65" i="53"/>
  <c r="C66" i="53"/>
  <c r="D66" i="53"/>
  <c r="E66" i="53"/>
  <c r="F66" i="53"/>
  <c r="G66" i="53"/>
  <c r="H66" i="53"/>
  <c r="I66" i="53"/>
  <c r="J66" i="53"/>
  <c r="K66" i="53"/>
  <c r="L66" i="53"/>
  <c r="M66" i="53"/>
  <c r="N66" i="53"/>
  <c r="O66" i="53"/>
  <c r="P66" i="53"/>
  <c r="Q66" i="53"/>
  <c r="R66" i="53"/>
  <c r="S66" i="53"/>
  <c r="T66" i="53"/>
  <c r="U66" i="53"/>
  <c r="V66" i="53"/>
  <c r="C68" i="53"/>
  <c r="D68" i="53"/>
  <c r="E68" i="53"/>
  <c r="F68" i="53"/>
  <c r="G68" i="53"/>
  <c r="H68" i="53"/>
  <c r="I68" i="53"/>
  <c r="J68" i="53"/>
  <c r="K68" i="53"/>
  <c r="L68" i="53"/>
  <c r="M68" i="53"/>
  <c r="N68" i="53"/>
  <c r="O68" i="53"/>
  <c r="P68" i="53"/>
  <c r="Q68" i="53"/>
  <c r="R68" i="53"/>
  <c r="S68" i="53"/>
  <c r="T68" i="53"/>
  <c r="U68" i="53"/>
  <c r="V68" i="53"/>
  <c r="C69" i="53"/>
  <c r="D69" i="53"/>
  <c r="E69" i="53"/>
  <c r="F69" i="53"/>
  <c r="G69" i="53"/>
  <c r="H69" i="53"/>
  <c r="I69" i="53"/>
  <c r="J69" i="53"/>
  <c r="K69" i="53"/>
  <c r="L69" i="53"/>
  <c r="M69" i="53"/>
  <c r="N69" i="53"/>
  <c r="O69" i="53"/>
  <c r="P69" i="53"/>
  <c r="Q69" i="53"/>
  <c r="R69" i="53"/>
  <c r="S69" i="53"/>
  <c r="T69" i="53"/>
  <c r="U69" i="53"/>
  <c r="V69" i="53"/>
  <c r="W69" i="53"/>
  <c r="X69" i="53"/>
  <c r="Y69" i="53"/>
  <c r="AA69" i="53"/>
  <c r="AB69" i="53"/>
  <c r="C70" i="53"/>
  <c r="D70" i="53"/>
  <c r="E70" i="53"/>
  <c r="F70" i="53"/>
  <c r="G70" i="53"/>
  <c r="H70" i="53"/>
  <c r="I70" i="53"/>
  <c r="J70" i="53"/>
  <c r="K70" i="53"/>
  <c r="L70" i="53"/>
  <c r="M70" i="53"/>
  <c r="N70" i="53"/>
  <c r="O70" i="53"/>
  <c r="P70" i="53"/>
  <c r="Q70" i="53"/>
  <c r="R70" i="53"/>
  <c r="S70" i="53"/>
  <c r="T70" i="53"/>
  <c r="U70" i="53"/>
  <c r="V70" i="53"/>
  <c r="W4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X6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X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X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X10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C16" i="56"/>
  <c r="D16" i="56"/>
  <c r="E16" i="56"/>
  <c r="F16" i="56"/>
  <c r="G16" i="56"/>
  <c r="H16" i="56"/>
  <c r="I16" i="56"/>
  <c r="J16" i="56"/>
  <c r="K16" i="56"/>
  <c r="L16" i="56"/>
  <c r="M16" i="56"/>
  <c r="N16" i="56"/>
  <c r="O16" i="56"/>
  <c r="P16" i="56"/>
  <c r="Q16" i="56"/>
  <c r="R16" i="56"/>
  <c r="S16" i="56"/>
  <c r="T16" i="56"/>
  <c r="U16" i="56"/>
  <c r="V16" i="56"/>
  <c r="C17" i="56"/>
  <c r="D17" i="56"/>
  <c r="E17" i="56"/>
  <c r="F17" i="56"/>
  <c r="G17" i="56"/>
  <c r="H17" i="56"/>
  <c r="I17" i="56"/>
  <c r="J17" i="56"/>
  <c r="K17" i="56"/>
  <c r="L17" i="56"/>
  <c r="M17" i="56"/>
  <c r="N17" i="56"/>
  <c r="O17" i="56"/>
  <c r="P17" i="56"/>
  <c r="Q17" i="56"/>
  <c r="R17" i="56"/>
  <c r="S17" i="56"/>
  <c r="T17" i="56"/>
  <c r="U17" i="56"/>
  <c r="V17" i="56"/>
  <c r="W17" i="56"/>
  <c r="X17" i="56"/>
  <c r="Y17" i="56"/>
  <c r="AA17" i="56"/>
  <c r="AB17" i="56"/>
  <c r="C18" i="56"/>
  <c r="D18" i="56"/>
  <c r="E18" i="56"/>
  <c r="F18" i="56"/>
  <c r="G18" i="56"/>
  <c r="H18" i="56"/>
  <c r="I18" i="56"/>
  <c r="J18" i="56"/>
  <c r="K18" i="56"/>
  <c r="L18" i="56"/>
  <c r="M18" i="56"/>
  <c r="N18" i="56"/>
  <c r="O18" i="56"/>
  <c r="P18" i="56"/>
  <c r="Q18" i="56"/>
  <c r="R18" i="56"/>
  <c r="S18" i="56"/>
  <c r="T18" i="56"/>
  <c r="U18" i="56"/>
  <c r="V18" i="56"/>
  <c r="C20" i="56"/>
  <c r="D20" i="56"/>
  <c r="E20" i="56"/>
  <c r="F20" i="56"/>
  <c r="G20" i="56"/>
  <c r="H20" i="56"/>
  <c r="I20" i="56"/>
  <c r="J20" i="56"/>
  <c r="K20" i="56"/>
  <c r="L20" i="56"/>
  <c r="M20" i="56"/>
  <c r="N20" i="56"/>
  <c r="O20" i="56"/>
  <c r="P20" i="56"/>
  <c r="Q20" i="56"/>
  <c r="R20" i="56"/>
  <c r="S20" i="56"/>
  <c r="T20" i="56"/>
  <c r="U20" i="56"/>
  <c r="V20" i="56"/>
  <c r="C21" i="56"/>
  <c r="D21" i="56"/>
  <c r="E21" i="56"/>
  <c r="F21" i="56"/>
  <c r="G21" i="56"/>
  <c r="H21" i="56"/>
  <c r="I21" i="56"/>
  <c r="J21" i="56"/>
  <c r="K21" i="56"/>
  <c r="L21" i="56"/>
  <c r="M21" i="56"/>
  <c r="N21" i="56"/>
  <c r="O21" i="56"/>
  <c r="P21" i="56"/>
  <c r="Q21" i="56"/>
  <c r="R21" i="56"/>
  <c r="S21" i="56"/>
  <c r="T21" i="56"/>
  <c r="U21" i="56"/>
  <c r="V21" i="56"/>
  <c r="W21" i="56"/>
  <c r="X21" i="56"/>
  <c r="Y21" i="56"/>
  <c r="AA21" i="56"/>
  <c r="AB21" i="56"/>
  <c r="C22" i="56"/>
  <c r="D22" i="56"/>
  <c r="E22" i="56"/>
  <c r="F22" i="56"/>
  <c r="G22" i="56"/>
  <c r="H22" i="56"/>
  <c r="I22" i="56"/>
  <c r="J22" i="56"/>
  <c r="K22" i="56"/>
  <c r="L22" i="56"/>
  <c r="M22" i="56"/>
  <c r="N22" i="56"/>
  <c r="O22" i="56"/>
  <c r="P22" i="56"/>
  <c r="Q22" i="56"/>
  <c r="R22" i="56"/>
  <c r="S22" i="56"/>
  <c r="T22" i="56"/>
  <c r="U22" i="56"/>
  <c r="V22" i="56"/>
  <c r="C24" i="56"/>
  <c r="D24" i="56"/>
  <c r="E24" i="56"/>
  <c r="F24" i="56"/>
  <c r="G24" i="56"/>
  <c r="H24" i="56"/>
  <c r="I24" i="56"/>
  <c r="J24" i="56"/>
  <c r="K24" i="56"/>
  <c r="L24" i="56"/>
  <c r="M24" i="56"/>
  <c r="N24" i="56"/>
  <c r="O24" i="56"/>
  <c r="P24" i="56"/>
  <c r="Q24" i="56"/>
  <c r="R24" i="56"/>
  <c r="S24" i="56"/>
  <c r="T24" i="56"/>
  <c r="U24" i="56"/>
  <c r="V24" i="56"/>
  <c r="C25" i="56"/>
  <c r="D25" i="56"/>
  <c r="E25" i="56"/>
  <c r="F25" i="56"/>
  <c r="G25" i="56"/>
  <c r="H25" i="56"/>
  <c r="I25" i="56"/>
  <c r="J25" i="56"/>
  <c r="K25" i="56"/>
  <c r="L25" i="56"/>
  <c r="M25" i="56"/>
  <c r="N25" i="56"/>
  <c r="O25" i="56"/>
  <c r="P25" i="56"/>
  <c r="Q25" i="56"/>
  <c r="R25" i="56"/>
  <c r="S25" i="56"/>
  <c r="T25" i="56"/>
  <c r="U25" i="56"/>
  <c r="V25" i="56"/>
  <c r="W25" i="56"/>
  <c r="X25" i="56"/>
  <c r="Y25" i="56"/>
  <c r="AA25" i="56"/>
  <c r="AB25" i="56"/>
  <c r="C26" i="56"/>
  <c r="D26" i="56"/>
  <c r="E26" i="56"/>
  <c r="F26" i="56"/>
  <c r="G26" i="56"/>
  <c r="H26" i="56"/>
  <c r="I26" i="56"/>
  <c r="J26" i="56"/>
  <c r="K26" i="56"/>
  <c r="L26" i="56"/>
  <c r="M26" i="56"/>
  <c r="N26" i="56"/>
  <c r="O26" i="56"/>
  <c r="P26" i="56"/>
  <c r="Q26" i="56"/>
  <c r="R26" i="56"/>
  <c r="S26" i="56"/>
  <c r="T26" i="56"/>
  <c r="U26" i="56"/>
  <c r="V26" i="56"/>
  <c r="C28" i="56"/>
  <c r="D28" i="56"/>
  <c r="E28" i="56"/>
  <c r="F28" i="56"/>
  <c r="G28" i="56"/>
  <c r="H28" i="56"/>
  <c r="I28" i="56"/>
  <c r="J28" i="56"/>
  <c r="K28" i="56"/>
  <c r="L28" i="56"/>
  <c r="M28" i="56"/>
  <c r="N28" i="56"/>
  <c r="O28" i="56"/>
  <c r="P28" i="56"/>
  <c r="Q28" i="56"/>
  <c r="R28" i="56"/>
  <c r="S28" i="56"/>
  <c r="T28" i="56"/>
  <c r="U28" i="56"/>
  <c r="V28" i="56"/>
  <c r="C29" i="56"/>
  <c r="D29" i="56"/>
  <c r="E29" i="56"/>
  <c r="F29" i="56"/>
  <c r="G29" i="56"/>
  <c r="H29" i="56"/>
  <c r="I29" i="56"/>
  <c r="J29" i="56"/>
  <c r="K29" i="56"/>
  <c r="L29" i="56"/>
  <c r="M29" i="56"/>
  <c r="N29" i="56"/>
  <c r="O29" i="56"/>
  <c r="P29" i="56"/>
  <c r="Q29" i="56"/>
  <c r="R29" i="56"/>
  <c r="S29" i="56"/>
  <c r="T29" i="56"/>
  <c r="U29" i="56"/>
  <c r="V29" i="56"/>
  <c r="W29" i="56"/>
  <c r="X29" i="56"/>
  <c r="Y29" i="56"/>
  <c r="AA29" i="56"/>
  <c r="AB29" i="56"/>
  <c r="C30" i="56"/>
  <c r="D30" i="56"/>
  <c r="E30" i="56"/>
  <c r="F30" i="56"/>
  <c r="G30" i="56"/>
  <c r="H30" i="56"/>
  <c r="I30" i="56"/>
  <c r="J30" i="56"/>
  <c r="K30" i="56"/>
  <c r="L30" i="56"/>
  <c r="M30" i="56"/>
  <c r="N30" i="56"/>
  <c r="O30" i="56"/>
  <c r="P30" i="56"/>
  <c r="Q30" i="56"/>
  <c r="R30" i="56"/>
  <c r="S30" i="56"/>
  <c r="T30" i="56"/>
  <c r="U30" i="56"/>
  <c r="V30" i="56"/>
  <c r="C32" i="56"/>
  <c r="D32" i="56"/>
  <c r="E32" i="56"/>
  <c r="F32" i="56"/>
  <c r="G32" i="56"/>
  <c r="H32" i="56"/>
  <c r="I32" i="56"/>
  <c r="J32" i="56"/>
  <c r="K32" i="56"/>
  <c r="L32" i="56"/>
  <c r="M32" i="56"/>
  <c r="N32" i="56"/>
  <c r="O32" i="56"/>
  <c r="P32" i="56"/>
  <c r="Q32" i="56"/>
  <c r="R32" i="56"/>
  <c r="S32" i="56"/>
  <c r="T32" i="56"/>
  <c r="U32" i="56"/>
  <c r="V32" i="56"/>
  <c r="C33" i="56"/>
  <c r="D33" i="56"/>
  <c r="E33" i="56"/>
  <c r="F33" i="56"/>
  <c r="G33" i="56"/>
  <c r="H33" i="56"/>
  <c r="I33" i="56"/>
  <c r="J33" i="56"/>
  <c r="K33" i="56"/>
  <c r="L33" i="56"/>
  <c r="M33" i="56"/>
  <c r="N33" i="56"/>
  <c r="O33" i="56"/>
  <c r="P33" i="56"/>
  <c r="Q33" i="56"/>
  <c r="R33" i="56"/>
  <c r="S33" i="56"/>
  <c r="T33" i="56"/>
  <c r="U33" i="56"/>
  <c r="V33" i="56"/>
  <c r="W33" i="56"/>
  <c r="X33" i="56"/>
  <c r="Y33" i="56"/>
  <c r="AA33" i="56"/>
  <c r="AB33" i="56"/>
  <c r="C34" i="56"/>
  <c r="D34" i="56"/>
  <c r="E34" i="56"/>
  <c r="F34" i="56"/>
  <c r="G34" i="56"/>
  <c r="H34" i="56"/>
  <c r="I34" i="56"/>
  <c r="J34" i="56"/>
  <c r="K34" i="56"/>
  <c r="L34" i="56"/>
  <c r="M34" i="56"/>
  <c r="N34" i="56"/>
  <c r="O34" i="56"/>
  <c r="P34" i="56"/>
  <c r="Q34" i="56"/>
  <c r="R34" i="56"/>
  <c r="S34" i="56"/>
  <c r="T34" i="56"/>
  <c r="U34" i="56"/>
  <c r="V34" i="56"/>
  <c r="C36" i="56"/>
  <c r="D36" i="56"/>
  <c r="E36" i="56"/>
  <c r="F36" i="56"/>
  <c r="G36" i="56"/>
  <c r="H36" i="56"/>
  <c r="I36" i="56"/>
  <c r="J36" i="56"/>
  <c r="K36" i="56"/>
  <c r="L36" i="56"/>
  <c r="M36" i="56"/>
  <c r="N36" i="56"/>
  <c r="O36" i="56"/>
  <c r="P36" i="56"/>
  <c r="Q36" i="56"/>
  <c r="R36" i="56"/>
  <c r="S36" i="56"/>
  <c r="T36" i="56"/>
  <c r="U36" i="56"/>
  <c r="V36" i="56"/>
  <c r="C37" i="56"/>
  <c r="D37" i="56"/>
  <c r="E37" i="56"/>
  <c r="F37" i="56"/>
  <c r="G37" i="56"/>
  <c r="H37" i="56"/>
  <c r="I37" i="56"/>
  <c r="J37" i="56"/>
  <c r="K37" i="56"/>
  <c r="L37" i="56"/>
  <c r="M37" i="56"/>
  <c r="N37" i="56"/>
  <c r="O37" i="56"/>
  <c r="P37" i="56"/>
  <c r="Q37" i="56"/>
  <c r="R37" i="56"/>
  <c r="S37" i="56"/>
  <c r="T37" i="56"/>
  <c r="U37" i="56"/>
  <c r="V37" i="56"/>
  <c r="W37" i="56"/>
  <c r="X37" i="56"/>
  <c r="Y37" i="56"/>
  <c r="AA37" i="56"/>
  <c r="AB37" i="56"/>
  <c r="C38" i="56"/>
  <c r="D38" i="56"/>
  <c r="E38" i="56"/>
  <c r="F38" i="56"/>
  <c r="G38" i="56"/>
  <c r="H38" i="56"/>
  <c r="I38" i="56"/>
  <c r="J38" i="56"/>
  <c r="K38" i="56"/>
  <c r="L38" i="56"/>
  <c r="M38" i="56"/>
  <c r="N38" i="56"/>
  <c r="O38" i="56"/>
  <c r="P38" i="56"/>
  <c r="Q38" i="56"/>
  <c r="R38" i="56"/>
  <c r="S38" i="56"/>
  <c r="T38" i="56"/>
  <c r="U38" i="56"/>
  <c r="V38" i="56"/>
  <c r="C40" i="56"/>
  <c r="D40" i="56"/>
  <c r="E40" i="56"/>
  <c r="F40" i="56"/>
  <c r="G40" i="56"/>
  <c r="H40" i="56"/>
  <c r="I40" i="56"/>
  <c r="J40" i="56"/>
  <c r="K40" i="56"/>
  <c r="L40" i="56"/>
  <c r="M40" i="56"/>
  <c r="N40" i="56"/>
  <c r="O40" i="56"/>
  <c r="P40" i="56"/>
  <c r="Q40" i="56"/>
  <c r="R40" i="56"/>
  <c r="S40" i="56"/>
  <c r="T40" i="56"/>
  <c r="U40" i="56"/>
  <c r="V40" i="56"/>
  <c r="C41" i="56"/>
  <c r="D41" i="56"/>
  <c r="E41" i="56"/>
  <c r="F41" i="56"/>
  <c r="G41" i="56"/>
  <c r="H41" i="56"/>
  <c r="I41" i="56"/>
  <c r="J41" i="56"/>
  <c r="K41" i="56"/>
  <c r="L41" i="56"/>
  <c r="M41" i="56"/>
  <c r="N41" i="56"/>
  <c r="O41" i="56"/>
  <c r="P41" i="56"/>
  <c r="Q41" i="56"/>
  <c r="R41" i="56"/>
  <c r="S41" i="56"/>
  <c r="T41" i="56"/>
  <c r="U41" i="56"/>
  <c r="V41" i="56"/>
  <c r="W41" i="56"/>
  <c r="X41" i="56"/>
  <c r="Y41" i="56"/>
  <c r="AA41" i="56"/>
  <c r="AB41" i="56"/>
  <c r="C42" i="56"/>
  <c r="D42" i="56"/>
  <c r="E42" i="56"/>
  <c r="F42" i="56"/>
  <c r="G42" i="56"/>
  <c r="H42" i="56"/>
  <c r="I42" i="56"/>
  <c r="J42" i="56"/>
  <c r="K42" i="56"/>
  <c r="L42" i="56"/>
  <c r="M42" i="56"/>
  <c r="N42" i="56"/>
  <c r="O42" i="56"/>
  <c r="P42" i="56"/>
  <c r="Q42" i="56"/>
  <c r="R42" i="56"/>
  <c r="S42" i="56"/>
  <c r="T42" i="56"/>
  <c r="U42" i="56"/>
  <c r="V42" i="56"/>
  <c r="C44" i="56"/>
  <c r="D44" i="56"/>
  <c r="E44" i="56"/>
  <c r="F44" i="56"/>
  <c r="G44" i="56"/>
  <c r="H44" i="56"/>
  <c r="I44" i="56"/>
  <c r="J44" i="56"/>
  <c r="K44" i="56"/>
  <c r="L44" i="56"/>
  <c r="M44" i="56"/>
  <c r="N44" i="56"/>
  <c r="O44" i="56"/>
  <c r="P44" i="56"/>
  <c r="Q44" i="56"/>
  <c r="R44" i="56"/>
  <c r="S44" i="56"/>
  <c r="T44" i="56"/>
  <c r="U44" i="56"/>
  <c r="V44" i="56"/>
  <c r="C45" i="56"/>
  <c r="D45" i="56"/>
  <c r="E45" i="56"/>
  <c r="F45" i="56"/>
  <c r="G45" i="56"/>
  <c r="H45" i="56"/>
  <c r="I45" i="56"/>
  <c r="J45" i="56"/>
  <c r="K45" i="56"/>
  <c r="L45" i="56"/>
  <c r="M45" i="56"/>
  <c r="N45" i="56"/>
  <c r="O45" i="56"/>
  <c r="P45" i="56"/>
  <c r="Q45" i="56"/>
  <c r="R45" i="56"/>
  <c r="S45" i="56"/>
  <c r="T45" i="56"/>
  <c r="U45" i="56"/>
  <c r="V45" i="56"/>
  <c r="W45" i="56"/>
  <c r="X45" i="56"/>
  <c r="Y45" i="56"/>
  <c r="AA45" i="56"/>
  <c r="AB45" i="56"/>
  <c r="C46" i="56"/>
  <c r="D46" i="56"/>
  <c r="E46" i="56"/>
  <c r="F46" i="56"/>
  <c r="G46" i="56"/>
  <c r="H46" i="56"/>
  <c r="I46" i="56"/>
  <c r="J46" i="56"/>
  <c r="K46" i="56"/>
  <c r="L46" i="56"/>
  <c r="M46" i="56"/>
  <c r="N46" i="56"/>
  <c r="O46" i="56"/>
  <c r="P46" i="56"/>
  <c r="Q46" i="56"/>
  <c r="R46" i="56"/>
  <c r="S46" i="56"/>
  <c r="T46" i="56"/>
  <c r="U46" i="56"/>
  <c r="V46" i="56"/>
  <c r="C48" i="56"/>
  <c r="D48" i="56"/>
  <c r="E48" i="56"/>
  <c r="F48" i="56"/>
  <c r="G48" i="56"/>
  <c r="H48" i="56"/>
  <c r="I48" i="56"/>
  <c r="J48" i="56"/>
  <c r="K48" i="56"/>
  <c r="L48" i="56"/>
  <c r="M48" i="56"/>
  <c r="N48" i="56"/>
  <c r="O48" i="56"/>
  <c r="P48" i="56"/>
  <c r="Q48" i="56"/>
  <c r="R48" i="56"/>
  <c r="S48" i="56"/>
  <c r="T48" i="56"/>
  <c r="U48" i="56"/>
  <c r="V48" i="56"/>
  <c r="C49" i="56"/>
  <c r="D49" i="56"/>
  <c r="E49" i="56"/>
  <c r="F49" i="56"/>
  <c r="G49" i="56"/>
  <c r="H49" i="56"/>
  <c r="I49" i="56"/>
  <c r="J49" i="56"/>
  <c r="K49" i="56"/>
  <c r="L49" i="56"/>
  <c r="M49" i="56"/>
  <c r="N49" i="56"/>
  <c r="O49" i="56"/>
  <c r="P49" i="56"/>
  <c r="Q49" i="56"/>
  <c r="R49" i="56"/>
  <c r="S49" i="56"/>
  <c r="T49" i="56"/>
  <c r="U49" i="56"/>
  <c r="V49" i="56"/>
  <c r="W49" i="56"/>
  <c r="X49" i="56"/>
  <c r="Y49" i="56"/>
  <c r="AA49" i="56"/>
  <c r="AB49" i="56"/>
  <c r="C50" i="56"/>
  <c r="D50" i="56"/>
  <c r="E50" i="56"/>
  <c r="F50" i="56"/>
  <c r="G50" i="56"/>
  <c r="H50" i="56"/>
  <c r="I50" i="56"/>
  <c r="J50" i="56"/>
  <c r="K50" i="56"/>
  <c r="L50" i="56"/>
  <c r="M50" i="56"/>
  <c r="N50" i="56"/>
  <c r="O50" i="56"/>
  <c r="P50" i="56"/>
  <c r="Q50" i="56"/>
  <c r="R50" i="56"/>
  <c r="S50" i="56"/>
  <c r="T50" i="56"/>
  <c r="U50" i="56"/>
  <c r="V50" i="56"/>
  <c r="C52" i="56"/>
  <c r="D52" i="56"/>
  <c r="E52" i="56"/>
  <c r="F52" i="56"/>
  <c r="G52" i="56"/>
  <c r="H52" i="56"/>
  <c r="I52" i="56"/>
  <c r="J52" i="56"/>
  <c r="K52" i="56"/>
  <c r="L52" i="56"/>
  <c r="M52" i="56"/>
  <c r="N52" i="56"/>
  <c r="O52" i="56"/>
  <c r="P52" i="56"/>
  <c r="Q52" i="56"/>
  <c r="R52" i="56"/>
  <c r="S52" i="56"/>
  <c r="T52" i="56"/>
  <c r="U52" i="56"/>
  <c r="V52" i="56"/>
  <c r="C53" i="56"/>
  <c r="D53" i="56"/>
  <c r="E53" i="56"/>
  <c r="F53" i="56"/>
  <c r="G53" i="56"/>
  <c r="H53" i="56"/>
  <c r="I53" i="56"/>
  <c r="J53" i="56"/>
  <c r="K53" i="56"/>
  <c r="L53" i="56"/>
  <c r="M53" i="56"/>
  <c r="N53" i="56"/>
  <c r="O53" i="56"/>
  <c r="P53" i="56"/>
  <c r="Q53" i="56"/>
  <c r="R53" i="56"/>
  <c r="S53" i="56"/>
  <c r="T53" i="56"/>
  <c r="U53" i="56"/>
  <c r="V53" i="56"/>
  <c r="W53" i="56"/>
  <c r="X53" i="56"/>
  <c r="Y53" i="56"/>
  <c r="AA53" i="56"/>
  <c r="AB53" i="56"/>
  <c r="C54" i="56"/>
  <c r="D54" i="56"/>
  <c r="E54" i="56"/>
  <c r="F54" i="56"/>
  <c r="G54" i="56"/>
  <c r="H54" i="56"/>
  <c r="I54" i="56"/>
  <c r="J54" i="56"/>
  <c r="K54" i="56"/>
  <c r="L54" i="56"/>
  <c r="M54" i="56"/>
  <c r="N54" i="56"/>
  <c r="O54" i="56"/>
  <c r="P54" i="56"/>
  <c r="Q54" i="56"/>
  <c r="R54" i="56"/>
  <c r="S54" i="56"/>
  <c r="T54" i="56"/>
  <c r="U54" i="56"/>
  <c r="V54" i="56"/>
  <c r="C56" i="56"/>
  <c r="D56" i="56"/>
  <c r="E56" i="56"/>
  <c r="F56" i="56"/>
  <c r="G56" i="56"/>
  <c r="H56" i="56"/>
  <c r="I56" i="56"/>
  <c r="J56" i="56"/>
  <c r="K56" i="56"/>
  <c r="L56" i="56"/>
  <c r="M56" i="56"/>
  <c r="N56" i="56"/>
  <c r="O56" i="56"/>
  <c r="P56" i="56"/>
  <c r="Q56" i="56"/>
  <c r="R56" i="56"/>
  <c r="S56" i="56"/>
  <c r="T56" i="56"/>
  <c r="U56" i="56"/>
  <c r="V56" i="56"/>
  <c r="C57" i="56"/>
  <c r="D57" i="56"/>
  <c r="E57" i="56"/>
  <c r="F57" i="56"/>
  <c r="G57" i="56"/>
  <c r="H57" i="56"/>
  <c r="I57" i="56"/>
  <c r="J57" i="56"/>
  <c r="K57" i="56"/>
  <c r="L57" i="56"/>
  <c r="M57" i="56"/>
  <c r="N57" i="56"/>
  <c r="O57" i="56"/>
  <c r="P57" i="56"/>
  <c r="Q57" i="56"/>
  <c r="R57" i="56"/>
  <c r="S57" i="56"/>
  <c r="T57" i="56"/>
  <c r="U57" i="56"/>
  <c r="V57" i="56"/>
  <c r="W57" i="56"/>
  <c r="X57" i="56"/>
  <c r="Y57" i="56"/>
  <c r="AA57" i="56"/>
  <c r="AB57" i="56"/>
  <c r="C58" i="56"/>
  <c r="D58" i="56"/>
  <c r="E58" i="56"/>
  <c r="F58" i="56"/>
  <c r="G58" i="56"/>
  <c r="H58" i="56"/>
  <c r="I58" i="56"/>
  <c r="J58" i="56"/>
  <c r="K58" i="56"/>
  <c r="L58" i="56"/>
  <c r="M58" i="56"/>
  <c r="N58" i="56"/>
  <c r="O58" i="56"/>
  <c r="P58" i="56"/>
  <c r="Q58" i="56"/>
  <c r="R58" i="56"/>
  <c r="S58" i="56"/>
  <c r="T58" i="56"/>
  <c r="U58" i="56"/>
  <c r="V58" i="56"/>
  <c r="C60" i="56"/>
  <c r="D60" i="56"/>
  <c r="E60" i="56"/>
  <c r="F60" i="56"/>
  <c r="G60" i="56"/>
  <c r="H60" i="56"/>
  <c r="I60" i="56"/>
  <c r="J60" i="56"/>
  <c r="K60" i="56"/>
  <c r="L60" i="56"/>
  <c r="M60" i="56"/>
  <c r="N60" i="56"/>
  <c r="O60" i="56"/>
  <c r="P60" i="56"/>
  <c r="Q60" i="56"/>
  <c r="R60" i="56"/>
  <c r="S60" i="56"/>
  <c r="T60" i="56"/>
  <c r="U60" i="56"/>
  <c r="V60" i="56"/>
  <c r="C61" i="56"/>
  <c r="D61" i="56"/>
  <c r="E61" i="56"/>
  <c r="F61" i="56"/>
  <c r="G61" i="56"/>
  <c r="H61" i="56"/>
  <c r="I61" i="56"/>
  <c r="J61" i="56"/>
  <c r="K61" i="56"/>
  <c r="L61" i="56"/>
  <c r="M61" i="56"/>
  <c r="N61" i="56"/>
  <c r="O61" i="56"/>
  <c r="P61" i="56"/>
  <c r="Q61" i="56"/>
  <c r="R61" i="56"/>
  <c r="S61" i="56"/>
  <c r="T61" i="56"/>
  <c r="U61" i="56"/>
  <c r="V61" i="56"/>
  <c r="W61" i="56"/>
  <c r="X61" i="56"/>
  <c r="Y61" i="56"/>
  <c r="AA61" i="56"/>
  <c r="AB61" i="56"/>
  <c r="C62" i="56"/>
  <c r="D62" i="56"/>
  <c r="E62" i="56"/>
  <c r="F62" i="56"/>
  <c r="G62" i="56"/>
  <c r="H62" i="56"/>
  <c r="I62" i="56"/>
  <c r="J62" i="56"/>
  <c r="K62" i="56"/>
  <c r="L62" i="56"/>
  <c r="M62" i="56"/>
  <c r="N62" i="56"/>
  <c r="O62" i="56"/>
  <c r="P62" i="56"/>
  <c r="Q62" i="56"/>
  <c r="R62" i="56"/>
  <c r="S62" i="56"/>
  <c r="T62" i="56"/>
  <c r="U62" i="56"/>
  <c r="V62" i="56"/>
  <c r="C64" i="56"/>
  <c r="D64" i="56"/>
  <c r="E64" i="56"/>
  <c r="F64" i="56"/>
  <c r="G64" i="56"/>
  <c r="H64" i="56"/>
  <c r="I64" i="56"/>
  <c r="J64" i="56"/>
  <c r="K64" i="56"/>
  <c r="L64" i="56"/>
  <c r="M64" i="56"/>
  <c r="N64" i="56"/>
  <c r="O64" i="56"/>
  <c r="P64" i="56"/>
  <c r="Q64" i="56"/>
  <c r="R64" i="56"/>
  <c r="S64" i="56"/>
  <c r="T64" i="56"/>
  <c r="U64" i="56"/>
  <c r="V64" i="56"/>
  <c r="C65" i="56"/>
  <c r="D65" i="56"/>
  <c r="E65" i="56"/>
  <c r="F65" i="56"/>
  <c r="G65" i="56"/>
  <c r="H65" i="56"/>
  <c r="I65" i="56"/>
  <c r="J65" i="56"/>
  <c r="K65" i="56"/>
  <c r="L65" i="56"/>
  <c r="M65" i="56"/>
  <c r="N65" i="56"/>
  <c r="O65" i="56"/>
  <c r="P65" i="56"/>
  <c r="Q65" i="56"/>
  <c r="R65" i="56"/>
  <c r="S65" i="56"/>
  <c r="T65" i="56"/>
  <c r="U65" i="56"/>
  <c r="V65" i="56"/>
  <c r="W65" i="56"/>
  <c r="X65" i="56"/>
  <c r="Y65" i="56"/>
  <c r="AA65" i="56"/>
  <c r="AB65" i="56"/>
  <c r="C66" i="56"/>
  <c r="D66" i="56"/>
  <c r="E66" i="56"/>
  <c r="F66" i="56"/>
  <c r="G66" i="56"/>
  <c r="H66" i="56"/>
  <c r="I66" i="56"/>
  <c r="J66" i="56"/>
  <c r="K66" i="56"/>
  <c r="L66" i="56"/>
  <c r="M66" i="56"/>
  <c r="N66" i="56"/>
  <c r="O66" i="56"/>
  <c r="P66" i="56"/>
  <c r="Q66" i="56"/>
  <c r="R66" i="56"/>
  <c r="S66" i="56"/>
  <c r="T66" i="56"/>
  <c r="U66" i="56"/>
  <c r="V66" i="56"/>
  <c r="C68" i="56"/>
  <c r="D68" i="56"/>
  <c r="E68" i="56"/>
  <c r="F68" i="56"/>
  <c r="G68" i="56"/>
  <c r="H68" i="56"/>
  <c r="I68" i="56"/>
  <c r="J68" i="56"/>
  <c r="K68" i="56"/>
  <c r="L68" i="56"/>
  <c r="M68" i="56"/>
  <c r="N68" i="56"/>
  <c r="O68" i="56"/>
  <c r="P68" i="56"/>
  <c r="Q68" i="56"/>
  <c r="R68" i="56"/>
  <c r="S68" i="56"/>
  <c r="T68" i="56"/>
  <c r="U68" i="56"/>
  <c r="V68" i="56"/>
  <c r="C69" i="56"/>
  <c r="D69" i="56"/>
  <c r="E69" i="56"/>
  <c r="F69" i="56"/>
  <c r="G69" i="56"/>
  <c r="H69" i="56"/>
  <c r="I69" i="56"/>
  <c r="J69" i="56"/>
  <c r="K69" i="56"/>
  <c r="L69" i="56"/>
  <c r="M69" i="56"/>
  <c r="N69" i="56"/>
  <c r="O69" i="56"/>
  <c r="P69" i="56"/>
  <c r="Q69" i="56"/>
  <c r="R69" i="56"/>
  <c r="S69" i="56"/>
  <c r="T69" i="56"/>
  <c r="U69" i="56"/>
  <c r="V69" i="56"/>
  <c r="W69" i="56"/>
  <c r="X69" i="56"/>
  <c r="Y69" i="56"/>
  <c r="AA69" i="56"/>
  <c r="AB69" i="56"/>
  <c r="C70" i="56"/>
  <c r="D70" i="56"/>
  <c r="E70" i="56"/>
  <c r="F70" i="56"/>
  <c r="G70" i="56"/>
  <c r="H70" i="56"/>
  <c r="I70" i="56"/>
  <c r="J70" i="56"/>
  <c r="K70" i="56"/>
  <c r="L70" i="56"/>
  <c r="M70" i="56"/>
  <c r="N70" i="56"/>
  <c r="O70" i="56"/>
  <c r="P70" i="56"/>
  <c r="Q70" i="56"/>
  <c r="R70" i="56"/>
  <c r="S70" i="56"/>
  <c r="T70" i="56"/>
  <c r="U70" i="56"/>
  <c r="V70" i="56"/>
  <c r="C72" i="56"/>
  <c r="D72" i="56"/>
  <c r="E72" i="56"/>
  <c r="F72" i="56"/>
  <c r="G72" i="56"/>
  <c r="H72" i="56"/>
  <c r="I72" i="56"/>
  <c r="J72" i="56"/>
  <c r="K72" i="56"/>
  <c r="L72" i="56"/>
  <c r="M72" i="56"/>
  <c r="N72" i="56"/>
  <c r="O72" i="56"/>
  <c r="P72" i="56"/>
  <c r="Q72" i="56"/>
  <c r="R72" i="56"/>
  <c r="S72" i="56"/>
  <c r="T72" i="56"/>
  <c r="U72" i="56"/>
  <c r="V72" i="56"/>
  <c r="C73" i="56"/>
  <c r="D73" i="56"/>
  <c r="E73" i="56"/>
  <c r="F73" i="56"/>
  <c r="G73" i="56"/>
  <c r="H73" i="56"/>
  <c r="I73" i="56"/>
  <c r="J73" i="56"/>
  <c r="K73" i="56"/>
  <c r="L73" i="56"/>
  <c r="M73" i="56"/>
  <c r="N73" i="56"/>
  <c r="O73" i="56"/>
  <c r="P73" i="56"/>
  <c r="Q73" i="56"/>
  <c r="R73" i="56"/>
  <c r="S73" i="56"/>
  <c r="T73" i="56"/>
  <c r="U73" i="56"/>
  <c r="V73" i="56"/>
  <c r="W73" i="56"/>
  <c r="X73" i="56"/>
  <c r="Y73" i="56"/>
  <c r="AA73" i="56"/>
  <c r="AB73" i="56"/>
  <c r="C74" i="56"/>
  <c r="D74" i="56"/>
  <c r="E74" i="56"/>
  <c r="F74" i="56"/>
  <c r="G74" i="56"/>
  <c r="H74" i="56"/>
  <c r="I74" i="56"/>
  <c r="J74" i="56"/>
  <c r="K74" i="56"/>
  <c r="L74" i="56"/>
  <c r="M74" i="56"/>
  <c r="N74" i="56"/>
  <c r="O74" i="56"/>
  <c r="P74" i="56"/>
  <c r="Q74" i="56"/>
  <c r="R74" i="56"/>
  <c r="S74" i="56"/>
  <c r="T74" i="56"/>
  <c r="U74" i="56"/>
  <c r="V74" i="56"/>
  <c r="C76" i="56"/>
  <c r="D76" i="56"/>
  <c r="E76" i="56"/>
  <c r="F76" i="56"/>
  <c r="G76" i="56"/>
  <c r="H76" i="56"/>
  <c r="I76" i="56"/>
  <c r="J76" i="56"/>
  <c r="K76" i="56"/>
  <c r="L76" i="56"/>
  <c r="M76" i="56"/>
  <c r="N76" i="56"/>
  <c r="O76" i="56"/>
  <c r="P76" i="56"/>
  <c r="Q76" i="56"/>
  <c r="R76" i="56"/>
  <c r="S76" i="56"/>
  <c r="T76" i="56"/>
  <c r="U76" i="56"/>
  <c r="V76" i="56"/>
  <c r="C77" i="56"/>
  <c r="D77" i="56"/>
  <c r="E77" i="56"/>
  <c r="F77" i="56"/>
  <c r="G77" i="56"/>
  <c r="H77" i="56"/>
  <c r="I77" i="56"/>
  <c r="J77" i="56"/>
  <c r="K77" i="56"/>
  <c r="L77" i="56"/>
  <c r="M77" i="56"/>
  <c r="N77" i="56"/>
  <c r="O77" i="56"/>
  <c r="P77" i="56"/>
  <c r="Q77" i="56"/>
  <c r="R77" i="56"/>
  <c r="S77" i="56"/>
  <c r="T77" i="56"/>
  <c r="U77" i="56"/>
  <c r="V77" i="56"/>
  <c r="W77" i="56"/>
  <c r="X77" i="56"/>
  <c r="Y77" i="56"/>
  <c r="AA77" i="56"/>
  <c r="AB77" i="56"/>
  <c r="C78" i="56"/>
  <c r="D78" i="56"/>
  <c r="E78" i="56"/>
  <c r="F78" i="56"/>
  <c r="G78" i="56"/>
  <c r="H78" i="56"/>
  <c r="I78" i="56"/>
  <c r="J78" i="56"/>
  <c r="K78" i="56"/>
  <c r="L78" i="56"/>
  <c r="M78" i="56"/>
  <c r="N78" i="56"/>
  <c r="O78" i="56"/>
  <c r="P78" i="56"/>
  <c r="Q78" i="56"/>
  <c r="R78" i="56"/>
  <c r="S78" i="56"/>
  <c r="T78" i="56"/>
  <c r="U78" i="56"/>
  <c r="V78" i="56"/>
  <c r="C80" i="56"/>
  <c r="D80" i="56"/>
  <c r="E80" i="56"/>
  <c r="F80" i="56"/>
  <c r="G80" i="56"/>
  <c r="H80" i="56"/>
  <c r="I80" i="56"/>
  <c r="J80" i="56"/>
  <c r="K80" i="56"/>
  <c r="L80" i="56"/>
  <c r="M80" i="56"/>
  <c r="N80" i="56"/>
  <c r="O80" i="56"/>
  <c r="P80" i="56"/>
  <c r="Q80" i="56"/>
  <c r="R80" i="56"/>
  <c r="S80" i="56"/>
  <c r="T80" i="56"/>
  <c r="U80" i="56"/>
  <c r="V80" i="56"/>
  <c r="C81" i="56"/>
  <c r="D81" i="56"/>
  <c r="E81" i="56"/>
  <c r="F81" i="56"/>
  <c r="G81" i="56"/>
  <c r="H81" i="56"/>
  <c r="I81" i="56"/>
  <c r="J81" i="56"/>
  <c r="K81" i="56"/>
  <c r="L81" i="56"/>
  <c r="M81" i="56"/>
  <c r="N81" i="56"/>
  <c r="O81" i="56"/>
  <c r="P81" i="56"/>
  <c r="Q81" i="56"/>
  <c r="R81" i="56"/>
  <c r="S81" i="56"/>
  <c r="T81" i="56"/>
  <c r="U81" i="56"/>
  <c r="V81" i="56"/>
  <c r="W81" i="56"/>
  <c r="X81" i="56"/>
  <c r="Y81" i="56"/>
  <c r="AA81" i="56"/>
  <c r="AB81" i="56"/>
  <c r="C82" i="56"/>
  <c r="D82" i="56"/>
  <c r="E82" i="56"/>
  <c r="F82" i="56"/>
  <c r="G82" i="56"/>
  <c r="H82" i="56"/>
  <c r="I82" i="56"/>
  <c r="J82" i="56"/>
  <c r="K82" i="56"/>
  <c r="L82" i="56"/>
  <c r="M82" i="56"/>
  <c r="N82" i="56"/>
  <c r="O82" i="56"/>
  <c r="P82" i="56"/>
  <c r="Q82" i="56"/>
  <c r="R82" i="56"/>
  <c r="S82" i="56"/>
  <c r="T82" i="56"/>
  <c r="U82" i="56"/>
  <c r="V82" i="56"/>
  <c r="C84" i="56"/>
  <c r="D84" i="56"/>
  <c r="E84" i="56"/>
  <c r="F84" i="56"/>
  <c r="G84" i="56"/>
  <c r="H84" i="56"/>
  <c r="I84" i="56"/>
  <c r="J84" i="56"/>
  <c r="K84" i="56"/>
  <c r="L84" i="56"/>
  <c r="M84" i="56"/>
  <c r="N84" i="56"/>
  <c r="O84" i="56"/>
  <c r="P84" i="56"/>
  <c r="Q84" i="56"/>
  <c r="R84" i="56"/>
  <c r="S84" i="56"/>
  <c r="T84" i="56"/>
  <c r="U84" i="56"/>
  <c r="V84" i="56"/>
  <c r="C85" i="56"/>
  <c r="D85" i="56"/>
  <c r="E85" i="56"/>
  <c r="F85" i="56"/>
  <c r="G85" i="56"/>
  <c r="H85" i="56"/>
  <c r="I85" i="56"/>
  <c r="J85" i="56"/>
  <c r="K85" i="56"/>
  <c r="L85" i="56"/>
  <c r="M85" i="56"/>
  <c r="N85" i="56"/>
  <c r="O85" i="56"/>
  <c r="P85" i="56"/>
  <c r="Q85" i="56"/>
  <c r="R85" i="56"/>
  <c r="S85" i="56"/>
  <c r="T85" i="56"/>
  <c r="U85" i="56"/>
  <c r="V85" i="56"/>
  <c r="W85" i="56"/>
  <c r="X85" i="56"/>
  <c r="Y85" i="56"/>
  <c r="AA85" i="56"/>
  <c r="AB85" i="56"/>
  <c r="C86" i="56"/>
  <c r="D86" i="56"/>
  <c r="E86" i="56"/>
  <c r="F86" i="56"/>
  <c r="G86" i="56"/>
  <c r="H86" i="56"/>
  <c r="I86" i="56"/>
  <c r="J86" i="56"/>
  <c r="K86" i="56"/>
  <c r="L86" i="56"/>
  <c r="M86" i="56"/>
  <c r="N86" i="56"/>
  <c r="O86" i="56"/>
  <c r="P86" i="56"/>
  <c r="Q86" i="56"/>
  <c r="R86" i="56"/>
  <c r="S86" i="56"/>
  <c r="T86" i="56"/>
  <c r="U86" i="56"/>
  <c r="V86" i="56"/>
  <c r="C88" i="56"/>
  <c r="D88" i="56"/>
  <c r="E88" i="56"/>
  <c r="F88" i="56"/>
  <c r="G88" i="56"/>
  <c r="H88" i="56"/>
  <c r="I88" i="56"/>
  <c r="J88" i="56"/>
  <c r="K88" i="56"/>
  <c r="L88" i="56"/>
  <c r="M88" i="56"/>
  <c r="N88" i="56"/>
  <c r="O88" i="56"/>
  <c r="P88" i="56"/>
  <c r="Q88" i="56"/>
  <c r="R88" i="56"/>
  <c r="S88" i="56"/>
  <c r="T88" i="56"/>
  <c r="U88" i="56"/>
  <c r="V88" i="56"/>
  <c r="C89" i="56"/>
  <c r="D89" i="56"/>
  <c r="E89" i="56"/>
  <c r="F89" i="56"/>
  <c r="G89" i="56"/>
  <c r="H89" i="56"/>
  <c r="I89" i="56"/>
  <c r="J89" i="56"/>
  <c r="K89" i="56"/>
  <c r="L89" i="56"/>
  <c r="M89" i="56"/>
  <c r="N89" i="56"/>
  <c r="O89" i="56"/>
  <c r="P89" i="56"/>
  <c r="Q89" i="56"/>
  <c r="R89" i="56"/>
  <c r="S89" i="56"/>
  <c r="T89" i="56"/>
  <c r="U89" i="56"/>
  <c r="V89" i="56"/>
  <c r="W89" i="56"/>
  <c r="X89" i="56"/>
  <c r="Y89" i="56"/>
  <c r="AA89" i="56"/>
  <c r="AB89" i="56"/>
  <c r="C90" i="56"/>
  <c r="D90" i="56"/>
  <c r="E90" i="56"/>
  <c r="F90" i="56"/>
  <c r="G90" i="56"/>
  <c r="H90" i="56"/>
  <c r="I90" i="56"/>
  <c r="J90" i="56"/>
  <c r="K90" i="56"/>
  <c r="L90" i="56"/>
  <c r="M90" i="56"/>
  <c r="N90" i="56"/>
  <c r="O90" i="56"/>
  <c r="P90" i="56"/>
  <c r="Q90" i="56"/>
  <c r="R90" i="56"/>
  <c r="S90" i="56"/>
  <c r="T90" i="56"/>
  <c r="U90" i="56"/>
  <c r="V90" i="56"/>
  <c r="C92" i="56"/>
  <c r="D92" i="56"/>
  <c r="E92" i="56"/>
  <c r="F92" i="56"/>
  <c r="G92" i="56"/>
  <c r="H92" i="56"/>
  <c r="I92" i="56"/>
  <c r="J92" i="56"/>
  <c r="K92" i="56"/>
  <c r="L92" i="56"/>
  <c r="M92" i="56"/>
  <c r="N92" i="56"/>
  <c r="O92" i="56"/>
  <c r="P92" i="56"/>
  <c r="Q92" i="56"/>
  <c r="R92" i="56"/>
  <c r="S92" i="56"/>
  <c r="T92" i="56"/>
  <c r="U92" i="56"/>
  <c r="V92" i="56"/>
  <c r="W4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X6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X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X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X10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AA17" i="66"/>
  <c r="AB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C20" i="66"/>
  <c r="D20" i="66"/>
  <c r="E20" i="66"/>
  <c r="F20" i="66"/>
  <c r="G20" i="66"/>
  <c r="H20" i="66"/>
  <c r="I20" i="66"/>
  <c r="J20" i="66"/>
  <c r="K20" i="66"/>
  <c r="L20" i="66"/>
  <c r="M20" i="66"/>
  <c r="N20" i="66"/>
  <c r="O20" i="66"/>
  <c r="P20" i="66"/>
  <c r="Q20" i="66"/>
  <c r="R20" i="66"/>
  <c r="S20" i="66"/>
  <c r="T20" i="66"/>
  <c r="U20" i="66"/>
  <c r="V20" i="66"/>
  <c r="C21" i="66"/>
  <c r="D21" i="66"/>
  <c r="E21" i="66"/>
  <c r="F21" i="66"/>
  <c r="G21" i="66"/>
  <c r="H21" i="66"/>
  <c r="I21" i="66"/>
  <c r="J21" i="66"/>
  <c r="K21" i="66"/>
  <c r="L21" i="66"/>
  <c r="M21" i="66"/>
  <c r="N21" i="66"/>
  <c r="O21" i="66"/>
  <c r="P21" i="66"/>
  <c r="Q21" i="66"/>
  <c r="R21" i="66"/>
  <c r="S21" i="66"/>
  <c r="T21" i="66"/>
  <c r="U21" i="66"/>
  <c r="V21" i="66"/>
  <c r="W21" i="66"/>
  <c r="X21" i="66"/>
  <c r="Y21" i="66"/>
  <c r="AA21" i="66"/>
  <c r="AB21" i="66"/>
  <c r="C22" i="66"/>
  <c r="D22" i="66"/>
  <c r="E22" i="66"/>
  <c r="F22" i="66"/>
  <c r="G22" i="66"/>
  <c r="H22" i="66"/>
  <c r="I22" i="66"/>
  <c r="J22" i="66"/>
  <c r="K22" i="66"/>
  <c r="L22" i="66"/>
  <c r="M22" i="66"/>
  <c r="N22" i="66"/>
  <c r="O22" i="66"/>
  <c r="P22" i="66"/>
  <c r="Q22" i="66"/>
  <c r="R22" i="66"/>
  <c r="S22" i="66"/>
  <c r="T22" i="66"/>
  <c r="U22" i="66"/>
  <c r="V22" i="66"/>
  <c r="C24" i="66"/>
  <c r="D24" i="66"/>
  <c r="E24" i="66"/>
  <c r="F24" i="66"/>
  <c r="G24" i="66"/>
  <c r="H24" i="66"/>
  <c r="I24" i="66"/>
  <c r="J24" i="66"/>
  <c r="K24" i="66"/>
  <c r="L24" i="66"/>
  <c r="M24" i="66"/>
  <c r="N24" i="66"/>
  <c r="O24" i="66"/>
  <c r="P24" i="66"/>
  <c r="Q24" i="66"/>
  <c r="R24" i="66"/>
  <c r="S24" i="66"/>
  <c r="T24" i="66"/>
  <c r="U24" i="66"/>
  <c r="V24" i="66"/>
  <c r="C25" i="66"/>
  <c r="D25" i="66"/>
  <c r="E25" i="66"/>
  <c r="F25" i="66"/>
  <c r="G25" i="66"/>
  <c r="H25" i="66"/>
  <c r="I25" i="66"/>
  <c r="J25" i="66"/>
  <c r="K25" i="66"/>
  <c r="L25" i="66"/>
  <c r="M25" i="66"/>
  <c r="N25" i="66"/>
  <c r="O25" i="66"/>
  <c r="P25" i="66"/>
  <c r="Q25" i="66"/>
  <c r="R25" i="66"/>
  <c r="S25" i="66"/>
  <c r="T25" i="66"/>
  <c r="U25" i="66"/>
  <c r="V25" i="66"/>
  <c r="W25" i="66"/>
  <c r="X25" i="66"/>
  <c r="Y25" i="66"/>
  <c r="AA25" i="66"/>
  <c r="AB25" i="66"/>
  <c r="C26" i="66"/>
  <c r="D26" i="66"/>
  <c r="E26" i="66"/>
  <c r="F26" i="66"/>
  <c r="G26" i="66"/>
  <c r="H26" i="66"/>
  <c r="I26" i="66"/>
  <c r="J26" i="66"/>
  <c r="K26" i="66"/>
  <c r="L26" i="66"/>
  <c r="M26" i="66"/>
  <c r="N26" i="66"/>
  <c r="O26" i="66"/>
  <c r="P26" i="66"/>
  <c r="Q26" i="66"/>
  <c r="R26" i="66"/>
  <c r="S26" i="66"/>
  <c r="T26" i="66"/>
  <c r="U26" i="66"/>
  <c r="V26" i="66"/>
  <c r="C28" i="66"/>
  <c r="D28" i="66"/>
  <c r="E28" i="66"/>
  <c r="F28" i="66"/>
  <c r="G28" i="66"/>
  <c r="H28" i="66"/>
  <c r="I28" i="66"/>
  <c r="J28" i="66"/>
  <c r="K28" i="66"/>
  <c r="L28" i="66"/>
  <c r="M28" i="66"/>
  <c r="N28" i="66"/>
  <c r="O28" i="66"/>
  <c r="P28" i="66"/>
  <c r="Q28" i="66"/>
  <c r="R28" i="66"/>
  <c r="S28" i="66"/>
  <c r="T28" i="66"/>
  <c r="U28" i="66"/>
  <c r="V28" i="66"/>
  <c r="C29" i="66"/>
  <c r="D29" i="66"/>
  <c r="E29" i="66"/>
  <c r="F29" i="66"/>
  <c r="G29" i="66"/>
  <c r="H29" i="66"/>
  <c r="I29" i="66"/>
  <c r="J29" i="66"/>
  <c r="K29" i="66"/>
  <c r="L29" i="66"/>
  <c r="M29" i="66"/>
  <c r="N29" i="66"/>
  <c r="O29" i="66"/>
  <c r="P29" i="66"/>
  <c r="Q29" i="66"/>
  <c r="R29" i="66"/>
  <c r="S29" i="66"/>
  <c r="T29" i="66"/>
  <c r="U29" i="66"/>
  <c r="V29" i="66"/>
  <c r="W29" i="66"/>
  <c r="X29" i="66"/>
  <c r="Y29" i="66"/>
  <c r="AA29" i="66"/>
  <c r="AB29" i="66"/>
  <c r="C30" i="66"/>
  <c r="D30" i="66"/>
  <c r="E30" i="66"/>
  <c r="F30" i="66"/>
  <c r="G30" i="66"/>
  <c r="H30" i="66"/>
  <c r="I30" i="66"/>
  <c r="J30" i="66"/>
  <c r="K30" i="66"/>
  <c r="L30" i="66"/>
  <c r="M30" i="66"/>
  <c r="N30" i="66"/>
  <c r="O30" i="66"/>
  <c r="P30" i="66"/>
  <c r="Q30" i="66"/>
  <c r="R30" i="66"/>
  <c r="S30" i="66"/>
  <c r="T30" i="66"/>
  <c r="U30" i="66"/>
  <c r="V30" i="66"/>
  <c r="C32" i="66"/>
  <c r="D32" i="66"/>
  <c r="E32" i="66"/>
  <c r="F32" i="66"/>
  <c r="G32" i="66"/>
  <c r="H32" i="66"/>
  <c r="I32" i="66"/>
  <c r="J32" i="66"/>
  <c r="K32" i="66"/>
  <c r="L32" i="66"/>
  <c r="M32" i="66"/>
  <c r="N32" i="66"/>
  <c r="O32" i="66"/>
  <c r="P32" i="66"/>
  <c r="Q32" i="66"/>
  <c r="R32" i="66"/>
  <c r="S32" i="66"/>
  <c r="T32" i="66"/>
  <c r="U32" i="66"/>
  <c r="V32" i="66"/>
  <c r="C33" i="66"/>
  <c r="D33" i="66"/>
  <c r="E33" i="66"/>
  <c r="F33" i="66"/>
  <c r="G33" i="66"/>
  <c r="H33" i="66"/>
  <c r="I33" i="66"/>
  <c r="J33" i="66"/>
  <c r="K33" i="66"/>
  <c r="L33" i="66"/>
  <c r="M33" i="66"/>
  <c r="N33" i="66"/>
  <c r="O33" i="66"/>
  <c r="P33" i="66"/>
  <c r="Q33" i="66"/>
  <c r="R33" i="66"/>
  <c r="S33" i="66"/>
  <c r="T33" i="66"/>
  <c r="U33" i="66"/>
  <c r="V33" i="66"/>
  <c r="W33" i="66"/>
  <c r="X33" i="66"/>
  <c r="Y33" i="66"/>
  <c r="AA33" i="66"/>
  <c r="AB33" i="66"/>
  <c r="C34" i="66"/>
  <c r="D34" i="66"/>
  <c r="E34" i="66"/>
  <c r="F34" i="66"/>
  <c r="G34" i="66"/>
  <c r="H34" i="66"/>
  <c r="I34" i="66"/>
  <c r="J34" i="66"/>
  <c r="K34" i="66"/>
  <c r="L34" i="66"/>
  <c r="M34" i="66"/>
  <c r="N34" i="66"/>
  <c r="O34" i="66"/>
  <c r="P34" i="66"/>
  <c r="Q34" i="66"/>
  <c r="R34" i="66"/>
  <c r="S34" i="66"/>
  <c r="T34" i="66"/>
  <c r="U34" i="66"/>
  <c r="V34" i="66"/>
  <c r="C36" i="66"/>
  <c r="D36" i="66"/>
  <c r="E36" i="66"/>
  <c r="F36" i="66"/>
  <c r="G36" i="66"/>
  <c r="H36" i="66"/>
  <c r="I36" i="66"/>
  <c r="J36" i="66"/>
  <c r="K36" i="66"/>
  <c r="L36" i="66"/>
  <c r="M36" i="66"/>
  <c r="N36" i="66"/>
  <c r="O36" i="66"/>
  <c r="P36" i="66"/>
  <c r="Q36" i="66"/>
  <c r="R36" i="66"/>
  <c r="S36" i="66"/>
  <c r="T36" i="66"/>
  <c r="U36" i="66"/>
  <c r="V36" i="66"/>
  <c r="C37" i="66"/>
  <c r="D37" i="66"/>
  <c r="E37" i="66"/>
  <c r="F37" i="66"/>
  <c r="G37" i="66"/>
  <c r="H37" i="66"/>
  <c r="I37" i="66"/>
  <c r="J37" i="66"/>
  <c r="K37" i="66"/>
  <c r="L37" i="66"/>
  <c r="M37" i="66"/>
  <c r="N37" i="66"/>
  <c r="O37" i="66"/>
  <c r="P37" i="66"/>
  <c r="Q37" i="66"/>
  <c r="R37" i="66"/>
  <c r="S37" i="66"/>
  <c r="T37" i="66"/>
  <c r="U37" i="66"/>
  <c r="V37" i="66"/>
  <c r="W37" i="66"/>
  <c r="X37" i="66"/>
  <c r="Y37" i="66"/>
  <c r="AA37" i="66"/>
  <c r="AB37" i="66"/>
  <c r="C38" i="66"/>
  <c r="D38" i="66"/>
  <c r="E38" i="66"/>
  <c r="F38" i="66"/>
  <c r="G38" i="66"/>
  <c r="H38" i="66"/>
  <c r="I38" i="66"/>
  <c r="J38" i="66"/>
  <c r="K38" i="66"/>
  <c r="L38" i="66"/>
  <c r="M38" i="66"/>
  <c r="N38" i="66"/>
  <c r="O38" i="66"/>
  <c r="P38" i="66"/>
  <c r="Q38" i="66"/>
  <c r="R38" i="66"/>
  <c r="S38" i="66"/>
  <c r="T38" i="66"/>
  <c r="U38" i="66"/>
  <c r="V38" i="66"/>
  <c r="C40" i="66"/>
  <c r="D40" i="66"/>
  <c r="E40" i="66"/>
  <c r="F40" i="66"/>
  <c r="G40" i="66"/>
  <c r="H40" i="66"/>
  <c r="I40" i="66"/>
  <c r="J40" i="66"/>
  <c r="K40" i="66"/>
  <c r="L40" i="66"/>
  <c r="M40" i="66"/>
  <c r="N40" i="66"/>
  <c r="O40" i="66"/>
  <c r="P40" i="66"/>
  <c r="Q40" i="66"/>
  <c r="R40" i="66"/>
  <c r="S40" i="66"/>
  <c r="T40" i="66"/>
  <c r="U40" i="66"/>
  <c r="V40" i="66"/>
  <c r="C41" i="66"/>
  <c r="D41" i="66"/>
  <c r="E41" i="66"/>
  <c r="F41" i="66"/>
  <c r="G41" i="66"/>
  <c r="H41" i="66"/>
  <c r="I41" i="66"/>
  <c r="J41" i="66"/>
  <c r="K41" i="66"/>
  <c r="L41" i="66"/>
  <c r="M41" i="66"/>
  <c r="N41" i="66"/>
  <c r="O41" i="66"/>
  <c r="P41" i="66"/>
  <c r="Q41" i="66"/>
  <c r="R41" i="66"/>
  <c r="S41" i="66"/>
  <c r="T41" i="66"/>
  <c r="U41" i="66"/>
  <c r="V41" i="66"/>
  <c r="W41" i="66"/>
  <c r="X41" i="66"/>
  <c r="Y41" i="66"/>
  <c r="AA41" i="66"/>
  <c r="AB41" i="66"/>
  <c r="C42" i="66"/>
  <c r="D42" i="66"/>
  <c r="E42" i="66"/>
  <c r="F42" i="66"/>
  <c r="G42" i="66"/>
  <c r="H42" i="66"/>
  <c r="I42" i="66"/>
  <c r="J42" i="66"/>
  <c r="K42" i="66"/>
  <c r="L42" i="66"/>
  <c r="M42" i="66"/>
  <c r="N42" i="66"/>
  <c r="O42" i="66"/>
  <c r="P42" i="66"/>
  <c r="Q42" i="66"/>
  <c r="R42" i="66"/>
  <c r="S42" i="66"/>
  <c r="T42" i="66"/>
  <c r="U42" i="66"/>
  <c r="V42" i="66"/>
  <c r="C44" i="66"/>
  <c r="D44" i="66"/>
  <c r="E44" i="66"/>
  <c r="F44" i="66"/>
  <c r="G44" i="66"/>
  <c r="H44" i="66"/>
  <c r="I44" i="66"/>
  <c r="J44" i="66"/>
  <c r="K44" i="66"/>
  <c r="L44" i="66"/>
  <c r="M44" i="66"/>
  <c r="N44" i="66"/>
  <c r="O44" i="66"/>
  <c r="P44" i="66"/>
  <c r="Q44" i="66"/>
  <c r="R44" i="66"/>
  <c r="S44" i="66"/>
  <c r="T44" i="66"/>
  <c r="U44" i="66"/>
  <c r="V44" i="66"/>
  <c r="C45" i="66"/>
  <c r="D45" i="66"/>
  <c r="E45" i="66"/>
  <c r="F45" i="66"/>
  <c r="G45" i="66"/>
  <c r="H45" i="66"/>
  <c r="I45" i="66"/>
  <c r="J45" i="66"/>
  <c r="K45" i="66"/>
  <c r="L45" i="66"/>
  <c r="M45" i="66"/>
  <c r="N45" i="66"/>
  <c r="O45" i="66"/>
  <c r="P45" i="66"/>
  <c r="Q45" i="66"/>
  <c r="R45" i="66"/>
  <c r="S45" i="66"/>
  <c r="T45" i="66"/>
  <c r="U45" i="66"/>
  <c r="V45" i="66"/>
  <c r="W45" i="66"/>
  <c r="X45" i="66"/>
  <c r="Y45" i="66"/>
  <c r="AA45" i="66"/>
  <c r="AB45" i="66"/>
  <c r="C46" i="66"/>
  <c r="D46" i="66"/>
  <c r="E46" i="66"/>
  <c r="F46" i="66"/>
  <c r="G46" i="66"/>
  <c r="H46" i="66"/>
  <c r="I46" i="66"/>
  <c r="J46" i="66"/>
  <c r="K46" i="66"/>
  <c r="L46" i="66"/>
  <c r="M46" i="66"/>
  <c r="N46" i="66"/>
  <c r="O46" i="66"/>
  <c r="P46" i="66"/>
  <c r="Q46" i="66"/>
  <c r="R46" i="66"/>
  <c r="S46" i="66"/>
  <c r="T46" i="66"/>
  <c r="U46" i="66"/>
  <c r="V46" i="66"/>
  <c r="C48" i="66"/>
  <c r="D48" i="66"/>
  <c r="E48" i="66"/>
  <c r="F48" i="66"/>
  <c r="G48" i="66"/>
  <c r="H48" i="66"/>
  <c r="I48" i="66"/>
  <c r="J48" i="66"/>
  <c r="K48" i="66"/>
  <c r="L48" i="66"/>
  <c r="M48" i="66"/>
  <c r="N48" i="66"/>
  <c r="O48" i="66"/>
  <c r="P48" i="66"/>
  <c r="Q48" i="66"/>
  <c r="R48" i="66"/>
  <c r="S48" i="66"/>
  <c r="T48" i="66"/>
  <c r="U48" i="66"/>
  <c r="V48" i="66"/>
  <c r="C49" i="66"/>
  <c r="D49" i="66"/>
  <c r="E49" i="66"/>
  <c r="F49" i="66"/>
  <c r="G49" i="66"/>
  <c r="H49" i="66"/>
  <c r="I49" i="66"/>
  <c r="J49" i="66"/>
  <c r="K49" i="66"/>
  <c r="L49" i="66"/>
  <c r="M49" i="66"/>
  <c r="N49" i="66"/>
  <c r="O49" i="66"/>
  <c r="P49" i="66"/>
  <c r="Q49" i="66"/>
  <c r="R49" i="66"/>
  <c r="S49" i="66"/>
  <c r="T49" i="66"/>
  <c r="U49" i="66"/>
  <c r="V49" i="66"/>
  <c r="W49" i="66"/>
  <c r="X49" i="66"/>
  <c r="Y49" i="66"/>
  <c r="AA49" i="66"/>
  <c r="AB49" i="66"/>
  <c r="C50" i="66"/>
  <c r="D50" i="66"/>
  <c r="E50" i="66"/>
  <c r="F50" i="66"/>
  <c r="G50" i="66"/>
  <c r="H50" i="66"/>
  <c r="I50" i="66"/>
  <c r="J50" i="66"/>
  <c r="K50" i="66"/>
  <c r="L50" i="66"/>
  <c r="M50" i="66"/>
  <c r="N50" i="66"/>
  <c r="O50" i="66"/>
  <c r="P50" i="66"/>
  <c r="Q50" i="66"/>
  <c r="R50" i="66"/>
  <c r="S50" i="66"/>
  <c r="T50" i="66"/>
  <c r="U50" i="66"/>
  <c r="V50" i="66"/>
  <c r="C52" i="66"/>
  <c r="D52" i="66"/>
  <c r="E52" i="66"/>
  <c r="F52" i="66"/>
  <c r="G52" i="66"/>
  <c r="H52" i="66"/>
  <c r="I52" i="66"/>
  <c r="J52" i="66"/>
  <c r="K52" i="66"/>
  <c r="L52" i="66"/>
  <c r="M52" i="66"/>
  <c r="N52" i="66"/>
  <c r="O52" i="66"/>
  <c r="P52" i="66"/>
  <c r="Q52" i="66"/>
  <c r="R52" i="66"/>
  <c r="S52" i="66"/>
  <c r="T52" i="66"/>
  <c r="U52" i="66"/>
  <c r="V52" i="66"/>
  <c r="C53" i="66"/>
  <c r="D53" i="66"/>
  <c r="E53" i="66"/>
  <c r="F53" i="66"/>
  <c r="G53" i="66"/>
  <c r="H53" i="66"/>
  <c r="I53" i="66"/>
  <c r="J53" i="66"/>
  <c r="K53" i="66"/>
  <c r="L53" i="66"/>
  <c r="M53" i="66"/>
  <c r="N53" i="66"/>
  <c r="O53" i="66"/>
  <c r="P53" i="66"/>
  <c r="Q53" i="66"/>
  <c r="R53" i="66"/>
  <c r="S53" i="66"/>
  <c r="T53" i="66"/>
  <c r="U53" i="66"/>
  <c r="V53" i="66"/>
  <c r="W53" i="66"/>
  <c r="X53" i="66"/>
  <c r="Y53" i="66"/>
  <c r="AA53" i="66"/>
  <c r="AB53" i="66"/>
  <c r="C54" i="66"/>
  <c r="D54" i="66"/>
  <c r="E54" i="66"/>
  <c r="F54" i="66"/>
  <c r="G54" i="66"/>
  <c r="H54" i="66"/>
  <c r="I54" i="66"/>
  <c r="J54" i="66"/>
  <c r="K54" i="66"/>
  <c r="L54" i="66"/>
  <c r="M54" i="66"/>
  <c r="N54" i="66"/>
  <c r="O54" i="66"/>
  <c r="P54" i="66"/>
  <c r="Q54" i="66"/>
  <c r="R54" i="66"/>
  <c r="S54" i="66"/>
  <c r="T54" i="66"/>
  <c r="U54" i="66"/>
  <c r="V54" i="66"/>
  <c r="C56" i="66"/>
  <c r="D56" i="66"/>
  <c r="E56" i="66"/>
  <c r="F56" i="66"/>
  <c r="G56" i="66"/>
  <c r="H56" i="66"/>
  <c r="I56" i="66"/>
  <c r="J56" i="66"/>
  <c r="K56" i="66"/>
  <c r="L56" i="66"/>
  <c r="M56" i="66"/>
  <c r="N56" i="66"/>
  <c r="O56" i="66"/>
  <c r="P56" i="66"/>
  <c r="Q56" i="66"/>
  <c r="R56" i="66"/>
  <c r="S56" i="66"/>
  <c r="T56" i="66"/>
  <c r="U56" i="66"/>
  <c r="V56" i="66"/>
  <c r="C57" i="66"/>
  <c r="D57" i="66"/>
  <c r="E57" i="66"/>
  <c r="F57" i="66"/>
  <c r="G57" i="66"/>
  <c r="H57" i="66"/>
  <c r="I57" i="66"/>
  <c r="J57" i="66"/>
  <c r="K57" i="66"/>
  <c r="L57" i="66"/>
  <c r="M57" i="66"/>
  <c r="N57" i="66"/>
  <c r="O57" i="66"/>
  <c r="P57" i="66"/>
  <c r="Q57" i="66"/>
  <c r="R57" i="66"/>
  <c r="S57" i="66"/>
  <c r="T57" i="66"/>
  <c r="U57" i="66"/>
  <c r="V57" i="66"/>
  <c r="W57" i="66"/>
  <c r="X57" i="66"/>
  <c r="Y57" i="66"/>
  <c r="AA57" i="66"/>
  <c r="AB57" i="66"/>
  <c r="C58" i="66"/>
  <c r="D58" i="66"/>
  <c r="E58" i="66"/>
  <c r="F58" i="66"/>
  <c r="G58" i="66"/>
  <c r="H58" i="66"/>
  <c r="I58" i="66"/>
  <c r="J58" i="66"/>
  <c r="K58" i="66"/>
  <c r="L58" i="66"/>
  <c r="M58" i="66"/>
  <c r="N58" i="66"/>
  <c r="O58" i="66"/>
  <c r="P58" i="66"/>
  <c r="Q58" i="66"/>
  <c r="R58" i="66"/>
  <c r="S58" i="66"/>
  <c r="T58" i="66"/>
  <c r="U58" i="66"/>
  <c r="V58" i="66"/>
  <c r="C60" i="66"/>
  <c r="D60" i="66"/>
  <c r="E60" i="66"/>
  <c r="F60" i="66"/>
  <c r="G60" i="66"/>
  <c r="H60" i="66"/>
  <c r="I60" i="66"/>
  <c r="J60" i="66"/>
  <c r="K60" i="66"/>
  <c r="L60" i="66"/>
  <c r="M60" i="66"/>
  <c r="N60" i="66"/>
  <c r="O60" i="66"/>
  <c r="P60" i="66"/>
  <c r="Q60" i="66"/>
  <c r="R60" i="66"/>
  <c r="S60" i="66"/>
  <c r="T60" i="66"/>
  <c r="U60" i="66"/>
  <c r="V60" i="66"/>
  <c r="C61" i="66"/>
  <c r="D61" i="66"/>
  <c r="E61" i="66"/>
  <c r="F61" i="66"/>
  <c r="G61" i="66"/>
  <c r="H61" i="66"/>
  <c r="I61" i="66"/>
  <c r="J61" i="66"/>
  <c r="K61" i="66"/>
  <c r="L61" i="66"/>
  <c r="M61" i="66"/>
  <c r="N61" i="66"/>
  <c r="O61" i="66"/>
  <c r="P61" i="66"/>
  <c r="Q61" i="66"/>
  <c r="R61" i="66"/>
  <c r="S61" i="66"/>
  <c r="T61" i="66"/>
  <c r="U61" i="66"/>
  <c r="V61" i="66"/>
  <c r="W61" i="66"/>
  <c r="X61" i="66"/>
  <c r="Y61" i="66"/>
  <c r="AA61" i="66"/>
  <c r="AB61" i="66"/>
  <c r="C62" i="66"/>
  <c r="D62" i="66"/>
  <c r="E62" i="66"/>
  <c r="F62" i="66"/>
  <c r="G62" i="66"/>
  <c r="H62" i="66"/>
  <c r="I62" i="66"/>
  <c r="J62" i="66"/>
  <c r="K62" i="66"/>
  <c r="L62" i="66"/>
  <c r="M62" i="66"/>
  <c r="N62" i="66"/>
  <c r="O62" i="66"/>
  <c r="P62" i="66"/>
  <c r="Q62" i="66"/>
  <c r="R62" i="66"/>
  <c r="S62" i="66"/>
  <c r="T62" i="66"/>
  <c r="U62" i="66"/>
  <c r="V62" i="66"/>
  <c r="C64" i="66"/>
  <c r="D64" i="66"/>
  <c r="E64" i="66"/>
  <c r="F64" i="66"/>
  <c r="G64" i="66"/>
  <c r="H64" i="66"/>
  <c r="I64" i="66"/>
  <c r="J64" i="66"/>
  <c r="K64" i="66"/>
  <c r="L64" i="66"/>
  <c r="M64" i="66"/>
  <c r="N64" i="66"/>
  <c r="O64" i="66"/>
  <c r="P64" i="66"/>
  <c r="Q64" i="66"/>
  <c r="R64" i="66"/>
  <c r="S64" i="66"/>
  <c r="T64" i="66"/>
  <c r="U64" i="66"/>
  <c r="V64" i="66"/>
  <c r="C65" i="66"/>
  <c r="D65" i="66"/>
  <c r="E65" i="66"/>
  <c r="F65" i="66"/>
  <c r="G65" i="66"/>
  <c r="H65" i="66"/>
  <c r="I65" i="66"/>
  <c r="J65" i="66"/>
  <c r="K65" i="66"/>
  <c r="L65" i="66"/>
  <c r="M65" i="66"/>
  <c r="N65" i="66"/>
  <c r="O65" i="66"/>
  <c r="P65" i="66"/>
  <c r="Q65" i="66"/>
  <c r="R65" i="66"/>
  <c r="S65" i="66"/>
  <c r="T65" i="66"/>
  <c r="U65" i="66"/>
  <c r="V65" i="66"/>
  <c r="W65" i="66"/>
  <c r="X65" i="66"/>
  <c r="Y65" i="66"/>
  <c r="AA65" i="66"/>
  <c r="AB65" i="66"/>
  <c r="C66" i="66"/>
  <c r="D66" i="66"/>
  <c r="E66" i="66"/>
  <c r="F66" i="66"/>
  <c r="G66" i="66"/>
  <c r="H66" i="66"/>
  <c r="I66" i="66"/>
  <c r="J66" i="66"/>
  <c r="K66" i="66"/>
  <c r="L66" i="66"/>
  <c r="M66" i="66"/>
  <c r="N66" i="66"/>
  <c r="O66" i="66"/>
  <c r="P66" i="66"/>
  <c r="Q66" i="66"/>
  <c r="R66" i="66"/>
  <c r="S66" i="66"/>
  <c r="T66" i="66"/>
  <c r="U66" i="66"/>
  <c r="V66" i="66"/>
  <c r="C68" i="66"/>
  <c r="D68" i="66"/>
  <c r="E68" i="66"/>
  <c r="F68" i="66"/>
  <c r="G68" i="66"/>
  <c r="H68" i="66"/>
  <c r="I68" i="66"/>
  <c r="J68" i="66"/>
  <c r="K68" i="66"/>
  <c r="L68" i="66"/>
  <c r="M68" i="66"/>
  <c r="N68" i="66"/>
  <c r="O68" i="66"/>
  <c r="P68" i="66"/>
  <c r="Q68" i="66"/>
  <c r="R68" i="66"/>
  <c r="S68" i="66"/>
  <c r="T68" i="66"/>
  <c r="U68" i="66"/>
  <c r="V68" i="66"/>
  <c r="C69" i="66"/>
  <c r="D69" i="66"/>
  <c r="E69" i="66"/>
  <c r="F69" i="66"/>
  <c r="G69" i="66"/>
  <c r="H69" i="66"/>
  <c r="I69" i="66"/>
  <c r="J69" i="66"/>
  <c r="K69" i="66"/>
  <c r="L69" i="66"/>
  <c r="M69" i="66"/>
  <c r="N69" i="66"/>
  <c r="O69" i="66"/>
  <c r="P69" i="66"/>
  <c r="Q69" i="66"/>
  <c r="R69" i="66"/>
  <c r="S69" i="66"/>
  <c r="T69" i="66"/>
  <c r="U69" i="66"/>
  <c r="V69" i="66"/>
  <c r="W69" i="66"/>
  <c r="X69" i="66"/>
  <c r="Y69" i="66"/>
  <c r="AA69" i="66"/>
  <c r="AB69" i="66"/>
  <c r="C70" i="66"/>
  <c r="D70" i="66"/>
  <c r="E70" i="66"/>
  <c r="F70" i="66"/>
  <c r="G70" i="66"/>
  <c r="H70" i="66"/>
  <c r="I70" i="66"/>
  <c r="J70" i="66"/>
  <c r="K70" i="66"/>
  <c r="L70" i="66"/>
  <c r="M70" i="66"/>
  <c r="N70" i="66"/>
  <c r="O70" i="66"/>
  <c r="P70" i="66"/>
  <c r="Q70" i="66"/>
  <c r="R70" i="66"/>
  <c r="S70" i="66"/>
  <c r="T70" i="66"/>
  <c r="U70" i="66"/>
  <c r="V70" i="66"/>
  <c r="C72" i="66"/>
  <c r="D72" i="66"/>
  <c r="E72" i="66"/>
  <c r="F72" i="66"/>
  <c r="G72" i="66"/>
  <c r="H72" i="66"/>
  <c r="I72" i="66"/>
  <c r="J72" i="66"/>
  <c r="K72" i="66"/>
  <c r="L72" i="66"/>
  <c r="M72" i="66"/>
  <c r="N72" i="66"/>
  <c r="O72" i="66"/>
  <c r="P72" i="66"/>
  <c r="Q72" i="66"/>
  <c r="R72" i="66"/>
  <c r="S72" i="66"/>
  <c r="T72" i="66"/>
  <c r="U72" i="66"/>
  <c r="V72" i="66"/>
  <c r="C73" i="66"/>
  <c r="D73" i="66"/>
  <c r="E73" i="66"/>
  <c r="F73" i="66"/>
  <c r="G73" i="66"/>
  <c r="H73" i="66"/>
  <c r="I73" i="66"/>
  <c r="J73" i="66"/>
  <c r="K73" i="66"/>
  <c r="L73" i="66"/>
  <c r="M73" i="66"/>
  <c r="N73" i="66"/>
  <c r="O73" i="66"/>
  <c r="P73" i="66"/>
  <c r="Q73" i="66"/>
  <c r="R73" i="66"/>
  <c r="S73" i="66"/>
  <c r="T73" i="66"/>
  <c r="U73" i="66"/>
  <c r="V73" i="66"/>
  <c r="W73" i="66"/>
  <c r="X73" i="66"/>
  <c r="Y73" i="66"/>
  <c r="AA73" i="66"/>
  <c r="AB73" i="66"/>
  <c r="C74" i="66"/>
  <c r="D74" i="66"/>
  <c r="E74" i="66"/>
  <c r="F74" i="66"/>
  <c r="G74" i="66"/>
  <c r="H74" i="66"/>
  <c r="I74" i="66"/>
  <c r="J74" i="66"/>
  <c r="K74" i="66"/>
  <c r="L74" i="66"/>
  <c r="M74" i="66"/>
  <c r="N74" i="66"/>
  <c r="O74" i="66"/>
  <c r="P74" i="66"/>
  <c r="Q74" i="66"/>
  <c r="R74" i="66"/>
  <c r="S74" i="66"/>
  <c r="T74" i="66"/>
  <c r="U74" i="66"/>
  <c r="V74" i="66"/>
  <c r="C76" i="66"/>
  <c r="D76" i="66"/>
  <c r="E76" i="66"/>
  <c r="F76" i="66"/>
  <c r="G76" i="66"/>
  <c r="H76" i="66"/>
  <c r="I76" i="66"/>
  <c r="J76" i="66"/>
  <c r="K76" i="66"/>
  <c r="L76" i="66"/>
  <c r="M76" i="66"/>
  <c r="N76" i="66"/>
  <c r="O76" i="66"/>
  <c r="P76" i="66"/>
  <c r="Q76" i="66"/>
  <c r="R76" i="66"/>
  <c r="S76" i="66"/>
  <c r="T76" i="66"/>
  <c r="U76" i="66"/>
  <c r="V76" i="66"/>
  <c r="C77" i="66"/>
  <c r="D77" i="66"/>
  <c r="E77" i="66"/>
  <c r="F77" i="66"/>
  <c r="G77" i="66"/>
  <c r="H77" i="66"/>
  <c r="I77" i="66"/>
  <c r="J77" i="66"/>
  <c r="K77" i="66"/>
  <c r="L77" i="66"/>
  <c r="M77" i="66"/>
  <c r="N77" i="66"/>
  <c r="O77" i="66"/>
  <c r="P77" i="66"/>
  <c r="Q77" i="66"/>
  <c r="R77" i="66"/>
  <c r="S77" i="66"/>
  <c r="T77" i="66"/>
  <c r="U77" i="66"/>
  <c r="V77" i="66"/>
  <c r="W77" i="66"/>
  <c r="X77" i="66"/>
  <c r="Y77" i="66"/>
  <c r="AA77" i="66"/>
  <c r="AB77" i="66"/>
  <c r="C78" i="66"/>
  <c r="D78" i="66"/>
  <c r="E78" i="66"/>
  <c r="F78" i="66"/>
  <c r="G78" i="66"/>
  <c r="H78" i="66"/>
  <c r="I78" i="66"/>
  <c r="J78" i="66"/>
  <c r="K78" i="66"/>
  <c r="L78" i="66"/>
  <c r="M78" i="66"/>
  <c r="N78" i="66"/>
  <c r="O78" i="66"/>
  <c r="P78" i="66"/>
  <c r="Q78" i="66"/>
  <c r="R78" i="66"/>
  <c r="S78" i="66"/>
  <c r="T78" i="66"/>
  <c r="U78" i="66"/>
  <c r="V78" i="66"/>
  <c r="C80" i="66"/>
  <c r="D80" i="66"/>
  <c r="E80" i="66"/>
  <c r="F80" i="66"/>
  <c r="G80" i="66"/>
  <c r="H80" i="66"/>
  <c r="I80" i="66"/>
  <c r="J80" i="66"/>
  <c r="K80" i="66"/>
  <c r="L80" i="66"/>
  <c r="M80" i="66"/>
  <c r="N80" i="66"/>
  <c r="O80" i="66"/>
  <c r="P80" i="66"/>
  <c r="Q80" i="66"/>
  <c r="R80" i="66"/>
  <c r="S80" i="66"/>
  <c r="T80" i="66"/>
  <c r="U80" i="66"/>
  <c r="V80" i="66"/>
  <c r="C81" i="66"/>
  <c r="D81" i="66"/>
  <c r="E81" i="66"/>
  <c r="F81" i="66"/>
  <c r="G81" i="66"/>
  <c r="H81" i="66"/>
  <c r="I81" i="66"/>
  <c r="J81" i="66"/>
  <c r="K81" i="66"/>
  <c r="L81" i="66"/>
  <c r="M81" i="66"/>
  <c r="N81" i="66"/>
  <c r="O81" i="66"/>
  <c r="P81" i="66"/>
  <c r="Q81" i="66"/>
  <c r="R81" i="66"/>
  <c r="S81" i="66"/>
  <c r="T81" i="66"/>
  <c r="U81" i="66"/>
  <c r="V81" i="66"/>
  <c r="W81" i="66"/>
  <c r="X81" i="66"/>
  <c r="Y81" i="66"/>
  <c r="AA81" i="66"/>
  <c r="AB81" i="66"/>
  <c r="C82" i="66"/>
  <c r="D82" i="66"/>
  <c r="E82" i="66"/>
  <c r="F82" i="66"/>
  <c r="G82" i="66"/>
  <c r="H82" i="66"/>
  <c r="I82" i="66"/>
  <c r="J82" i="66"/>
  <c r="K82" i="66"/>
  <c r="L82" i="66"/>
  <c r="M82" i="66"/>
  <c r="N82" i="66"/>
  <c r="O82" i="66"/>
  <c r="P82" i="66"/>
  <c r="Q82" i="66"/>
  <c r="R82" i="66"/>
  <c r="S82" i="66"/>
  <c r="T82" i="66"/>
  <c r="U82" i="66"/>
  <c r="V82" i="66"/>
  <c r="C84" i="66"/>
  <c r="D84" i="66"/>
  <c r="E84" i="66"/>
  <c r="F84" i="66"/>
  <c r="G84" i="66"/>
  <c r="H84" i="66"/>
  <c r="I84" i="66"/>
  <c r="J84" i="66"/>
  <c r="K84" i="66"/>
  <c r="L84" i="66"/>
  <c r="M84" i="66"/>
  <c r="N84" i="66"/>
  <c r="O84" i="66"/>
  <c r="P84" i="66"/>
  <c r="Q84" i="66"/>
  <c r="R84" i="66"/>
  <c r="S84" i="66"/>
  <c r="T84" i="66"/>
  <c r="U84" i="66"/>
  <c r="V84" i="66"/>
  <c r="C85" i="66"/>
  <c r="D85" i="66"/>
  <c r="E85" i="66"/>
  <c r="F85" i="66"/>
  <c r="G85" i="66"/>
  <c r="H85" i="66"/>
  <c r="I85" i="66"/>
  <c r="J85" i="66"/>
  <c r="K85" i="66"/>
  <c r="L85" i="66"/>
  <c r="M85" i="66"/>
  <c r="N85" i="66"/>
  <c r="O85" i="66"/>
  <c r="P85" i="66"/>
  <c r="Q85" i="66"/>
  <c r="R85" i="66"/>
  <c r="S85" i="66"/>
  <c r="T85" i="66"/>
  <c r="U85" i="66"/>
  <c r="V85" i="66"/>
  <c r="W85" i="66"/>
  <c r="X85" i="66"/>
  <c r="Y85" i="66"/>
  <c r="AA85" i="66"/>
  <c r="AB85" i="66"/>
  <c r="C86" i="66"/>
  <c r="D86" i="66"/>
  <c r="E86" i="66"/>
  <c r="F86" i="66"/>
  <c r="G86" i="66"/>
  <c r="H86" i="66"/>
  <c r="I86" i="66"/>
  <c r="J86" i="66"/>
  <c r="K86" i="66"/>
  <c r="L86" i="66"/>
  <c r="M86" i="66"/>
  <c r="N86" i="66"/>
  <c r="O86" i="66"/>
  <c r="P86" i="66"/>
  <c r="Q86" i="66"/>
  <c r="R86" i="66"/>
  <c r="S86" i="66"/>
  <c r="T86" i="66"/>
  <c r="U86" i="66"/>
  <c r="V86" i="66"/>
  <c r="C88" i="66"/>
  <c r="D88" i="66"/>
  <c r="E88" i="66"/>
  <c r="F88" i="66"/>
  <c r="G88" i="66"/>
  <c r="H88" i="66"/>
  <c r="I88" i="66"/>
  <c r="J88" i="66"/>
  <c r="K88" i="66"/>
  <c r="L88" i="66"/>
  <c r="M88" i="66"/>
  <c r="N88" i="66"/>
  <c r="O88" i="66"/>
  <c r="P88" i="66"/>
  <c r="Q88" i="66"/>
  <c r="R88" i="66"/>
  <c r="S88" i="66"/>
  <c r="T88" i="66"/>
  <c r="U88" i="66"/>
  <c r="V88" i="66"/>
  <c r="C89" i="66"/>
  <c r="D89" i="66"/>
  <c r="E89" i="66"/>
  <c r="F89" i="66"/>
  <c r="G89" i="66"/>
  <c r="H89" i="66"/>
  <c r="I89" i="66"/>
  <c r="J89" i="66"/>
  <c r="K89" i="66"/>
  <c r="L89" i="66"/>
  <c r="M89" i="66"/>
  <c r="N89" i="66"/>
  <c r="O89" i="66"/>
  <c r="P89" i="66"/>
  <c r="Q89" i="66"/>
  <c r="R89" i="66"/>
  <c r="S89" i="66"/>
  <c r="T89" i="66"/>
  <c r="U89" i="66"/>
  <c r="V89" i="66"/>
  <c r="W89" i="66"/>
  <c r="X89" i="66"/>
  <c r="Y89" i="66"/>
  <c r="AA89" i="66"/>
  <c r="AB89" i="66"/>
  <c r="C90" i="66"/>
  <c r="D90" i="66"/>
  <c r="E90" i="66"/>
  <c r="F90" i="66"/>
  <c r="G90" i="66"/>
  <c r="H90" i="66"/>
  <c r="I90" i="66"/>
  <c r="J90" i="66"/>
  <c r="K90" i="66"/>
  <c r="L90" i="66"/>
  <c r="M90" i="66"/>
  <c r="N90" i="66"/>
  <c r="O90" i="66"/>
  <c r="P90" i="66"/>
  <c r="Q90" i="66"/>
  <c r="R90" i="66"/>
  <c r="S90" i="66"/>
  <c r="T90" i="66"/>
  <c r="U90" i="66"/>
  <c r="V90" i="66"/>
  <c r="C92" i="66"/>
  <c r="D92" i="66"/>
  <c r="E92" i="66"/>
  <c r="F92" i="66"/>
  <c r="G92" i="66"/>
  <c r="H92" i="66"/>
  <c r="I92" i="66"/>
  <c r="J92" i="66"/>
  <c r="K92" i="66"/>
  <c r="L92" i="66"/>
  <c r="M92" i="66"/>
  <c r="N92" i="66"/>
  <c r="O92" i="66"/>
  <c r="P92" i="66"/>
  <c r="Q92" i="66"/>
  <c r="R92" i="66"/>
  <c r="S92" i="66"/>
  <c r="T92" i="66"/>
  <c r="U92" i="66"/>
  <c r="V92" i="66"/>
  <c r="A1" i="2"/>
  <c r="F12" i="2"/>
  <c r="E14" i="2"/>
  <c r="F14" i="2"/>
  <c r="F15" i="2"/>
  <c r="F16" i="2"/>
  <c r="E17" i="2"/>
  <c r="F17" i="2"/>
  <c r="F18" i="2"/>
  <c r="F19" i="2"/>
  <c r="E20" i="2"/>
  <c r="F20" i="2"/>
  <c r="F21" i="2"/>
  <c r="F22" i="2"/>
  <c r="E28" i="2"/>
  <c r="F28" i="2"/>
  <c r="F29" i="2"/>
  <c r="F40" i="2"/>
  <c r="F41" i="2"/>
  <c r="F58" i="2"/>
  <c r="A1" i="12"/>
  <c r="A1" i="5"/>
  <c r="E9" i="5"/>
  <c r="E10" i="5"/>
  <c r="E11" i="5"/>
  <c r="E12" i="5"/>
  <c r="E14" i="5"/>
  <c r="E16" i="5"/>
  <c r="E18" i="5"/>
  <c r="E20" i="5"/>
  <c r="E22" i="5"/>
  <c r="E24" i="5"/>
  <c r="E25" i="5"/>
  <c r="E31" i="5"/>
  <c r="F31" i="5"/>
  <c r="G31" i="5"/>
  <c r="H31" i="5"/>
  <c r="I31" i="5"/>
  <c r="J31" i="5"/>
  <c r="E32" i="5"/>
  <c r="F32" i="5"/>
  <c r="G32" i="5"/>
  <c r="H32" i="5"/>
  <c r="I32" i="5"/>
  <c r="J32" i="5"/>
  <c r="E33" i="5"/>
  <c r="F33" i="5"/>
  <c r="G33" i="5"/>
  <c r="H33" i="5"/>
  <c r="I33" i="5"/>
  <c r="K33" i="5"/>
  <c r="E34" i="5"/>
  <c r="F34" i="5"/>
  <c r="G34" i="5"/>
  <c r="H34" i="5"/>
  <c r="I34" i="5"/>
  <c r="J34" i="5"/>
  <c r="K34" i="5"/>
  <c r="E35" i="5"/>
  <c r="F35" i="5"/>
  <c r="G35" i="5"/>
  <c r="H35" i="5"/>
  <c r="I35" i="5"/>
  <c r="J35" i="5"/>
  <c r="E37" i="5"/>
  <c r="F37" i="5"/>
  <c r="G37" i="5"/>
  <c r="H37" i="5"/>
  <c r="I37" i="5"/>
  <c r="J38" i="5"/>
  <c r="K38" i="5"/>
  <c r="E40" i="5"/>
  <c r="I40" i="5"/>
  <c r="I42" i="5"/>
  <c r="E45" i="5"/>
  <c r="F45" i="5"/>
  <c r="G45" i="5"/>
  <c r="H45" i="5"/>
  <c r="I45" i="5"/>
  <c r="E47" i="5"/>
  <c r="F47" i="5"/>
  <c r="G47" i="5"/>
  <c r="H47" i="5"/>
  <c r="I47" i="5"/>
  <c r="I50" i="5"/>
  <c r="E53" i="5"/>
  <c r="F53" i="5"/>
  <c r="G53" i="5"/>
  <c r="H53" i="5"/>
  <c r="I53" i="5"/>
  <c r="E54" i="5"/>
  <c r="F54" i="5"/>
  <c r="G54" i="5"/>
  <c r="H54" i="5"/>
  <c r="I54" i="5"/>
  <c r="A1" i="1"/>
  <c r="C27" i="1"/>
  <c r="G27" i="1"/>
  <c r="G28" i="1"/>
  <c r="G29" i="1"/>
  <c r="G30" i="1"/>
  <c r="G31" i="1"/>
  <c r="G32" i="1"/>
  <c r="G33" i="1"/>
  <c r="G34" i="1"/>
  <c r="G35" i="1"/>
  <c r="G36" i="1"/>
  <c r="C37" i="1"/>
  <c r="G37" i="1"/>
  <c r="C38" i="1"/>
  <c r="G38" i="1"/>
  <c r="A1" i="11"/>
  <c r="H7" i="11"/>
  <c r="I7" i="11"/>
  <c r="H8" i="11"/>
  <c r="I8" i="11"/>
  <c r="H9" i="11"/>
  <c r="I9" i="11"/>
  <c r="H10" i="11"/>
  <c r="I10" i="11"/>
  <c r="G11" i="11"/>
  <c r="H11" i="11"/>
  <c r="I11" i="11"/>
  <c r="H14" i="11"/>
  <c r="I14" i="11"/>
  <c r="H15" i="11"/>
  <c r="I15" i="11"/>
  <c r="H16" i="11"/>
  <c r="I16" i="11"/>
  <c r="G17" i="11"/>
  <c r="H17" i="11"/>
  <c r="I17" i="11"/>
  <c r="H20" i="11"/>
  <c r="I20" i="11"/>
  <c r="G21" i="11"/>
  <c r="H21" i="11"/>
  <c r="I21" i="11"/>
  <c r="H24" i="11"/>
  <c r="I24" i="11"/>
  <c r="H25" i="11"/>
  <c r="I25" i="11"/>
  <c r="H26" i="11"/>
  <c r="I26" i="11"/>
  <c r="G27" i="11"/>
  <c r="H27" i="11"/>
  <c r="I27" i="11"/>
  <c r="I30" i="11"/>
  <c r="H31" i="11"/>
  <c r="I31" i="11"/>
  <c r="G32" i="11"/>
  <c r="H32" i="11"/>
  <c r="I32" i="11"/>
  <c r="H35" i="11"/>
  <c r="I35" i="11"/>
  <c r="H36" i="11"/>
  <c r="I36" i="11"/>
  <c r="H37" i="11"/>
  <c r="I37" i="11"/>
  <c r="H38" i="11"/>
  <c r="I38" i="11"/>
  <c r="G39" i="11"/>
  <c r="H39" i="11"/>
  <c r="I39" i="11"/>
  <c r="H41" i="11"/>
  <c r="I41" i="11"/>
  <c r="I44" i="11"/>
  <c r="I45" i="11"/>
  <c r="I46" i="11"/>
  <c r="I47" i="11"/>
  <c r="I49" i="11"/>
  <c r="I50" i="11"/>
  <c r="I51" i="11"/>
</calcChain>
</file>

<file path=xl/sharedStrings.xml><?xml version="1.0" encoding="utf-8"?>
<sst xmlns="http://schemas.openxmlformats.org/spreadsheetml/2006/main" count="3362" uniqueCount="1475">
  <si>
    <t>Owners Engineer: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</si>
  <si>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</si>
  <si>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</si>
  <si>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</si>
  <si>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</si>
  <si>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</si>
  <si>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</si>
  <si>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</si>
  <si>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</si>
  <si>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</si>
  <si>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</si>
  <si>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</t>
  </si>
  <si>
    <t>Dealing with Customs authorities with regard to imported goods and services.</t>
  </si>
  <si>
    <t xml:space="preserve">Fuel </t>
  </si>
  <si>
    <t xml:space="preserve">Raw Water makeup </t>
  </si>
  <si>
    <t>Purchased (backfeed) power and other purchased utilities</t>
  </si>
  <si>
    <t>Owner's Insurance (Operator to be named as additional insured)</t>
  </si>
  <si>
    <t>Buildings:  Administration, Warehouse and Shop facilities</t>
  </si>
  <si>
    <t>Operating or Environmental Permits (Operator to assist Owner in obtaining)</t>
  </si>
  <si>
    <t>Communications facilities (internal &amp; external)</t>
  </si>
  <si>
    <t>Customs duties, Taxes or VAT</t>
  </si>
  <si>
    <t>Changes in escalation, inflation or exchange rate</t>
  </si>
  <si>
    <t>75% factor due to Tx City/Clear Lk were cogen plants &amp; suppl. fired</t>
  </si>
  <si>
    <t>Triple pressure boilers</t>
  </si>
  <si>
    <t>Assume non-local manufacturer</t>
  </si>
  <si>
    <t>Steam Turbine (including Scheduled Maint.)</t>
  </si>
  <si>
    <t>Non-scheduled maint. parts/repairs</t>
  </si>
  <si>
    <t>$460,000x(178MW/140MW)^.6x75% labor factor</t>
  </si>
  <si>
    <t>White Boards</t>
  </si>
  <si>
    <t>FAX machine</t>
  </si>
  <si>
    <t>Misc Supplies</t>
  </si>
  <si>
    <t>GE-Frame 6B</t>
  </si>
  <si>
    <t>FUEL NOZZLES</t>
  </si>
  <si>
    <t>CROSSFIRE TUBES</t>
  </si>
  <si>
    <t>COMBUSTION LINERS</t>
  </si>
  <si>
    <t>TRANSITION PIECES</t>
  </si>
  <si>
    <t>1ST STAGE BUCKETS</t>
  </si>
  <si>
    <t>2ND STAGE BUCKETS</t>
  </si>
  <si>
    <t>3RD STAGE BUCKETS</t>
  </si>
  <si>
    <t>1ST STAGE SHROUDS</t>
  </si>
  <si>
    <t>2ND STAGE SHROUDS</t>
  </si>
  <si>
    <t>3RD STAGE SHROUDS</t>
  </si>
  <si>
    <t>1ST STAGE NOZZLES</t>
  </si>
  <si>
    <t>2ND STAGE NOZZLES</t>
  </si>
  <si>
    <t>3RD STAGE NOZZLES</t>
  </si>
  <si>
    <t>COMB. CONSUMABLES</t>
  </si>
  <si>
    <t>HGP CONSUMABLES</t>
  </si>
  <si>
    <t>MAJOR CONSUMABLES</t>
  </si>
  <si>
    <t>GEN CONSUMABLES</t>
  </si>
  <si>
    <t>GE 6B</t>
  </si>
  <si>
    <t>pens, paper, staplers, envelopes, etc.</t>
  </si>
  <si>
    <t>Phones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</si>
  <si>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</si>
  <si>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</si>
  <si>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</si>
  <si>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</si>
  <si>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Operator Overhead Charge (G&amp;A)</t>
  </si>
  <si>
    <t>Expenses during Commercial Operation:</t>
  </si>
  <si>
    <t>Annual</t>
  </si>
  <si>
    <t>Year 1</t>
  </si>
  <si>
    <t>Years 4+</t>
  </si>
  <si>
    <t>Avg. (20 yrs)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</si>
  <si>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</si>
  <si>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</si>
  <si>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</si>
  <si>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</si>
  <si>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</si>
  <si>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GT Scheduled Major Maintenance Program</t>
  </si>
  <si>
    <t xml:space="preserve">   20 yr total   </t>
  </si>
  <si>
    <t xml:space="preserve">Annual Avg.  </t>
  </si>
  <si>
    <t>Housing Colony Operating Expenses</t>
  </si>
  <si>
    <t>Commercial Office Expenses</t>
  </si>
  <si>
    <t>OM&amp;A Annual Fee (incl. Commercial Office)</t>
  </si>
  <si>
    <t>* - variable with power generated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</si>
  <si>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</si>
  <si>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</si>
  <si>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</si>
  <si>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</si>
  <si>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</si>
  <si>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</si>
  <si>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</si>
  <si>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</si>
  <si>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</si>
  <si>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</si>
  <si>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</si>
  <si>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</si>
  <si>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</si>
  <si>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</si>
  <si>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</si>
  <si>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</si>
  <si>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</si>
  <si>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>Pipeline Quality Natural Gas</t>
  </si>
  <si>
    <t>Vehicles &amp; Mobile Equipment (excluding switch engine)</t>
  </si>
  <si>
    <t>Warehouse Furnishings &amp; Equipment</t>
  </si>
  <si>
    <t>Laboratory Equipment</t>
  </si>
  <si>
    <t>Shop Tools &amp; Equipment</t>
  </si>
  <si>
    <t>Chemicals, Lubricants, Hydraulic Fluids</t>
  </si>
  <si>
    <t>Pricing provided by fax sent by Stacie Carter on 5/15/00.</t>
  </si>
  <si>
    <t>HR/Home office support</t>
  </si>
  <si>
    <t>2 trips x $1M/trip + $150/day x 10days</t>
  </si>
  <si>
    <t>Advertisements</t>
  </si>
  <si>
    <t>Screening Tests</t>
  </si>
  <si>
    <t>$200/employee</t>
  </si>
  <si>
    <t>Misc expenses</t>
  </si>
  <si>
    <t>reproduction, postage, etc</t>
  </si>
  <si>
    <t>Plant Mgr</t>
  </si>
  <si>
    <t>Assumed 25% of base pay to cover goods, house hunt, lump sum</t>
  </si>
  <si>
    <t>Technician III (assume 1 needed)</t>
  </si>
  <si>
    <t>cover HHG shipment</t>
  </si>
  <si>
    <t>Technician II (assume 1 needed)</t>
  </si>
  <si>
    <t>Rest of staff assumed obtained locally</t>
  </si>
  <si>
    <t>contract</t>
  </si>
  <si>
    <t>Covered in Fee</t>
  </si>
  <si>
    <t>2 trips x $1M/trip + 8 days perdiem x $150/day</t>
  </si>
  <si>
    <t>Management</t>
  </si>
  <si>
    <t>15 days x $60/hr x 8hrs/day</t>
  </si>
  <si>
    <t>Buyer support from other OEC projects</t>
  </si>
  <si>
    <t>$40/hr x 500 manhrs</t>
  </si>
  <si>
    <t>Uniform services</t>
  </si>
  <si>
    <t>Postage &amp; Freight</t>
  </si>
  <si>
    <t>$100/month x 6 months</t>
  </si>
  <si>
    <t>$500/month x 5 months</t>
  </si>
  <si>
    <t>Vehicle fuel and maint</t>
  </si>
  <si>
    <t>1 vehicles x 5 months x 1000miles/month x $1.5/14 miles + $500</t>
  </si>
  <si>
    <t>5 months x $500/month</t>
  </si>
  <si>
    <t xml:space="preserve">Phone Service </t>
  </si>
  <si>
    <t>5 months x $500/month (excludes cellular service)</t>
  </si>
  <si>
    <t xml:space="preserve">2ea. x 6 months x $300/month </t>
  </si>
  <si>
    <t>cellular activation fee: 2 ea. $100</t>
  </si>
  <si>
    <t>1x2monthsx$1000/month (if available)</t>
  </si>
  <si>
    <t>2x2monthsx$200/month</t>
  </si>
  <si>
    <t>Assume admin facilties complete COD minus 5 months</t>
  </si>
  <si>
    <t>5P&amp;IDsx 2 mandays each x $400/day</t>
  </si>
  <si>
    <t>Owner's Scope of Supply</t>
  </si>
  <si>
    <t>1ea.x$350/dayx30days (includes benefits)</t>
  </si>
  <si>
    <t>1ea.x$125/dayx30days</t>
  </si>
  <si>
    <t>1ea.x$1000 tripx1trips (coach class)</t>
  </si>
  <si>
    <t>4ea @ $800/set</t>
  </si>
  <si>
    <t>10ea @ $150</t>
  </si>
  <si>
    <t>10ea @ $75</t>
  </si>
  <si>
    <t>4ea @ $200</t>
  </si>
  <si>
    <t>1ea @ $150 + $1500</t>
  </si>
  <si>
    <t>1ea @ $150</t>
  </si>
  <si>
    <t>6ea @ $75</t>
  </si>
  <si>
    <t>1 ea @ $300</t>
  </si>
  <si>
    <t>1 ea. @ $150</t>
  </si>
  <si>
    <t>1 ea @ $750</t>
  </si>
  <si>
    <t>Lunch Room - Misc</t>
  </si>
  <si>
    <t>5ea @ $3000</t>
  </si>
  <si>
    <t>5ea @ $500</t>
  </si>
  <si>
    <t>$10M License + $10M installation/training</t>
  </si>
  <si>
    <t>1 PC's ($2500), printer</t>
  </si>
  <si>
    <t>1ea @ $250</t>
  </si>
  <si>
    <t>LAN $2M + Installation $1,000</t>
  </si>
  <si>
    <t>Projectors (overhead)</t>
  </si>
  <si>
    <t>1ea @ $400</t>
  </si>
  <si>
    <t>5ea @ $80</t>
  </si>
  <si>
    <t>2ea @ $400</t>
  </si>
  <si>
    <t>Office Misc, pictures, plants, rugs, boards</t>
  </si>
  <si>
    <t>10ea. @ $120</t>
  </si>
  <si>
    <t>1ea leased $2000 down &amp; lease</t>
  </si>
  <si>
    <t>700/mnth</t>
  </si>
  <si>
    <t>1ea leased $1000 down &amp; lease</t>
  </si>
  <si>
    <t>500/mnth</t>
  </si>
  <si>
    <t>1ea. extinguisher cart</t>
  </si>
  <si>
    <t>Maintenance cart</t>
  </si>
  <si>
    <t>Plant Manager - 2 months prior to site mob</t>
  </si>
  <si>
    <t>$150/dayperdiem x 60 days</t>
  </si>
  <si>
    <t>Basic Plant Training (All O&amp;M Personnel) (1sessions)</t>
  </si>
  <si>
    <t>New Employee Orientation (1 day) *</t>
  </si>
  <si>
    <t>Plant Safety/Environmental/Firefighting (3 days) *</t>
  </si>
  <si>
    <t>Power Plant Basic O&amp;M (2 days)</t>
  </si>
  <si>
    <t>Introduction to Plant Systems (3 days)</t>
  </si>
  <si>
    <t>Major Systems Training (All O&amp;M Personnel) (1 sessions)</t>
  </si>
  <si>
    <r>
      <t>GT&amp;G Operation &amp; Familiarization (equip vendor)</t>
    </r>
    <r>
      <rPr>
        <vertAlign val="superscript"/>
        <sz val="10"/>
        <rFont val="Arial"/>
        <family val="2"/>
      </rPr>
      <t>3</t>
    </r>
  </si>
  <si>
    <t>Boiler Familiarization &amp; Operation (general vendor)</t>
  </si>
  <si>
    <t>GTG controls (equip vendor)</t>
  </si>
  <si>
    <t>Boiler controls (general vendor)</t>
  </si>
  <si>
    <t>Boiler Maintenance (general vendor)</t>
  </si>
  <si>
    <t>Mark VI</t>
  </si>
  <si>
    <t xml:space="preserve">Instructor Per diem: # class weeks x 7d/wk x $150/day (1 instructor/class week)  </t>
  </si>
  <si>
    <t>Travel: 7 (3 Basic, 4 Vendor) instructors x $1M/trip</t>
  </si>
  <si>
    <t>On site Training Coordinator/Instructor (4 wks x $2600/wk incl per diem + $1M travel) *</t>
  </si>
  <si>
    <t>Equip. Vendor Training - $20M/wk</t>
  </si>
  <si>
    <t>Basic Plant Training (developed in-house) - $6M/wk</t>
  </si>
  <si>
    <t>Total Mobilization Procurement Expenses</t>
  </si>
  <si>
    <t>Commercial Office Mobilization</t>
  </si>
  <si>
    <t>OM&amp;A Mobilization Fee (incl. Commercial Office)</t>
  </si>
  <si>
    <t>Staff Mobilization Schedule</t>
  </si>
  <si>
    <t>Recruiting/Procedures ----&gt;</t>
  </si>
  <si>
    <t>Commissioning/Startup --------&gt;</t>
  </si>
  <si>
    <t>FACILITY NEEDS</t>
  </si>
  <si>
    <t>of</t>
  </si>
  <si>
    <t>Salary</t>
  </si>
  <si>
    <t>Benefits</t>
  </si>
  <si>
    <t>Local</t>
  </si>
  <si>
    <t>M</t>
  </si>
  <si>
    <t>Class</t>
  </si>
  <si>
    <t>Weeks</t>
  </si>
  <si>
    <t xml:space="preserve"> Weeks</t>
  </si>
  <si>
    <t>$M</t>
  </si>
  <si>
    <t>O&amp;M Mobilization BudgetProcurement ExpensesVehicles &amp; Mobile Equipment Title</t>
  </si>
  <si>
    <t>Cars 4 WD w AC</t>
  </si>
  <si>
    <t>$26M</t>
  </si>
  <si>
    <t>1/2 ton Pickup Trucks</t>
  </si>
  <si>
    <t>2 1/2 ton flat bed truck w winch</t>
  </si>
  <si>
    <t>$32M</t>
  </si>
  <si>
    <t>6 ton Forklift (outside)</t>
  </si>
  <si>
    <t>$38M</t>
  </si>
  <si>
    <t>3 ton Forklift (warehouse)</t>
  </si>
  <si>
    <t>12 passenger Van w/o AC</t>
  </si>
  <si>
    <t>$24M</t>
  </si>
  <si>
    <t>18 passenger Van w/o AC</t>
  </si>
  <si>
    <t>$30M</t>
  </si>
  <si>
    <t>Firefighting equipment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</si>
  <si>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</si>
  <si>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</si>
  <si>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</si>
  <si>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</si>
  <si>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</si>
  <si>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</si>
  <si>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</si>
  <si>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</si>
  <si>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</si>
  <si>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</si>
  <si>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</si>
  <si>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</si>
  <si>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</si>
  <si>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$300M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</si>
  <si>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</si>
  <si>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</si>
  <si>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</si>
  <si>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</si>
  <si>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</si>
  <si>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</si>
  <si>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</si>
  <si>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</si>
  <si>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</si>
  <si>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</si>
  <si>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</si>
  <si>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</si>
  <si>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</si>
  <si>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</si>
  <si>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</si>
  <si>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</si>
  <si>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</si>
  <si>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</si>
  <si>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Training/Early Commissioning-------&gt;</t>
  </si>
  <si>
    <t>Administration Manager</t>
  </si>
  <si>
    <t>Warehouse Supervisor</t>
  </si>
  <si>
    <t>Months Prior to COD</t>
  </si>
  <si>
    <t>Administration Facilities</t>
  </si>
  <si>
    <t>Office Equipment</t>
  </si>
  <si>
    <t>Warehouse Equipment/Shop</t>
  </si>
  <si>
    <t>Vehicles</t>
  </si>
  <si>
    <t>Training Facilities</t>
  </si>
  <si>
    <t>Tools &amp; Equipment</t>
  </si>
  <si>
    <t>Plant Engineer</t>
  </si>
  <si>
    <t>Controller</t>
  </si>
  <si>
    <t>Accountant</t>
  </si>
  <si>
    <t>Control Room Operators</t>
  </si>
  <si>
    <t>Fuel Storage/Handling Operators</t>
  </si>
  <si>
    <t>Maintenance Manager</t>
  </si>
  <si>
    <t>I&amp;C Engineer</t>
  </si>
  <si>
    <t>I&amp;C Technician</t>
  </si>
  <si>
    <t>Electrical Technician</t>
  </si>
  <si>
    <t>Administration Staff</t>
  </si>
  <si>
    <t>Operations Staff</t>
  </si>
  <si>
    <t>Maintenance Staff</t>
  </si>
  <si>
    <t>at 15%</t>
  </si>
  <si>
    <t>Total Cost (USD)</t>
  </si>
  <si>
    <t>Local Cost %</t>
  </si>
  <si>
    <t>See Comm Office Mob detail sheet</t>
  </si>
  <si>
    <t>Basis: Eval Team Consensus</t>
  </si>
  <si>
    <t>Basis: Jonathan Ago estimate</t>
  </si>
  <si>
    <t xml:space="preserve">Chemicals @ Plant Load Factor (PLF) </t>
  </si>
  <si>
    <t>h</t>
  </si>
  <si>
    <t>m</t>
  </si>
  <si>
    <t xml:space="preserve"> </t>
  </si>
  <si>
    <t>Plant is assumed to be staffed year round.</t>
  </si>
  <si>
    <t>Labor cost is based regional OEC salary &amp; benefit accuals.</t>
  </si>
  <si>
    <t>All costs are based in US Dollars.</t>
  </si>
  <si>
    <t>Tech III</t>
  </si>
  <si>
    <t>Tech II</t>
  </si>
  <si>
    <t>GE 7FA</t>
  </si>
  <si>
    <t>Total Labor for Year 1</t>
  </si>
  <si>
    <t>Total Labor for Year 2</t>
  </si>
  <si>
    <t>Total Labor for Year 3</t>
  </si>
  <si>
    <t>Total Labor for Year 4</t>
  </si>
  <si>
    <t>Plant Configuration Lookup Table</t>
  </si>
  <si>
    <t>Plant Configuration</t>
  </si>
  <si>
    <t>Plant Labor (Number of personnel)</t>
  </si>
  <si>
    <t>Assumes United States location and gas fuel</t>
  </si>
  <si>
    <t>Environmental Expense (inc. permit fees)</t>
  </si>
  <si>
    <t>Phone service</t>
  </si>
  <si>
    <t>Taxes/freight</t>
  </si>
  <si>
    <t xml:space="preserve">(Use 10% of O&amp;M costs managed) </t>
  </si>
  <si>
    <t>on country type (10%, 15%, 20%)</t>
  </si>
  <si>
    <t>Operational Hours per year</t>
  </si>
  <si>
    <t>Project Expenses</t>
  </si>
  <si>
    <t>Major Equipment Maintenance (20 year total)</t>
  </si>
  <si>
    <t>Plant Configuration Lookup</t>
  </si>
  <si>
    <t>Operations &amp; Maintenance (Annual)</t>
  </si>
  <si>
    <t>Region Used for Labor Rates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</si>
  <si>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</si>
  <si>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</si>
  <si>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</si>
  <si>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</si>
  <si>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</si>
  <si>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</si>
  <si>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</si>
  <si>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</si>
  <si>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Incl. with Vendor PO</t>
  </si>
  <si>
    <t xml:space="preserve">    Operating (Initial) Spares for major equip.</t>
  </si>
  <si>
    <t xml:space="preserve">    Warehouse stock &amp; BOP spare parts</t>
  </si>
  <si>
    <t>Installed Cranes</t>
  </si>
  <si>
    <t>Bonus (%)</t>
  </si>
  <si>
    <t>Payroll Tax Burdens</t>
  </si>
  <si>
    <t>Workers Compensation Ins.</t>
  </si>
  <si>
    <t>Overhead Allocation</t>
  </si>
  <si>
    <t>Group Insurance Premium</t>
  </si>
  <si>
    <t>General Liability</t>
  </si>
  <si>
    <t>Pension</t>
  </si>
  <si>
    <t>ESOP</t>
  </si>
  <si>
    <t>Miscellaneous (chillers)</t>
  </si>
  <si>
    <t>Fuel Facility (Gas Compression)</t>
  </si>
  <si>
    <t>Parts wiscount</t>
  </si>
  <si>
    <t>Baskets</t>
  </si>
  <si>
    <t>Transition Seals</t>
  </si>
  <si>
    <t>Clamshells</t>
  </si>
  <si>
    <t>Row 1 Blades</t>
  </si>
  <si>
    <t>Row 2 Blades</t>
  </si>
  <si>
    <t>Row 3 Blades</t>
  </si>
  <si>
    <t>Row 4 Blades</t>
  </si>
  <si>
    <t xml:space="preserve">Row 1 Vanes </t>
  </si>
  <si>
    <t>Row 2 Vanes</t>
  </si>
  <si>
    <t>Row 3 Vanes</t>
  </si>
  <si>
    <t>Row 4 Vanes</t>
  </si>
  <si>
    <t>Row 1 ring segments</t>
  </si>
  <si>
    <t>Row 2 ring segments</t>
  </si>
  <si>
    <t>Row 3 rings segments</t>
  </si>
  <si>
    <t>Row 4 rings segments</t>
  </si>
  <si>
    <t>Comp Rotor Blades</t>
  </si>
  <si>
    <t>Comp Diaphragms</t>
  </si>
  <si>
    <t>Gas Fired Operation</t>
  </si>
  <si>
    <t>Project Life</t>
  </si>
  <si>
    <t>Years</t>
  </si>
  <si>
    <t>Lease Club Membership Fees Not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</si>
  <si>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</si>
  <si>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</si>
  <si>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</si>
  <si>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</si>
  <si>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</si>
  <si>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</si>
  <si>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</si>
  <si>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</si>
  <si>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</si>
  <si>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</si>
  <si>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</si>
  <si>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50,000 hour engine refurbishment assumes assumes 12 week usage of lease engine</t>
  </si>
  <si>
    <t>Preventative Maintenance</t>
  </si>
  <si>
    <t>per year</t>
  </si>
  <si>
    <t>Semi-Annual Preventative Maintenance</t>
  </si>
  <si>
    <t>Hot Section Refurbishment / 24,000 hrs</t>
  </si>
  <si>
    <t>per GT</t>
  </si>
  <si>
    <t>(rotable exchange)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</si>
  <si>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</si>
  <si>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</si>
  <si>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</si>
  <si>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</si>
  <si>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</si>
  <si>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</si>
  <si>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</si>
  <si>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</si>
  <si>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Hours (EOY)</t>
  </si>
  <si>
    <t>Maint Inspection (C, H or M)</t>
  </si>
  <si>
    <t>Comb., Hot Sec &amp; Major Maint. Cost</t>
  </si>
  <si>
    <t>Preventative Miantenance</t>
  </si>
  <si>
    <t>Lease Program</t>
  </si>
  <si>
    <t>Lease Engine Usage Fee</t>
  </si>
  <si>
    <t>Yearly Totals</t>
  </si>
  <si>
    <t>1. Hot Gas Path inspection conducted at 25,000 fired hour intervals and Major at 50,000 hour intervals.</t>
  </si>
  <si>
    <t>2. Pricing in 1999 USD and escalated by 3% to arrive at 2000 USD. Does not include escalation beyond that.</t>
  </si>
  <si>
    <t>3. Maintenance and lease costs from George Graham/Stewart &amp; Stevenson 12/10/99 e-mail.</t>
  </si>
  <si>
    <t>BASE LOAD CASE</t>
  </si>
  <si>
    <t>Lease Club Membership Fees Included</t>
  </si>
  <si>
    <t>48,000 hour engine refurbishment assumes assumes 12 week usage of lease engine</t>
  </si>
  <si>
    <t>(rotable exchnage)</t>
  </si>
  <si>
    <t>Maint Inspection (H or M)</t>
  </si>
  <si>
    <t>Hot Sec &amp; Major Maint.</t>
  </si>
  <si>
    <t>1. Hot Gas Path inspection conducted at 25,000 fired hour intervals.</t>
  </si>
  <si>
    <t>2. Major inspection conducted at 50,000 fired hour intervals.</t>
  </si>
  <si>
    <t>total cost (LM 6000)</t>
  </si>
  <si>
    <t>Required Initial Spares</t>
  </si>
  <si>
    <t xml:space="preserve">LM6000 recommended spares </t>
  </si>
  <si>
    <t>$899,329 engine spares + $100,000 package spares</t>
  </si>
  <si>
    <t>Each GE LM6000 to be equipment with 2000 tons inlet cooling</t>
  </si>
  <si>
    <t>Inlet Air Cooling</t>
  </si>
  <si>
    <t>Gas Compressors</t>
  </si>
  <si>
    <t>Chillers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</si>
  <si>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</si>
  <si>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</si>
  <si>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</si>
  <si>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</si>
  <si>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</si>
  <si>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</si>
  <si>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</si>
  <si>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</si>
  <si>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</si>
  <si>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</si>
  <si>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</si>
  <si>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</si>
  <si>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with Owner approval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</si>
  <si>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</si>
  <si>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</si>
  <si>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</si>
  <si>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</si>
  <si>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</si>
  <si>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</si>
  <si>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>if required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</si>
  <si>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</si>
  <si>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</si>
  <si>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</si>
  <si>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</si>
  <si>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 xml:space="preserve">    O&amp;M requirements (@ post Comm. Opns level)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</si>
  <si>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</si>
  <si>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</si>
  <si>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</si>
  <si>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</si>
  <si>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</si>
  <si>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</si>
  <si>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</si>
  <si>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</si>
  <si>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</si>
  <si>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>Drop Down Box</t>
  </si>
  <si>
    <t>Foreign</t>
  </si>
  <si>
    <t>No. of Months on Site</t>
  </si>
  <si>
    <t>AES Corp</t>
  </si>
  <si>
    <t>Dallas, TX</t>
  </si>
  <si>
    <t>2xGE 7FA with DLN combustor.</t>
  </si>
  <si>
    <t>2xCondensing Steam Turbine</t>
  </si>
  <si>
    <t>Raw water make-up provided by Muni</t>
  </si>
  <si>
    <t>Regional Salaries in U.S. Dollars</t>
  </si>
  <si>
    <t>Annual Base Salary per Employee</t>
  </si>
  <si>
    <t xml:space="preserve">Annual Base Wage to calculate benefits </t>
  </si>
  <si>
    <t>Uplift &amp; Danger Pay (%)</t>
  </si>
  <si>
    <t>Goods &amp; Services Uplift</t>
  </si>
  <si>
    <t>Lodging (House rent / Hotel)</t>
  </si>
  <si>
    <t>Dependent Schools</t>
  </si>
  <si>
    <t>Transportation for Employees</t>
  </si>
  <si>
    <t>Utility</t>
  </si>
  <si>
    <t xml:space="preserve">Food </t>
  </si>
  <si>
    <t>Laundry/Cleaning Service</t>
  </si>
  <si>
    <t>Travel from Base to Site (Roundtrip)</t>
  </si>
  <si>
    <t>Other Benefits</t>
  </si>
  <si>
    <t>Country Mandated Benefits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</si>
  <si>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</si>
  <si>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</si>
  <si>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</si>
  <si>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</si>
  <si>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</si>
  <si>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</si>
  <si>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</si>
  <si>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</si>
  <si>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</si>
  <si>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</si>
  <si>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</si>
  <si>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</si>
  <si>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</si>
  <si>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</si>
  <si>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</si>
  <si>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</si>
  <si>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</si>
  <si>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O&amp;M Mobilization BudgetOperating ExpensesManuals/Operating Procedures Title</t>
  </si>
  <si>
    <t>Manuals/Operating Procedures</t>
  </si>
  <si>
    <t>Administration</t>
  </si>
  <si>
    <t>5 mandays x $400/day</t>
  </si>
  <si>
    <t>Operations check lists</t>
  </si>
  <si>
    <t xml:space="preserve">Maintenance </t>
  </si>
  <si>
    <t>1/2 of Operating procedures</t>
  </si>
  <si>
    <t>Maintenance/CMMS (excluding data)</t>
  </si>
  <si>
    <t>5 mandays @$400/manday</t>
  </si>
  <si>
    <t>Warehouse/Inventory</t>
  </si>
  <si>
    <t>Emergency Plans</t>
  </si>
  <si>
    <t>40 mandays @$400/manday</t>
  </si>
  <si>
    <t>Safety and Health</t>
  </si>
  <si>
    <t>Environmental Compliance</t>
  </si>
  <si>
    <t>20 mandays @$400/manday</t>
  </si>
  <si>
    <t>Utility dispatch</t>
  </si>
  <si>
    <t>10 mandays @$400/manday</t>
  </si>
  <si>
    <t>Government Reporting</t>
  </si>
  <si>
    <t>Owner Reports</t>
  </si>
  <si>
    <t>Houston Reports</t>
  </si>
  <si>
    <t>Reproduction/Printing</t>
  </si>
  <si>
    <t>Freight</t>
  </si>
  <si>
    <t>5% of Reproduction cost</t>
  </si>
  <si>
    <t>O&amp;M Mobilization BudgetOperating ExpensesManuals/Operating Procedures Total</t>
  </si>
  <si>
    <t>GT MW @ ISO</t>
  </si>
  <si>
    <t>simple</t>
  </si>
  <si>
    <t>combined</t>
  </si>
  <si>
    <t>Gas Turbines</t>
  </si>
  <si>
    <t>Quantity</t>
  </si>
  <si>
    <t>Cycle</t>
  </si>
  <si>
    <t>Road repairs</t>
  </si>
  <si>
    <t>(Same as ClearLk/TxCity Avg Actuals x 75% labor factor)</t>
  </si>
  <si>
    <t>1 trip x $6M/trip + 7 days perdiems x $25/day (guest house)</t>
  </si>
  <si>
    <t>Outside services Contract labor</t>
  </si>
  <si>
    <t>Equipment Rentals</t>
  </si>
  <si>
    <t>Other Rents</t>
  </si>
  <si>
    <t>Supplies</t>
  </si>
  <si>
    <t>Office Supplies &amp; Expenses</t>
  </si>
  <si>
    <t>Outside Services Contract Labor</t>
  </si>
  <si>
    <t>80 manhrs x $125/hr</t>
  </si>
  <si>
    <t>160 manhrs x $75/hr + 1 trip x $6M/trip + 14 days perdiem x $25/day</t>
  </si>
  <si>
    <t>Office Equipment Maint.</t>
  </si>
  <si>
    <t>80 manhrs x $75/hr</t>
  </si>
  <si>
    <t>80 manhrs x $75/hr + 2 trips x $3M/trip + 14 days perdiem x $25/day</t>
  </si>
  <si>
    <t>Regulatory</t>
  </si>
  <si>
    <t>Garbage &amp; Trash</t>
  </si>
  <si>
    <t>Office Equipment Rental</t>
  </si>
  <si>
    <t>$200/month</t>
  </si>
  <si>
    <t>Radio parts/repair</t>
  </si>
  <si>
    <t>50% of Subic</t>
  </si>
  <si>
    <t>PC Hardware (purchase)</t>
  </si>
  <si>
    <t>Same as Subic for items &lt; $1000, otherwise in Sus. Capital</t>
  </si>
  <si>
    <t>PC Software</t>
  </si>
  <si>
    <t>4 licenses x $500 ea.</t>
  </si>
  <si>
    <t>PC Hardware Rental/Lease</t>
  </si>
  <si>
    <t>PC Maintenance</t>
  </si>
  <si>
    <t>33% Subic</t>
  </si>
  <si>
    <t>Postage &amp; Freight Expenses</t>
  </si>
  <si>
    <t>Utilities (office water, power, gas)</t>
  </si>
  <si>
    <t>Assumed in Plant's House Load</t>
  </si>
  <si>
    <t>Public relations/Contributions</t>
  </si>
  <si>
    <t>(covered in Commercial office)</t>
  </si>
  <si>
    <t>Boat maintenance/repair</t>
  </si>
  <si>
    <t>Vehicle maintenance/repair</t>
  </si>
  <si>
    <t>$500/vehicle/year</t>
  </si>
  <si>
    <t>Vehicle fuel</t>
  </si>
  <si>
    <t>see detail below</t>
  </si>
  <si>
    <t>Boat fuel</t>
  </si>
  <si>
    <t>Basis: Subic 1996 Budget &amp; Rino Manzano ccMail dtd 8/8/96</t>
  </si>
  <si>
    <t>12x$4M/month</t>
  </si>
  <si>
    <t>Cellular phone service</t>
  </si>
  <si>
    <t>5 phones x $300/month</t>
  </si>
  <si>
    <t>VSAT</t>
  </si>
  <si>
    <t>none assumed for this project</t>
  </si>
  <si>
    <t>Basis: Hainan Plant actuals (Overseas experience)</t>
  </si>
  <si>
    <t>Operating Insurance</t>
  </si>
  <si>
    <t>Estimated by Risk Management</t>
  </si>
  <si>
    <t>It will add incrementally to the Enron Pool of insured assets</t>
  </si>
  <si>
    <t>Control Room/Laboratory Expenses</t>
  </si>
  <si>
    <t>75% of US CCPP costs</t>
  </si>
  <si>
    <t>Reagents &amp; Supplies</t>
  </si>
  <si>
    <t>Rental Equipment</t>
  </si>
  <si>
    <t>Analyzer Repairs</t>
  </si>
  <si>
    <t>Contract Labor/Temporaries</t>
  </si>
  <si>
    <t>5% of 75% of total</t>
  </si>
  <si>
    <t>Basis: 11 years of Actuals from Tx City/Clear Lake Plants</t>
  </si>
  <si>
    <t>Operations Support (Year 1 Only)</t>
  </si>
  <si>
    <t>2ea.x$350/dayx180days (includes benefits)</t>
  </si>
  <si>
    <t>Use 10% of O&amp;M costs managed</t>
  </si>
  <si>
    <t>East Java (500 MW)(GE quote)     $2.00/MW</t>
  </si>
  <si>
    <t>including Comm. Office and GT</t>
  </si>
  <si>
    <t>Multan (800 MW)                           $2.50/MW</t>
  </si>
  <si>
    <t>Hainan (150 MW)                           $4.40/MW</t>
  </si>
  <si>
    <t xml:space="preserve">Guam (88 MW)                               $6.81/MW   </t>
  </si>
  <si>
    <t>Tapal (Wartsila) (126 MW)   $1.90/MW (18 mo.)</t>
  </si>
  <si>
    <t>Major Equipment Maintenance Program (20 year total)</t>
  </si>
  <si>
    <t>1.0 x Labor &amp; Engineering</t>
  </si>
  <si>
    <t>1.0 x Repairs</t>
  </si>
  <si>
    <t>1.0 x (New parts)</t>
  </si>
  <si>
    <t>Administrative/Technical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</si>
  <si>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</si>
  <si>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</si>
  <si>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</si>
  <si>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</si>
  <si>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</si>
  <si>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</si>
  <si>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</si>
  <si>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</si>
  <si>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</si>
  <si>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</si>
  <si>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</si>
  <si>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</si>
  <si>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</si>
  <si>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Commercial Office Mobilization Expenses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</si>
  <si>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</si>
  <si>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</si>
  <si>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</si>
  <si>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</si>
  <si>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</si>
  <si>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</si>
  <si>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</si>
  <si>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</si>
  <si>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</si>
  <si>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</si>
  <si>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</si>
  <si>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</si>
  <si>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</si>
  <si>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</si>
  <si>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</si>
  <si>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</si>
  <si>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</si>
  <si>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Annual Overtime %</t>
  </si>
  <si>
    <t>* Turbine spare parts will be purchased based on competitive bids as part of and prior to Turbine vendors selection;</t>
  </si>
  <si>
    <t xml:space="preserve">   actual parts purchased will be approved by Owner.</t>
  </si>
  <si>
    <t>TOTAL</t>
  </si>
  <si>
    <t>O&amp;M Mobilization Fee</t>
  </si>
  <si>
    <t>Assumptions: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</si>
  <si>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</si>
  <si>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</si>
  <si>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</si>
  <si>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</si>
  <si>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</si>
  <si>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</si>
  <si>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</si>
  <si>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</si>
  <si>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</si>
  <si>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</si>
  <si>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W501D5</t>
  </si>
  <si>
    <t xml:space="preserve"> GE LM6000</t>
  </si>
  <si>
    <t xml:space="preserve">SCR Ammonia </t>
  </si>
  <si>
    <t>401K</t>
  </si>
  <si>
    <t>Standard Enron Benefits on Base (%)</t>
  </si>
  <si>
    <t>Standard Enron Benefits on Overtime (%)</t>
  </si>
  <si>
    <t>Total Enron Benefits on Base (%)</t>
  </si>
  <si>
    <t>Expatriate Benefits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</si>
  <si>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</si>
  <si>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</si>
  <si>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</si>
  <si>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</si>
  <si>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</si>
  <si>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</si>
  <si>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</si>
  <si>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            $/Mwh @PLF</t>
  </si>
  <si>
    <t xml:space="preserve">            $/Mwh @ PLF</t>
  </si>
  <si>
    <t>Chemicals at PLF</t>
  </si>
  <si>
    <t>Sustaining Project Expenses</t>
  </si>
  <si>
    <t>OM&amp;A Annual Fee</t>
  </si>
  <si>
    <t>Family (Spouse + two)</t>
  </si>
  <si>
    <t>Operations Manager</t>
  </si>
  <si>
    <t>Plant Manager</t>
  </si>
  <si>
    <t>from Phillipines</t>
  </si>
  <si>
    <t>from USA</t>
  </si>
  <si>
    <t>from UK</t>
  </si>
  <si>
    <t>Bonus</t>
  </si>
  <si>
    <t>5% of Base</t>
  </si>
  <si>
    <t>8% of Base</t>
  </si>
  <si>
    <t>Foreign Service Premium</t>
  </si>
  <si>
    <t>15% of Base</t>
  </si>
  <si>
    <t>45% of Base</t>
  </si>
  <si>
    <t>40% of Base</t>
  </si>
  <si>
    <t>Tax Protection/Equalization</t>
  </si>
  <si>
    <t>188 % of Base</t>
  </si>
  <si>
    <t>185 % of Base</t>
  </si>
  <si>
    <t>55 % of Base</t>
  </si>
  <si>
    <t>C&amp;S Allowance</t>
  </si>
  <si>
    <r>
      <t>Housing &amp; Utilities</t>
    </r>
    <r>
      <rPr>
        <b/>
        <vertAlign val="superscript"/>
        <sz val="10"/>
        <rFont val="Arial"/>
        <family val="2"/>
      </rPr>
      <t>2</t>
    </r>
  </si>
  <si>
    <t>Educational Assistance</t>
  </si>
  <si>
    <t>Home Leave</t>
  </si>
  <si>
    <t>R&amp;R Leave</t>
  </si>
  <si>
    <t>$3,900 x 4 = $15,600</t>
  </si>
  <si>
    <r>
      <t>Relocation Expenses</t>
    </r>
    <r>
      <rPr>
        <b/>
        <vertAlign val="superscript"/>
        <sz val="10"/>
        <rFont val="Arial"/>
        <family val="2"/>
      </rPr>
      <t>1</t>
    </r>
  </si>
  <si>
    <t>Foreign Duty Allowance</t>
  </si>
  <si>
    <t xml:space="preserve">                Total</t>
  </si>
  <si>
    <t>191% of Base +  $34,018</t>
  </si>
  <si>
    <t>235% of Base +  $115,800</t>
  </si>
  <si>
    <t>103% of Base +  $130,333</t>
  </si>
  <si>
    <t>Benefits Loading Factor (of Base)</t>
  </si>
  <si>
    <t>Without Housing Colony</t>
  </si>
  <si>
    <t>With Housing Colony</t>
  </si>
  <si>
    <t>Source:  Enron HR</t>
  </si>
  <si>
    <t>20 YEAR</t>
  </si>
  <si>
    <t>FOM ($/kW-yr)</t>
  </si>
  <si>
    <t>VOM ($/mWh)</t>
  </si>
  <si>
    <t>these in red need to be replaced. Awaiting update from HR</t>
  </si>
  <si>
    <t>1/ Relocation expenses is an annual average over a 3 yr period.</t>
  </si>
  <si>
    <t>2/ Housing and Utilities assumed to be paid for the plant manager, but required for the commercial manager, if an Expat.</t>
  </si>
  <si>
    <t>Expats:  Salaries &amp; Benefits</t>
  </si>
  <si>
    <t>Local:    Salaries &amp; Benefits</t>
  </si>
  <si>
    <t>Basis: HR data</t>
  </si>
  <si>
    <t>Travel Expenses/Overtime Meals</t>
  </si>
  <si>
    <t>Conferences/Training</t>
  </si>
  <si>
    <t>Employees Expense</t>
  </si>
  <si>
    <t>Interviews/Relocations</t>
  </si>
  <si>
    <t>Professional Dues</t>
  </si>
  <si>
    <t>same as Subic</t>
  </si>
  <si>
    <t>Entertainment Expense</t>
  </si>
  <si>
    <t>Daily Meal Allowance</t>
  </si>
  <si>
    <t>$2/day/employee x 235 days x # staff</t>
  </si>
  <si>
    <t xml:space="preserve">Basis: Subic 1996 Budget </t>
  </si>
  <si>
    <t>Permanent Contract Labor</t>
  </si>
  <si>
    <t>Contract Labor</t>
  </si>
  <si>
    <t>see Contract Labor page</t>
  </si>
  <si>
    <t>Basis:</t>
  </si>
  <si>
    <t>Environmental Expense (including permit fees)</t>
  </si>
  <si>
    <t>Training/Awards</t>
  </si>
  <si>
    <t>Scaled on Ilijan (500/1200) x $11,700</t>
  </si>
  <si>
    <t>Condensing</t>
  </si>
  <si>
    <t>USA</t>
  </si>
  <si>
    <t>Scaled on Ilijan (500/1200) x $38,500</t>
  </si>
  <si>
    <t>Materials &amp; Supplies</t>
  </si>
  <si>
    <t>Other Outside Services (RATA)</t>
  </si>
  <si>
    <t>Scaled on Ilijan (500/1200) x $13,650</t>
  </si>
  <si>
    <t>Technical/Professional Services</t>
  </si>
  <si>
    <t>1 trip x $3M/trip + 7 days perdiem x $25/day (guesthouse)</t>
  </si>
  <si>
    <t>80 manhrs x $75/hr (audit)</t>
  </si>
  <si>
    <t>Other Outside Services</t>
  </si>
  <si>
    <t>Stack Testing/Modeling - Scaled on Ilijan $14,000 x 500/1200</t>
  </si>
  <si>
    <t>Non-Hazardous Waste Handling</t>
  </si>
  <si>
    <t>Other</t>
  </si>
  <si>
    <t>Basis: Memo from Bal Wong dtd 7/29/96</t>
  </si>
  <si>
    <t>Safety Expense</t>
  </si>
  <si>
    <t>38,500x500/1200 (scaled from Ilijan)</t>
  </si>
  <si>
    <t>Company Membership &amp; Dues</t>
  </si>
  <si>
    <t>Routine Safety Supplies</t>
  </si>
  <si>
    <t>Safety Equipment Rentals</t>
  </si>
  <si>
    <t>O&amp;M Mobilization BudgetOperating ExpensesMiscellaneous Office Expenses Total</t>
  </si>
  <si>
    <t>Scheduled Maint.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</si>
  <si>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</si>
  <si>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</si>
  <si>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</si>
  <si>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</si>
  <si>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</si>
  <si>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</si>
  <si>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</si>
  <si>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</si>
  <si>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</si>
  <si>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</si>
  <si>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</si>
  <si>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</si>
  <si>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</si>
  <si>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Total Plant O&amp;M Expenses (incl. GT Scheduled Maint.)</t>
  </si>
  <si>
    <t>Total O&amp;M Expenses (excl. GT Scheduled Maint.)</t>
  </si>
  <si>
    <t xml:space="preserve">Total Plant O&amp;M Expenses (incl. GT Scheduled Maint.) </t>
  </si>
  <si>
    <t>Total O&amp;M Expenses (excl. GT Scheduled Maint. Program)</t>
  </si>
  <si>
    <t>this includes annualized cost for Major Maint Program</t>
  </si>
  <si>
    <t>This is an ANNUALIZED FIGURE for ST MMR planning</t>
  </si>
  <si>
    <t>Auxiliary Parts</t>
  </si>
  <si>
    <t>1% of 75% of total</t>
  </si>
  <si>
    <t>Basis: 7 yrs of TX City Plant actuals on 140MW steam turbine including Schedule Maint.</t>
  </si>
  <si>
    <t>Water Supply Pipeline and Booster Station</t>
  </si>
  <si>
    <t>1.5% of TIC ($6,000,000)</t>
  </si>
  <si>
    <t>ROW maint., pigging, pump repair, cathodic protection</t>
  </si>
  <si>
    <t>61 kms of 16" cast iron pipe</t>
  </si>
  <si>
    <t>Deleted from scope</t>
  </si>
  <si>
    <t>Fuel Facility</t>
  </si>
  <si>
    <t>Misc. repairs (yearly average)</t>
  </si>
  <si>
    <t>plus Dredging cost ($200M every 2 years)</t>
  </si>
  <si>
    <t>Deleted from Scope</t>
  </si>
  <si>
    <t>Miscellaneous Maintenance Expense</t>
  </si>
  <si>
    <t>Warehouse Supplies</t>
  </si>
  <si>
    <t>Scaled on plant MW</t>
  </si>
  <si>
    <t>Vehicle Fuel/Gasoline</t>
  </si>
  <si>
    <t>scaled: $416,000 x (500MW/414MW)^0.6 x 75% labor factor</t>
  </si>
  <si>
    <t>Vehicle Repairs &amp; Maintenance</t>
  </si>
  <si>
    <t>Vehicle Lease</t>
  </si>
  <si>
    <t>Equipment rent/lease</t>
  </si>
  <si>
    <t>Lubricants/Turbine Oil/Grease/Compounds</t>
  </si>
  <si>
    <t>Tools &amp; Tool Repair</t>
  </si>
  <si>
    <t>Maint. Materials &amp; Supplies</t>
  </si>
  <si>
    <t>Contact Labor/Temporaries</t>
  </si>
  <si>
    <t>Radio Parts and repairs</t>
  </si>
  <si>
    <t>BOP Repairs</t>
  </si>
  <si>
    <t>Hydrogen</t>
  </si>
  <si>
    <t>included in chemicals</t>
  </si>
  <si>
    <t>O&amp;M Annual Fee</t>
  </si>
  <si>
    <t>Raiwind (BC Hydro) (120MW)      $3.67/MW</t>
  </si>
  <si>
    <t>Dabhol (2150 MW)                          $1.72/MW</t>
  </si>
  <si>
    <t>O&amp;M Mobilization BudgetProcurement ExpensesShop Tools &amp; Equipment Title</t>
  </si>
  <si>
    <t>Mechanic Hand Tools</t>
  </si>
  <si>
    <t>tool boxes</t>
  </si>
  <si>
    <t>% Local</t>
  </si>
  <si>
    <t>Transition Pieces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</si>
  <si>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</si>
  <si>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</si>
  <si>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</si>
  <si>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</si>
  <si>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</si>
  <si>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</si>
  <si>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</si>
  <si>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</si>
  <si>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</si>
  <si>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</si>
  <si>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</si>
  <si>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Prime Mover</t>
  </si>
  <si>
    <t>Induced draft/Wet</t>
  </si>
  <si>
    <t>Cation/Anion</t>
  </si>
  <si>
    <t>Pre-treatment to be Anion/Cation Demineralizer</t>
  </si>
  <si>
    <t>O&amp;M Mobilization BudgetProcurement ExpensesChemicals, Lubricants, Hydraulic Fluids Title</t>
  </si>
  <si>
    <t>Steel Work Bench</t>
  </si>
  <si>
    <t>$160 each</t>
  </si>
  <si>
    <t>Employee Lockers x 6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</si>
  <si>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</si>
  <si>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</si>
  <si>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</si>
  <si>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</si>
  <si>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</si>
  <si>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</si>
  <si>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</si>
  <si>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</si>
  <si>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</si>
  <si>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</si>
  <si>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</si>
  <si>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</si>
  <si>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</si>
  <si>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</si>
  <si>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</si>
  <si>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</si>
  <si>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</si>
  <si>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</si>
  <si>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</si>
  <si>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</si>
  <si>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</si>
  <si>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</si>
  <si>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</si>
  <si>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</si>
  <si>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</si>
  <si>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</si>
  <si>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</si>
  <si>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</si>
  <si>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</si>
  <si>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</si>
  <si>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</si>
  <si>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</si>
  <si>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</si>
  <si>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</si>
  <si>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</si>
  <si>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</si>
  <si>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</si>
  <si>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</si>
  <si>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</si>
  <si>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</si>
  <si>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</si>
  <si>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</si>
  <si>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</si>
  <si>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</si>
  <si>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</si>
  <si>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</si>
  <si>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</si>
  <si>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</si>
  <si>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</si>
  <si>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</si>
  <si>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</si>
  <si>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</si>
  <si>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</si>
  <si>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</si>
  <si>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</si>
  <si>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</si>
  <si>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</si>
  <si>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</si>
  <si>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</si>
  <si>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</si>
  <si>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</si>
  <si>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</si>
  <si>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</si>
  <si>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Basis/Justification:</t>
  </si>
  <si>
    <t>Dabhol (745 MW)                     $0.81/MW</t>
  </si>
  <si>
    <t>$600M</t>
  </si>
  <si>
    <t>10% of mob. money managed excluding</t>
  </si>
  <si>
    <t>East Java (500 MW)                 $1.10/MW</t>
  </si>
  <si>
    <t>$550M</t>
  </si>
  <si>
    <t>Spares, OE and G&amp;A</t>
  </si>
  <si>
    <t xml:space="preserve">Multan (800 MW)                       $1.22/MW  </t>
  </si>
  <si>
    <t>$975M</t>
  </si>
  <si>
    <t>Tapal (Wartsila) (126MW)   $2.85/MW (18 mo.)</t>
  </si>
  <si>
    <t>$360M</t>
  </si>
  <si>
    <t>US, UK and like</t>
  </si>
  <si>
    <t xml:space="preserve">Annual % of Payroll &amp; Burden based </t>
  </si>
  <si>
    <t>India, Brazil, Argentina and like</t>
  </si>
  <si>
    <t>on country type</t>
  </si>
  <si>
    <t>Bangladesh and like</t>
  </si>
  <si>
    <t>Basis: Eval team concensus</t>
  </si>
  <si>
    <t>EECC provides Turnkey Contract</t>
  </si>
  <si>
    <t>See Owners' Engineer detail sheet</t>
  </si>
  <si>
    <t>scaled by Subic: $33,000 x 51people/110people</t>
  </si>
  <si>
    <t>scaled by Subic: $42,000 x 51people/110people</t>
  </si>
  <si>
    <t>scaled by Subic: $25,000 x 51people/110people</t>
  </si>
  <si>
    <t>scaled by Subic: $5,600 x 51people/110peoplex</t>
  </si>
  <si>
    <t>17,520x51/62 (50% scaled from Ilijan personnel)</t>
  </si>
  <si>
    <t>27,985x51/62 (scaled from Ilijan personnel)</t>
  </si>
  <si>
    <t>Scaled from Subic personnel: $30,000 x 51/110</t>
  </si>
  <si>
    <t>Scaled from Subic personnel: $15,000 x 51/110</t>
  </si>
  <si>
    <t>Scaled from Subic personnel: $6,000 x 51/110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</si>
  <si>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</si>
  <si>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</si>
  <si>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</si>
  <si>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Vendor Familiarization Training (CT, ST, HRSG, WT/Desal)</t>
  </si>
  <si>
    <t>Defined scope req'd</t>
  </si>
  <si>
    <t xml:space="preserve">    Add'l Major Equip. Vendor (CT,ST,HRSG, WT/Desal,DCS)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</si>
  <si>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</si>
  <si>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</si>
  <si>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</si>
  <si>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</si>
  <si>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</si>
  <si>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</si>
  <si>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</si>
  <si>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>Subtotal</t>
  </si>
  <si>
    <t>UNIT 4</t>
  </si>
  <si>
    <t>LABOR</t>
  </si>
  <si>
    <t>GAS TURBINE</t>
  </si>
  <si>
    <t>Unit Price</t>
  </si>
  <si>
    <t>Initial SP</t>
  </si>
  <si>
    <t>Renewables--CI</t>
  </si>
  <si>
    <t>Renewables--HGP</t>
  </si>
  <si>
    <t>Renewables--Major</t>
  </si>
  <si>
    <t>Sub-Total Parts</t>
  </si>
  <si>
    <t>Total Parts(w freight)</t>
  </si>
  <si>
    <t>REPAIR COST</t>
  </si>
  <si>
    <t>Repair Price</t>
  </si>
  <si>
    <t>Repairs (w discunt)</t>
  </si>
  <si>
    <t>Total Repairs (w freight)</t>
  </si>
  <si>
    <t>GRAND TOTAL (Parts,labor,&amp; Repairs)</t>
  </si>
  <si>
    <t>Information Enter</t>
  </si>
  <si>
    <t>Spare Parts Rotation Plan</t>
  </si>
  <si>
    <t>Phase 1</t>
  </si>
  <si>
    <t>Phase2</t>
  </si>
  <si>
    <t>Base On</t>
  </si>
  <si>
    <t>Year</t>
  </si>
  <si>
    <t>Operating  Years</t>
  </si>
  <si>
    <t>Hours</t>
  </si>
  <si>
    <t>EOH or EOS per year</t>
  </si>
  <si>
    <t>Number of units</t>
  </si>
  <si>
    <t>minor</t>
  </si>
  <si>
    <t>minor interval</t>
  </si>
  <si>
    <t>HGP interval</t>
  </si>
  <si>
    <t>Major interval</t>
  </si>
  <si>
    <t>Parts' Name</t>
  </si>
  <si>
    <t>Repair Interval</t>
  </si>
  <si>
    <t>Replace / Repair Interval</t>
  </si>
  <si>
    <t xml:space="preserve"> Spare part Sets for rotation</t>
  </si>
  <si>
    <t>Initial Spare part sets</t>
  </si>
  <si>
    <t>Maint. Cost</t>
  </si>
  <si>
    <t>Round of Buy</t>
  </si>
  <si>
    <t>REPAIR</t>
  </si>
  <si>
    <t>BUY</t>
  </si>
  <si>
    <t>Gas Turbine Scheduled Maintenance Data Base</t>
  </si>
  <si>
    <t xml:space="preserve">Data Base ID  </t>
  </si>
  <si>
    <t xml:space="preserve">GT TYPE   </t>
  </si>
  <si>
    <t xml:space="preserve"> Date of Data Base Updated   </t>
  </si>
  <si>
    <t xml:space="preserve">Updated By   </t>
  </si>
  <si>
    <t>Interval (EOH)</t>
  </si>
  <si>
    <t>Labor Cost (k$)</t>
  </si>
  <si>
    <t>Consumables (K$)</t>
  </si>
  <si>
    <t>Interval (EOS)</t>
  </si>
  <si>
    <t>Combustion Inspection</t>
  </si>
  <si>
    <t>HGP Inspection</t>
  </si>
  <si>
    <t>Major maintenance</t>
  </si>
  <si>
    <t>Name of Parts</t>
  </si>
  <si>
    <t>Repair Interval (H)</t>
  </si>
  <si>
    <t>Replace interval</t>
  </si>
  <si>
    <t>price of repair (K$)</t>
  </si>
  <si>
    <t>Price of Replace (K$)</t>
  </si>
  <si>
    <t>Repare on starts</t>
  </si>
  <si>
    <t xml:space="preserve">Replace/Repair </t>
  </si>
  <si>
    <t>Fuel Nozzles</t>
  </si>
  <si>
    <t>Remark:</t>
  </si>
  <si>
    <t>GE-Frame 7EA</t>
  </si>
  <si>
    <t>GE-7EA-H-V0</t>
  </si>
  <si>
    <t>Parts Discount</t>
  </si>
  <si>
    <t>Combustion Liners</t>
  </si>
  <si>
    <t>Row 1 Support Ring</t>
  </si>
  <si>
    <t xml:space="preserve">1st Stage Shroud Blocks </t>
  </si>
  <si>
    <t>3rd Stage Shroud Blocks</t>
  </si>
  <si>
    <t>2nd Stage Shroud Blocks</t>
  </si>
  <si>
    <t>Stage 1 Nozzles</t>
  </si>
  <si>
    <t>Stage 2 Nozzles</t>
  </si>
  <si>
    <t>Stage 3 Nozzles</t>
  </si>
  <si>
    <t>Stage 1 Buckets</t>
  </si>
  <si>
    <t>Stage 2 Buckets</t>
  </si>
  <si>
    <t>Stage 3 Buckets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</si>
  <si>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</si>
  <si>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</si>
  <si>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</si>
  <si>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</si>
  <si>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</si>
  <si>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Allowance in LSTK price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</si>
  <si>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</si>
  <si>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</si>
  <si>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</si>
  <si>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</si>
  <si>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</si>
  <si>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Given power, fuel and water</t>
  </si>
  <si>
    <t>Chemical Cleaning (including disposal)</t>
  </si>
  <si>
    <t>Oil Flushes</t>
  </si>
  <si>
    <t>*  O&amp;M has overall responsibility for training O&amp;M personnel, but Major Equip. Vendor training (for CTs, STs, HRSGs,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</si>
  <si>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</si>
  <si>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</si>
  <si>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</si>
  <si>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</si>
  <si>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</si>
  <si>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>GE-7FA-H-V0</t>
  </si>
  <si>
    <t>GE-Frame 7FA</t>
  </si>
  <si>
    <t xml:space="preserve">GENERATOR INSPECTION CONSUMABLES 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</si>
  <si>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</si>
  <si>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</si>
  <si>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</si>
  <si>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</si>
  <si>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</si>
  <si>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</si>
  <si>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</si>
  <si>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</si>
  <si>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>Steam Turbine</t>
  </si>
  <si>
    <t>Each gross steam turbine output (MW)</t>
  </si>
  <si>
    <t>SAP Acctg System</t>
  </si>
  <si>
    <t>5ea @ $20</t>
  </si>
  <si>
    <t>5ea @ $200</t>
  </si>
  <si>
    <t>6ea @ $200</t>
  </si>
  <si>
    <t>Total Project Operating Expenses (excl Fee)</t>
  </si>
  <si>
    <t>Average Annual Operating Expenses (excluding Fee)</t>
  </si>
  <si>
    <t>RB</t>
  </si>
  <si>
    <t>Balance of Plant (general vendor)</t>
  </si>
  <si>
    <t>Specialized Operator Training (All Operators &amp; Chemist) (1 session)</t>
  </si>
  <si>
    <t/>
  </si>
  <si>
    <t>Boiler &amp; Cooling Water Chemistry (general vendor)</t>
  </si>
  <si>
    <t>Control Room Training (Ctrl Rm Ops, Shft Supvrs, Utl Ops) (1 session)</t>
  </si>
  <si>
    <t>DCS (equip. vendor)</t>
  </si>
  <si>
    <t>Basic Maintenance Training (All Mechanics) (1 session)</t>
  </si>
  <si>
    <t>GT-G Maintenance (equip. vendor)</t>
  </si>
  <si>
    <t>Electrical/Controls Maintenance Training (I/C/E Technicians)  (1 session)</t>
  </si>
  <si>
    <t>Excitation Maintenance (equip. vendor)</t>
  </si>
  <si>
    <t>Electrical System Maintenance (general vendor)</t>
  </si>
  <si>
    <t>DCS Maint. (equip. vendor)</t>
  </si>
  <si>
    <t>Total Class Training Cost</t>
  </si>
  <si>
    <t>Travel, lodging, facilities, misc.</t>
  </si>
  <si>
    <t>Health Insurance (%)</t>
  </si>
  <si>
    <t>Social Security Provident Fund (%)</t>
  </si>
  <si>
    <t>Super Annuization (%)</t>
  </si>
  <si>
    <t>Mandatory Medical</t>
  </si>
  <si>
    <t>Terminal Benefit for Years of Service (In Months)</t>
  </si>
  <si>
    <t>Vacation/Leave</t>
  </si>
  <si>
    <t>Housing</t>
  </si>
  <si>
    <t>Wedding, Sick Leave, Seniority</t>
  </si>
  <si>
    <t>Mandatory Profit Sharing</t>
  </si>
  <si>
    <t>Training Funding</t>
  </si>
  <si>
    <t>Taxes, Exemptions, Deductions</t>
  </si>
  <si>
    <t>Host Country (National + Local) Tax Rate (%)</t>
  </si>
  <si>
    <t>Host Country Standard Deduction</t>
  </si>
  <si>
    <t>Retained Employee Tax Payment</t>
  </si>
  <si>
    <t>Retained Employee Housing Payment</t>
  </si>
  <si>
    <t>USA Exemptions (Dependents, Housing, Deductions)</t>
  </si>
  <si>
    <t>Federal Tax Rate (USA)</t>
  </si>
  <si>
    <t>State Tax Rate (USA)</t>
  </si>
  <si>
    <t>Max Overtime Rate</t>
  </si>
  <si>
    <t>Max Hours in a Shift (8 or 12)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</si>
  <si>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</si>
  <si>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</si>
  <si>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</si>
  <si>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</si>
  <si>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</si>
  <si>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Trailers (admin only, ex training)</t>
  </si>
  <si>
    <t>Sanitary facilities</t>
  </si>
  <si>
    <t>Misc. Furnishings</t>
  </si>
  <si>
    <t>Temporary Living Quarters</t>
  </si>
  <si>
    <t>simple/Cogen</t>
  </si>
  <si>
    <t>#1</t>
  </si>
  <si>
    <t>#2</t>
  </si>
  <si>
    <t>#3</t>
  </si>
  <si>
    <t>2ea.x$3000 trip x 2trips (coach class)</t>
  </si>
  <si>
    <t>2 US Expats for 6 months to aid in Initial Operating Period</t>
  </si>
  <si>
    <t>Chemicals (including Water treatment &amp; Lubricity Agent)</t>
  </si>
  <si>
    <t>1 trip x $3M</t>
  </si>
  <si>
    <t>Pretreatment chemicals</t>
  </si>
  <si>
    <t>Chlorine/Clarifier/filter</t>
  </si>
  <si>
    <t>Demin Acid/Caustic</t>
  </si>
  <si>
    <t>Resin Replacement</t>
  </si>
  <si>
    <t>Boiler/Steam Cycle Treatment</t>
  </si>
  <si>
    <t>CT Chemicals</t>
  </si>
  <si>
    <t>Boiler Chemicals</t>
  </si>
  <si>
    <t>Potable Water Chemicals</t>
  </si>
  <si>
    <t>Hydrogen (generators)</t>
  </si>
  <si>
    <t>Assume air cooled</t>
  </si>
  <si>
    <t>Waste Water Treatment</t>
  </si>
  <si>
    <t>Lubricity Agent</t>
  </si>
  <si>
    <t>n/a with PCFD installed on GTs (GTs will have PCFD per Dev. Eng.)</t>
  </si>
  <si>
    <t>10% of total</t>
  </si>
  <si>
    <t>Basis: Water model estimate using Hyundai Water Balance @ 80% PLF</t>
  </si>
  <si>
    <t>Painting</t>
  </si>
  <si>
    <t>Paint &amp; Materials</t>
  </si>
  <si>
    <t>Scaled on MW</t>
  </si>
  <si>
    <t>$70,000 x (500MW/414MW)^0.6*.75</t>
  </si>
  <si>
    <t>Outside Contract Services</t>
  </si>
  <si>
    <t>75% factor for lower local labor</t>
  </si>
  <si>
    <t>Equipment rental</t>
  </si>
  <si>
    <t>Basis: 13 years of Actuals from Tx City/Clear Lake Plants</t>
  </si>
  <si>
    <t>Electrical &amp; Controls</t>
  </si>
  <si>
    <t>Repair Parts</t>
  </si>
  <si>
    <t>Scaled on MW and # Generators</t>
  </si>
  <si>
    <t>Outside Repair Services</t>
  </si>
  <si>
    <t>$30,000 x (4gens/4.5gens) x (500MW/414MW)^0.6 x 75%</t>
  </si>
  <si>
    <t>Water Treatment System</t>
  </si>
  <si>
    <t>Scaled on Steam Turbine MW</t>
  </si>
  <si>
    <t>$140,000 x (1ST/1ST) x (178MW/140MW)^0.6 x 75%</t>
  </si>
  <si>
    <t>Outside Contract Labor</t>
  </si>
  <si>
    <t>Basis: 7 years of Actuals from Tx City Plant</t>
  </si>
  <si>
    <t>Cooling System</t>
  </si>
  <si>
    <t>scaled: $179,000 x (500MW/414MW)^0.6*75%labor</t>
  </si>
  <si>
    <t>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</si>
  <si>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</si>
  <si>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</si>
  <si>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</si>
  <si>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(50% of total) = 50% x $94,000 x 50% </t>
  </si>
  <si>
    <t xml:space="preserve">Material Cost (50% of total) = 50% x $94,000 x (4gens/4.5gens) </t>
  </si>
  <si>
    <t xml:space="preserve">                                           x (112MW/104MW)^0.6  </t>
  </si>
  <si>
    <t>5% of 11% of total</t>
  </si>
  <si>
    <t>Basis: 12 years of Actuals from Tx City/Clear Lake Plants</t>
  </si>
  <si>
    <t>Gas Turbines (excluding scheduled maint.)</t>
  </si>
  <si>
    <t>Scaled on # turbines and turbine MW</t>
  </si>
  <si>
    <t>$554,000 x (3 GTs/3 GTs) x (112MW/104MW)^0.6 x 75% labor factor</t>
  </si>
  <si>
    <t xml:space="preserve">Equipment rental </t>
  </si>
  <si>
    <t>Boilers</t>
  </si>
  <si>
    <t>Scaled on Gas Turbine MW.</t>
  </si>
  <si>
    <t>$337,000 x (3GTs/3GTs) x (112MW/104MW)^0.6 x 75% x 75%</t>
  </si>
  <si>
    <t>O&amp;M Mobilization BudgetOperating ExpensesPermits Title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</si>
  <si>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</si>
  <si>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</si>
  <si>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</si>
  <si>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</si>
  <si>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 xml:space="preserve">    Per diem </t>
  </si>
  <si>
    <t>2ea.x$25/dayx180days (stay in Guest House)</t>
  </si>
  <si>
    <t xml:space="preserve">    Home leave, travel</t>
  </si>
  <si>
    <t xml:space="preserve">   Tax Protection (over 6 months)</t>
  </si>
  <si>
    <t>66% of wages</t>
  </si>
  <si>
    <t>Operations &amp; Maintenance Cost Estimate</t>
  </si>
  <si>
    <t>Table of Contents</t>
  </si>
  <si>
    <t>Scope</t>
  </si>
  <si>
    <t>Project Scope Description</t>
  </si>
  <si>
    <t>List of Assumptions</t>
  </si>
  <si>
    <t>Map</t>
  </si>
  <si>
    <t>Summary - Operations &amp; Maintenance Cost Estimate</t>
  </si>
  <si>
    <t>Comparison vs. Other Plants</t>
  </si>
  <si>
    <t>O&amp;M Staff Organization Chart</t>
  </si>
  <si>
    <t>O&amp;M Pre-Mobilization / Mobilization Cost Estimate</t>
  </si>
  <si>
    <t>O&amp;M Staff Mobilization Plan</t>
  </si>
  <si>
    <t>Training Program</t>
  </si>
  <si>
    <t>Owners' Engineer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</si>
  <si>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</si>
  <si>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</si>
  <si>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</si>
  <si>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</si>
  <si>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Chairs - misc.</t>
  </si>
  <si>
    <t>Bookshelves</t>
  </si>
  <si>
    <t>Sets</t>
  </si>
  <si>
    <t>CI CONSUMABLES</t>
  </si>
  <si>
    <t>HGP INSPECTION CONSUMABLES</t>
  </si>
  <si>
    <t>MI CONSUMABLES</t>
  </si>
  <si>
    <t>GENERATOR INSPECTION CONSUMABLES</t>
  </si>
  <si>
    <t>Initial Operating Spares (GE 6B)</t>
  </si>
  <si>
    <t xml:space="preserve">EXTENDER KITS </t>
  </si>
  <si>
    <t xml:space="preserve">1% of cost </t>
  </si>
  <si>
    <t>&lt;100</t>
  </si>
  <si>
    <t>Base</t>
  </si>
  <si>
    <t>W501D5A</t>
  </si>
  <si>
    <t>Capacity</t>
  </si>
  <si>
    <t>Capacity (KPPH)</t>
  </si>
  <si>
    <t>Other fired vessels</t>
  </si>
  <si>
    <t>BOILERS</t>
  </si>
  <si>
    <t>Number of Units</t>
  </si>
  <si>
    <t>=IF('O&amp;M Backup_Detail'!O7=1,'GT sched cost (LM6000)'!A1,if('O&amp;M Backup_Detail'!O7=2,'GT schd cost(7EA)'!A2,if('O&amp;M Backup_Detail'!O7=3,'GT schd cost(7FA)'!A2,if('O&amp;M Backup_Detail'!O7=4,'GT schd cost(W501D5)'!A2,if('O&amp;M Backup_Detail'!O7=6,'GT schd cost(6B)'!A2,"")))))</t>
  </si>
  <si>
    <t>File Cabinets</t>
  </si>
  <si>
    <t>Storage Shelves/Cabinets</t>
  </si>
  <si>
    <t>10ea @ $50</t>
  </si>
  <si>
    <t>Conference Room (table &amp; chairs)</t>
  </si>
  <si>
    <t>Lunch Room - Tables</t>
  </si>
  <si>
    <t>Lunch Room - Chairs</t>
  </si>
  <si>
    <t>Lunch Room - Microwave</t>
  </si>
  <si>
    <t>Lunch Room - Coffee Pot</t>
  </si>
  <si>
    <t>Lunch Room - Refrig.</t>
  </si>
  <si>
    <t>Computer Tables</t>
  </si>
  <si>
    <t>Computers w printers</t>
  </si>
  <si>
    <t>Systems Software</t>
  </si>
  <si>
    <t>CMMS software/installation</t>
  </si>
  <si>
    <t>CMMS hardware, equipment</t>
  </si>
  <si>
    <t>Software &amp; License</t>
  </si>
  <si>
    <t>Training &amp; Implementation</t>
  </si>
  <si>
    <t>Copiers</t>
  </si>
  <si>
    <t>1ea @ $8000</t>
  </si>
  <si>
    <t>Typewriters</t>
  </si>
  <si>
    <t>Local Area Network</t>
  </si>
  <si>
    <t>Calculators</t>
  </si>
  <si>
    <t>TV/VCR/Camcorders</t>
  </si>
  <si>
    <t>1ea @ $750/$500/$750</t>
  </si>
  <si>
    <t>Owners' Engineer Expenses</t>
  </si>
  <si>
    <t>OM&amp;A Mobilization Fee (incl. Comm. Office)</t>
  </si>
  <si>
    <t>10% of procurement items</t>
  </si>
  <si>
    <t>Vehicular Fuel Usage</t>
  </si>
  <si>
    <t>3 Trucks:</t>
  </si>
  <si>
    <t>3 x gal/15 miles x $1.5/gal x 20000 miles/yr</t>
  </si>
  <si>
    <t>1 Van &amp; 1 Flat-bed Truck:</t>
  </si>
  <si>
    <t>2 x gal/ 10 miles x $1.5/gal x 20 miles/day x 365 days/year</t>
  </si>
  <si>
    <t>2 Forklifts:</t>
  </si>
  <si>
    <t>2 x 2 gal/hr x $1.5/gal x 2 hr/day x 365 days/yr</t>
  </si>
  <si>
    <t>1 Crane:</t>
  </si>
  <si>
    <t>5 gal/hr x $1.5/gal x 40 days/yr x 8 hours/day</t>
  </si>
  <si>
    <t>1 Crew Boats:</t>
  </si>
  <si>
    <t>20 gal/hr x 1hr/30 miles x 30 miles x 2rd trips/d x365 days/yr x $1.5/gal x 2.0 (idle factor)</t>
  </si>
  <si>
    <t xml:space="preserve">Basis: </t>
  </si>
  <si>
    <t>Note:</t>
  </si>
  <si>
    <t>1/ Fixed Maintenance costs are assumed to be 50% parts, 25% labor, 25% consumables.</t>
  </si>
  <si>
    <t>2/ The 75% labor and parts factor is computed as follows:</t>
  </si>
  <si>
    <t xml:space="preserve">     - 25% component of the fixed maintenance costs are discounted 75% due to low labor rates in country --&gt; .25 X .25= .0625</t>
  </si>
  <si>
    <t xml:space="preserve">     - 25% component of the fixed maintenance costs are discounted 25% due to the assumed lower consumables cost in country --&gt; .25 X .75 = .1875</t>
  </si>
  <si>
    <t xml:space="preserve">     - 50% component of the fixed maintenance costs are not discounted and assumed imported or local full price --&gt; .5 X 1.0 = .5</t>
  </si>
  <si>
    <t xml:space="preserve">     - Therefore, total discount factor off full costs equals 75%.</t>
  </si>
  <si>
    <t>3/ Customs duty rate of 49.75% is not applied to all foreign imported parts and consumables (assumed to be 75% of total "foreign" amount).</t>
  </si>
  <si>
    <t>4/ Customer duty for various types of equipment needs to be confirmed by EI tax specialists.</t>
  </si>
  <si>
    <t>Parts Discount =</t>
  </si>
  <si>
    <t>COMBUSTION TURBINES &amp; GENERATORS</t>
  </si>
  <si>
    <t>OPERATIONAL SPARES (INCLUDES MKV CONTROL &amp; EX 2000 SPARES)</t>
  </si>
  <si>
    <t>GAS TURBINE BEARING LINERS</t>
  </si>
  <si>
    <t>GT GENERATOR SPARES</t>
  </si>
  <si>
    <t xml:space="preserve">                          SUB-TOTAL</t>
  </si>
  <si>
    <t>STEAM TURBINE &amp; GENERATOR</t>
  </si>
  <si>
    <t>RECOMMENDED OPERATIONAL SPARES</t>
  </si>
  <si>
    <t xml:space="preserve">Sub-Total </t>
  </si>
  <si>
    <t>BALANCE OF PLANT</t>
  </si>
  <si>
    <t>SUB-TOTAL</t>
  </si>
  <si>
    <t>INSURANCE @ 0.25%</t>
  </si>
  <si>
    <t>FREIGHT @ 1%</t>
  </si>
  <si>
    <t>YEAR</t>
  </si>
  <si>
    <t>H</t>
  </si>
  <si>
    <t>NEW PARTS</t>
  </si>
  <si>
    <t>HGP</t>
  </si>
  <si>
    <t>Major</t>
  </si>
  <si>
    <t>Labor &amp; Engineering</t>
  </si>
  <si>
    <t>UNIT 1</t>
  </si>
  <si>
    <t>UNIT 2</t>
  </si>
  <si>
    <t>UNIT 3</t>
  </si>
  <si>
    <t>Repairs</t>
  </si>
  <si>
    <t>New parts</t>
  </si>
  <si>
    <t>MWh generated  per year</t>
  </si>
  <si>
    <t>Mumbai</t>
  </si>
  <si>
    <t>Gas turbine model</t>
  </si>
  <si>
    <t xml:space="preserve">Nominal baseload capacity (MW) </t>
  </si>
  <si>
    <t>Each gross gas turbine output (MW)</t>
  </si>
  <si>
    <t>Primary:</t>
  </si>
  <si>
    <t>Plant load factor (%)</t>
  </si>
  <si>
    <t>Number of starts per year</t>
  </si>
  <si>
    <t>Number of operational hours per year</t>
  </si>
  <si>
    <t>PPA to be signed with</t>
  </si>
  <si>
    <t>Comercial Operations Date</t>
  </si>
  <si>
    <t>Nearest City</t>
  </si>
  <si>
    <t>Country</t>
  </si>
  <si>
    <t>India</t>
  </si>
  <si>
    <t>Location</t>
  </si>
  <si>
    <t>Provided by</t>
  </si>
  <si>
    <t>Enron</t>
  </si>
  <si>
    <t>Notice to Proceed (EPC)</t>
  </si>
  <si>
    <t>Date</t>
  </si>
  <si>
    <t>Secondary:</t>
  </si>
  <si>
    <t>None</t>
  </si>
  <si>
    <t>Employees live in Mumbai.  No housing colony on site.</t>
  </si>
  <si>
    <t>Cooling Tower</t>
  </si>
  <si>
    <t>Demin System</t>
  </si>
  <si>
    <t>Load Profile (Base/Peaker/Intermediate)</t>
  </si>
  <si>
    <t>Provided by:</t>
  </si>
  <si>
    <t>O&amp;M Estimate:</t>
  </si>
  <si>
    <t>Project Name:</t>
  </si>
  <si>
    <t>Name</t>
  </si>
  <si>
    <t>Cycle (Simple, Combined)</t>
  </si>
  <si>
    <t>Base year for all costs and prices herein: current 2000 US $ (no escalation or inflation included).</t>
  </si>
  <si>
    <t>Fuel</t>
  </si>
  <si>
    <t xml:space="preserve">Operations </t>
  </si>
  <si>
    <t>Water Treatment</t>
  </si>
  <si>
    <t>Employees</t>
  </si>
  <si>
    <t>Plant Staff</t>
  </si>
  <si>
    <t>Contracters</t>
  </si>
  <si>
    <t>EPC Contracter unknown.</t>
  </si>
  <si>
    <t>Owner's Engineer is unknown</t>
  </si>
  <si>
    <t>Scope split between turnkey/startup contractor owwner/operator per enclosed schedule.</t>
  </si>
  <si>
    <t>Cost Assumptions</t>
  </si>
  <si>
    <t>GT parts discount of 10%.  No LTSA signed.</t>
  </si>
  <si>
    <t>Project Commercial Office</t>
  </si>
  <si>
    <t>Functions of commercial include:</t>
  </si>
  <si>
    <t>a)</t>
  </si>
  <si>
    <t>b)</t>
  </si>
  <si>
    <t>c)</t>
  </si>
  <si>
    <t>d)</t>
  </si>
  <si>
    <t>e)</t>
  </si>
  <si>
    <t>f)</t>
  </si>
  <si>
    <t>g)</t>
  </si>
  <si>
    <t>h)</t>
  </si>
  <si>
    <t>j)</t>
  </si>
  <si>
    <t>k)</t>
  </si>
  <si>
    <t>l)</t>
  </si>
  <si>
    <t>i)</t>
  </si>
  <si>
    <t>This O&amp;M Estimate does not include the cost of the following items:</t>
  </si>
  <si>
    <t>Total Training Cost Estimate</t>
  </si>
  <si>
    <t>Less Training provided by Turnkey/Startup Contractor</t>
  </si>
  <si>
    <t>Net Training Cost Estimate ($M) for Operator/Owner</t>
  </si>
  <si>
    <t>Notes:</t>
  </si>
  <si>
    <t>1. Assumed cost of training (instructor, training materials, aids, manuals, etc.):</t>
  </si>
  <si>
    <t xml:space="preserve">        </t>
  </si>
  <si>
    <t>General Vendor Training - $8M/wk</t>
  </si>
  <si>
    <t>2. The asterisk (*) denotes training and expenses provided by Operator</t>
  </si>
  <si>
    <t>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</si>
  <si>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</si>
  <si>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</si>
  <si>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</si>
  <si>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</si>
  <si>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</si>
  <si>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</si>
  <si>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</si>
  <si>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</si>
  <si>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</si>
  <si>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</si>
  <si>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</si>
  <si>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</si>
  <si>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Technical Direction of Installation (TD&amp;I)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</si>
  <si>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</si>
  <si>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</si>
  <si>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</si>
  <si>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</si>
  <si>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</si>
  <si>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EPC to assist &amp; participate</t>
  </si>
  <si>
    <t xml:space="preserve">    Process Hazards Analysis (HAZOP)</t>
  </si>
  <si>
    <t>O&amp;M to assist &amp; participate</t>
  </si>
  <si>
    <t>Communications (phone bills, etc.)</t>
  </si>
  <si>
    <t xml:space="preserve">    for Startup Personnel</t>
  </si>
  <si>
    <t>Offices/Buildings/Facilities (temporary)</t>
  </si>
  <si>
    <t>Capital, Operating and BOP Spares</t>
  </si>
  <si>
    <t xml:space="preserve"> (See Capital/Operating Spares)</t>
  </si>
  <si>
    <t>0.25% of cost</t>
  </si>
  <si>
    <t xml:space="preserve"> Avg. (20yrs)</t>
  </si>
  <si>
    <t>Payroll &amp; Burden</t>
  </si>
  <si>
    <t>Administration and Operations Expenses</t>
  </si>
  <si>
    <t>Total Administration &amp; Operations Expenses</t>
  </si>
  <si>
    <t>Maintenance Expenses (excl. GT ScheduIed Maint. Program)</t>
  </si>
  <si>
    <t>Total Maintenance</t>
  </si>
  <si>
    <t>GT Scheduled Maintenance Program</t>
  </si>
  <si>
    <t>20 yr total</t>
  </si>
  <si>
    <t>Annual Avg.</t>
  </si>
  <si>
    <t>% Variable</t>
  </si>
  <si>
    <t>Fixed (USD)</t>
  </si>
  <si>
    <t>Variable (USD)</t>
  </si>
  <si>
    <t>Assistant Plant Manager</t>
  </si>
  <si>
    <t>Chemist</t>
  </si>
  <si>
    <t>Maintenance Planner</t>
  </si>
  <si>
    <t>Administrative Assistant</t>
  </si>
  <si>
    <t>US - North-East</t>
  </si>
  <si>
    <t>US - North-West</t>
  </si>
  <si>
    <t>US - California</t>
  </si>
  <si>
    <t>US - South-East</t>
  </si>
  <si>
    <t>US - South</t>
  </si>
  <si>
    <t>US - Central</t>
  </si>
  <si>
    <t>Labor / Benefits Lookup Sheet</t>
  </si>
  <si>
    <t>Annual Base Salary (USD)</t>
  </si>
  <si>
    <t>Operations Shift Supervisors</t>
  </si>
  <si>
    <t>Turbine Operators</t>
  </si>
  <si>
    <t>Water System Opertors</t>
  </si>
  <si>
    <t>Utility Operators</t>
  </si>
  <si>
    <t>Mechanical Engineer</t>
  </si>
  <si>
    <t>Mechanic</t>
  </si>
  <si>
    <t>Total Expat Salary</t>
  </si>
  <si>
    <t>No. of Expats</t>
  </si>
  <si>
    <t>No. of Locals</t>
  </si>
  <si>
    <t>Months on Site per Year (Expat)</t>
  </si>
  <si>
    <t>Months on Site per Year (Local)</t>
  </si>
  <si>
    <t>Benefits % on Base</t>
  </si>
  <si>
    <t>Benefits % on Overtime</t>
  </si>
  <si>
    <t>Year 2</t>
  </si>
  <si>
    <t>Year 3</t>
  </si>
  <si>
    <t xml:space="preserve">Total Local Salary </t>
  </si>
  <si>
    <t>Totals</t>
  </si>
  <si>
    <t>Total Employees per Year</t>
  </si>
  <si>
    <t>Annual Labor Escalation Factor</t>
  </si>
  <si>
    <t>Year 4</t>
  </si>
  <si>
    <t>O&amp;M Estimate Backup/Detail Sheet</t>
  </si>
  <si>
    <t>Labor Sheet</t>
  </si>
  <si>
    <t xml:space="preserve">Payroll &amp; Burden </t>
  </si>
  <si>
    <t>Month on Site Prior to COD</t>
  </si>
  <si>
    <t>No. of months on site</t>
  </si>
  <si>
    <t>Overtime USD/Month</t>
  </si>
  <si>
    <t>Individual Base Salary USD/Month</t>
  </si>
  <si>
    <t>Benefits USD/Month</t>
  </si>
  <si>
    <t>Total Mobilization Salary</t>
  </si>
  <si>
    <t>Total No. of Employees</t>
  </si>
  <si>
    <t>(negative No.)</t>
  </si>
  <si>
    <t>No. of Employees</t>
  </si>
  <si>
    <t>GE 7EA</t>
  </si>
  <si>
    <t>TBD</t>
  </si>
  <si>
    <t>Rich Bickings / Asset Ops.</t>
  </si>
  <si>
    <t>Commercial office: Houston Corporate Office.</t>
  </si>
  <si>
    <t>O&amp;M Mobilization BudgetOperating ExpensesPublic Relations Title</t>
  </si>
  <si>
    <t>O&amp;M Mobilization Budget</t>
  </si>
  <si>
    <t>Operating Expenses</t>
  </si>
  <si>
    <t>Public Relations</t>
  </si>
  <si>
    <t>Payroll and Benefits (US)</t>
  </si>
  <si>
    <t>Travel Expenses in Region</t>
  </si>
  <si>
    <t>Travel for Expat To/From Home (UK)</t>
  </si>
  <si>
    <t>1 trip/quarter x 3 quarters x $6M/trip</t>
  </si>
  <si>
    <t>Temporary Living (Expat) in Houston</t>
  </si>
  <si>
    <t>$3000/month x 9 months</t>
  </si>
  <si>
    <t>Tech Services/Studies</t>
  </si>
  <si>
    <t>15 mandaysx$75/hrx8hrs/d</t>
  </si>
  <si>
    <t>Miscellaneous (comms, etc.)</t>
  </si>
  <si>
    <t>$1000/month x 12 months</t>
  </si>
  <si>
    <t>HAZOP Study (3rd party consultant)</t>
  </si>
  <si>
    <t>RAM Study (3rd party consultant)</t>
  </si>
  <si>
    <t>O&amp;M Mobilization BudgetOperating ExpensesPublic Relations Total</t>
  </si>
  <si>
    <t>Sub-Total</t>
  </si>
  <si>
    <t>O&amp;M Mobilization BudgetOperating ExpensesPayroll with burden Title</t>
  </si>
  <si>
    <t>Payroll with burden</t>
  </si>
  <si>
    <t>Total Company Payroll with benefits and 15% overtime on Opns/Maint. (w/o expats) personnel</t>
  </si>
  <si>
    <t xml:space="preserve">  (See detailed PltMobStaff schedule)</t>
  </si>
  <si>
    <t>O&amp;M Mobilization BudgetOperating ExpensesPayroll with burden Total</t>
  </si>
  <si>
    <t>Basis: Project Schedule</t>
  </si>
  <si>
    <t>O&amp;M Mobilization BudgetOperating ExpensesEmployee Expenses Title</t>
  </si>
  <si>
    <t>Trips to US</t>
  </si>
  <si>
    <t>5 trips to US x $6M + $150/dayperdiem x 50 days</t>
  </si>
  <si>
    <t>Misc. (OT meals, Conferences,etc.)</t>
  </si>
  <si>
    <t>Travel Exp./O.T. Meals (33% of Travel)</t>
  </si>
  <si>
    <t>Meal Allowance</t>
  </si>
  <si>
    <t>$2/day/employee x 200 days x # staff</t>
  </si>
  <si>
    <t>O&amp;M Mobilization BudgetOperating ExpensesEmployee Expenses Total</t>
  </si>
  <si>
    <t>Basis: HR recommends 1 meal/day subsidized by the company</t>
  </si>
  <si>
    <t>O&amp;M Mobilization BudgetOperating ExpensesRecruiting Expenses Title</t>
  </si>
  <si>
    <t>O&amp;M Mobilization BudgetOperating ExpensesRecruiting Expenses Total</t>
  </si>
  <si>
    <t>O&amp;M Mobilization BudgetOperating ExpensesRelocation Expenses Title</t>
  </si>
  <si>
    <t>Locals</t>
  </si>
  <si>
    <t>25% of Base Salaries + $200/person for examination</t>
  </si>
  <si>
    <t>O&amp;M Mobilization BudgetOperating ExpensesRelocation Expenses Total</t>
  </si>
  <si>
    <t>O&amp;M Mobilization BudgetOperating ExpensesOutside Services Title</t>
  </si>
  <si>
    <t>Guards</t>
  </si>
  <si>
    <t>Turnkey responsibility</t>
  </si>
  <si>
    <t>Groundskeepers</t>
  </si>
  <si>
    <t>Janitors</t>
  </si>
  <si>
    <t>Legal</t>
  </si>
  <si>
    <t>Tax</t>
  </si>
  <si>
    <t>Accounting</t>
  </si>
  <si>
    <t>Safety</t>
  </si>
  <si>
    <t>Environmental</t>
  </si>
  <si>
    <t>Regional Technical Support</t>
  </si>
  <si>
    <t>Customs</t>
  </si>
  <si>
    <t>Trash/Waste Disposal</t>
  </si>
  <si>
    <t>Electrical Testing/Calibration</t>
  </si>
  <si>
    <t>Technical/Professional</t>
  </si>
  <si>
    <t>Office Equipment Maintenance</t>
  </si>
  <si>
    <t>O&amp;M Mobilization BudgetOperating ExpensesOutside Services Total</t>
  </si>
  <si>
    <t>Basis: HR Salary &amp; Benefits Survey</t>
  </si>
  <si>
    <t>O&amp;M Mobilization BudgetOperating ExpensesOther Supplies &amp; Expenses Title</t>
  </si>
  <si>
    <t>Office &amp; Misc. Supplies (usage)</t>
  </si>
  <si>
    <t>Janitorial Supplies (usage)</t>
  </si>
  <si>
    <t>Bldg. Utilities (water, power, gas)</t>
  </si>
  <si>
    <t>Buildings &amp; Grounds</t>
  </si>
  <si>
    <t>Security training and facilities</t>
  </si>
  <si>
    <t>80 manhrs x $100/hr Crisis response training (audit)</t>
  </si>
  <si>
    <t>Building repairs &amp; painting</t>
  </si>
  <si>
    <t>$22,900 x 75%</t>
  </si>
  <si>
    <t>O&amp;M Mobilization BudgetOperating ExpensesOther Supplies &amp; Expenses Total</t>
  </si>
  <si>
    <t>O&amp;M Mobilization BudgetOperating ExpensesCommunications Title</t>
  </si>
  <si>
    <t>Commercial Operations O&amp;M Estimate</t>
  </si>
  <si>
    <t>Major Maintenance Cost Estimate</t>
  </si>
  <si>
    <t>Initial Operating Spares</t>
  </si>
  <si>
    <t>GT Scheduled Major Maint. Program (year by year)</t>
  </si>
  <si>
    <t>Summary - Housing Colony Operating Cost Estimate</t>
  </si>
  <si>
    <t>Mobilization Cost Estimate</t>
  </si>
  <si>
    <t>Mobilization Staffing Plan</t>
  </si>
  <si>
    <t>Commercial Operations Operating Cost Estimate</t>
  </si>
  <si>
    <t>Staffing Plan</t>
  </si>
  <si>
    <t>Mobilization Cost Estimate Backup/Detail</t>
  </si>
  <si>
    <t>Operating Cost Estimate Backup/ Detail</t>
  </si>
  <si>
    <t>Location:</t>
  </si>
  <si>
    <t>Capacity:</t>
  </si>
  <si>
    <t>Equipment:</t>
  </si>
  <si>
    <t>Fuel:</t>
  </si>
  <si>
    <t>Operations Mode:</t>
  </si>
  <si>
    <t>PPA:</t>
  </si>
  <si>
    <t>Tentative schedule:</t>
  </si>
  <si>
    <t>COD</t>
  </si>
  <si>
    <t>Housing Colony:</t>
  </si>
  <si>
    <t>Commercial Office:</t>
  </si>
  <si>
    <t>Other Facilities:</t>
  </si>
  <si>
    <t>Barge dock on river for fuel deliveries.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</si>
</sst>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28" formatCode="&quot;$&quot;#,##0"/>
    <numFmt numFmtId="278" formatCode="&quot;$&quot;#,##0.00"/>
    <numFmt numFmtId="316" formatCode="&quot;£&quot;#\,###\,##0"/>
    <numFmt numFmtId="359" formatCode="0\ &quot;KPPH&quot;"/>
    <numFmt numFmtId="360" formatCode="0\ &quot;MW&quot;"/>
  </numFmts>
  <fonts count="6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sz val="14"/>
      <name val="Arial"/>
    </font>
    <font>
      <sz val="12"/>
      <name val="Arial MT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2"/>
      <name val="Helv"/>
    </font>
    <font>
      <sz val="10"/>
      <name val="Times New Roman"/>
      <family val="1"/>
    </font>
    <font>
      <sz val="10"/>
      <name val="Times New Roman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8"/>
      <name val="Arial"/>
    </font>
    <font>
      <sz val="10"/>
      <name val="Helv"/>
    </font>
    <font>
      <sz val="14"/>
      <name val="Arial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2"/>
      <color indexed="12"/>
      <name val="Arial"/>
      <family val="2"/>
    </font>
    <font>
      <b/>
      <i/>
      <u/>
      <sz val="10"/>
      <name val="Arial"/>
      <family val="2"/>
    </font>
    <font>
      <b/>
      <sz val="11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b/>
      <sz val="10"/>
      <color indexed="10"/>
      <name val="Arial"/>
      <family val="2"/>
    </font>
    <font>
      <sz val="10"/>
      <color indexed="53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0"/>
      <name val="Arial"/>
      <family val="2"/>
    </font>
    <font>
      <b/>
      <u/>
      <sz val="10"/>
      <color indexed="12"/>
      <name val="Arial"/>
      <family val="2"/>
    </font>
    <font>
      <b/>
      <sz val="10"/>
      <color indexed="53"/>
      <name val="Arial"/>
      <family val="2"/>
    </font>
    <font>
      <sz val="11"/>
      <name val="Arial"/>
      <family val="2"/>
    </font>
    <font>
      <sz val="8"/>
      <name val="Tahoma"/>
      <family val="2"/>
    </font>
    <font>
      <b/>
      <sz val="12"/>
      <color indexed="8"/>
      <name val="Arial"/>
    </font>
    <font>
      <b/>
      <sz val="10"/>
      <name val="Arial"/>
      <family val="2"/>
      <charset val="134"/>
    </font>
    <font>
      <sz val="10"/>
      <name val="Arial"/>
      <family val="2"/>
      <charset val="134"/>
    </font>
    <font>
      <sz val="9"/>
      <name val="Arial"/>
      <family val="2"/>
    </font>
    <font>
      <b/>
      <sz val="11"/>
      <color indexed="8"/>
      <name val="Arial"/>
      <family val="2"/>
    </font>
    <font>
      <sz val="12"/>
      <name val="SWISS"/>
    </font>
    <font>
      <b/>
      <sz val="14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316" fontId="4" fillId="0" borderId="0" applyNumberFormat="0" applyFont="0" applyFill="0" applyBorder="0" applyAlignment="0" applyProtection="0"/>
    <xf numFmtId="0" fontId="30" fillId="0" borderId="0"/>
    <xf numFmtId="9" fontId="4" fillId="0" borderId="0" applyFont="0" applyFill="0" applyBorder="0" applyAlignment="0" applyProtection="0"/>
  </cellStyleXfs>
  <cellXfs count="910">
    <xf numFmtId="0" fontId="0" fillId="0" borderId="0" xfId="0"/>
    <xf numFmtId="3" fontId="5" fillId="0" borderId="0" xfId="0" applyNumberFormat="1" applyFont="1" applyAlignment="1" applyProtection="1">
      <alignment horizontal="centerContinuous"/>
    </xf>
    <xf numFmtId="3" fontId="0" fillId="0" borderId="0" xfId="0" applyNumberFormat="1" applyProtection="1"/>
    <xf numFmtId="0" fontId="0" fillId="0" borderId="0" xfId="0" applyProtection="1"/>
    <xf numFmtId="3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3" fontId="0" fillId="2" borderId="4" xfId="0" applyNumberFormat="1" applyFill="1" applyBorder="1" applyProtection="1">
      <protection locked="0"/>
    </xf>
    <xf numFmtId="0" fontId="2" fillId="0" borderId="0" xfId="1" applyProtection="1">
      <protection locked="0"/>
    </xf>
    <xf numFmtId="0" fontId="2" fillId="0" borderId="0" xfId="0" applyFont="1" applyProtection="1">
      <protection locked="0"/>
    </xf>
    <xf numFmtId="3" fontId="0" fillId="0" borderId="3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5" xfId="0" applyBorder="1" applyAlignment="1" applyProtection="1">
      <alignment horizontal="centerContinuous"/>
      <protection locked="0"/>
    </xf>
    <xf numFmtId="0" fontId="0" fillId="0" borderId="6" xfId="0" applyBorder="1" applyAlignment="1" applyProtection="1">
      <alignment horizontal="centerContinuous"/>
      <protection locked="0"/>
    </xf>
    <xf numFmtId="0" fontId="0" fillId="0" borderId="7" xfId="0" applyBorder="1" applyAlignment="1" applyProtection="1">
      <alignment horizontal="centerContinuous"/>
      <protection locked="0"/>
    </xf>
    <xf numFmtId="3" fontId="0" fillId="0" borderId="0" xfId="0" applyNumberFormat="1"/>
    <xf numFmtId="0" fontId="4" fillId="0" borderId="0" xfId="0" applyFont="1" applyProtection="1">
      <protection locked="0"/>
    </xf>
    <xf numFmtId="3" fontId="0" fillId="0" borderId="0" xfId="0" applyNumberFormat="1" applyBorder="1" applyProtection="1">
      <protection locked="0"/>
    </xf>
    <xf numFmtId="3" fontId="5" fillId="0" borderId="0" xfId="0" applyNumberFormat="1" applyFont="1" applyAlignment="1" applyProtection="1">
      <alignment horizontal="centerContinuous"/>
      <protection locked="0"/>
    </xf>
    <xf numFmtId="3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4" xfId="0" applyNumberFormat="1" applyBorder="1" applyAlignment="1" applyProtection="1">
      <alignment horizontal="centerContinuous"/>
      <protection locked="0"/>
    </xf>
    <xf numFmtId="0" fontId="0" fillId="0" borderId="8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0" xfId="0" applyFont="1" applyBorder="1" applyProtection="1">
      <protection locked="0"/>
    </xf>
    <xf numFmtId="3" fontId="0" fillId="0" borderId="2" xfId="0" applyNumberForma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0" fillId="0" borderId="9" xfId="0" applyBorder="1" applyAlignment="1" applyProtection="1">
      <alignment horizontal="centerContinuous"/>
      <protection locked="0"/>
    </xf>
    <xf numFmtId="0" fontId="0" fillId="0" borderId="1" xfId="0" applyBorder="1" applyProtection="1">
      <protection locked="0"/>
    </xf>
    <xf numFmtId="0" fontId="0" fillId="0" borderId="10" xfId="0" applyBorder="1" applyProtection="1">
      <protection locked="0"/>
    </xf>
    <xf numFmtId="3" fontId="0" fillId="0" borderId="0" xfId="0" applyNumberFormat="1" applyAlignment="1" applyProtection="1">
      <alignment horizontal="centerContinuous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1" fillId="0" borderId="4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11" xfId="0" applyFont="1" applyBorder="1" applyAlignment="1" applyProtection="1">
      <alignment horizontal="right"/>
      <protection locked="0"/>
    </xf>
    <xf numFmtId="171" fontId="0" fillId="0" borderId="0" xfId="0" applyNumberFormat="1" applyProtection="1">
      <protection locked="0"/>
    </xf>
    <xf numFmtId="166" fontId="0" fillId="0" borderId="0" xfId="2" applyNumberFormat="1" applyFon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quotePrefix="1" applyProtection="1">
      <protection locked="0"/>
    </xf>
    <xf numFmtId="0" fontId="7" fillId="3" borderId="12" xfId="0" applyFont="1" applyFill="1" applyBorder="1" applyAlignment="1" applyProtection="1">
      <alignment horizontal="centerContinuous"/>
      <protection locked="0"/>
    </xf>
    <xf numFmtId="0" fontId="0" fillId="0" borderId="9" xfId="0" applyBorder="1" applyProtection="1">
      <protection locked="0"/>
    </xf>
    <xf numFmtId="0" fontId="2" fillId="0" borderId="0" xfId="1" applyNumberFormat="1" applyProtection="1">
      <protection locked="0"/>
    </xf>
    <xf numFmtId="3" fontId="1" fillId="0" borderId="13" xfId="0" applyNumberFormat="1" applyFont="1" applyBorder="1" applyAlignment="1" applyProtection="1">
      <alignment horizontal="centerContinuous"/>
      <protection locked="0"/>
    </xf>
    <xf numFmtId="3" fontId="1" fillId="0" borderId="14" xfId="0" applyNumberFormat="1" applyFont="1" applyBorder="1" applyAlignment="1" applyProtection="1">
      <alignment horizontal="centerContinuous"/>
      <protection locked="0"/>
    </xf>
    <xf numFmtId="0" fontId="14" fillId="0" borderId="0" xfId="0" applyFont="1" applyBorder="1" applyProtection="1">
      <protection locked="0"/>
    </xf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quotePrefix="1"/>
    <xf numFmtId="3" fontId="1" fillId="0" borderId="0" xfId="0" applyNumberFormat="1" applyFont="1" applyAlignment="1" applyProtection="1">
      <alignment horizontal="center"/>
      <protection locked="0"/>
    </xf>
    <xf numFmtId="0" fontId="0" fillId="0" borderId="0" xfId="0" applyAlignment="1"/>
    <xf numFmtId="0" fontId="15" fillId="0" borderId="0" xfId="0" applyFont="1" applyAlignment="1">
      <alignment horizontal="centerContinuous"/>
    </xf>
    <xf numFmtId="0" fontId="15" fillId="0" borderId="0" xfId="0" applyFont="1" applyBorder="1" applyAlignment="1">
      <alignment horizontal="centerContinuous"/>
    </xf>
    <xf numFmtId="0" fontId="15" fillId="4" borderId="15" xfId="0" applyFont="1" applyFill="1" applyBorder="1"/>
    <xf numFmtId="1" fontId="6" fillId="0" borderId="11" xfId="2" applyNumberFormat="1" applyFont="1" applyBorder="1" applyProtection="1">
      <protection locked="0"/>
    </xf>
    <xf numFmtId="171" fontId="6" fillId="0" borderId="11" xfId="0" applyNumberFormat="1" applyFont="1" applyBorder="1" applyProtection="1">
      <protection locked="0"/>
    </xf>
    <xf numFmtId="1" fontId="6" fillId="0" borderId="11" xfId="0" applyNumberFormat="1" applyFont="1" applyBorder="1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9" xfId="0" applyFont="1" applyBorder="1" applyProtection="1">
      <protection locked="0"/>
    </xf>
    <xf numFmtId="0" fontId="6" fillId="0" borderId="0" xfId="0" applyFont="1" applyProtection="1">
      <protection locked="0"/>
    </xf>
    <xf numFmtId="3" fontId="14" fillId="0" borderId="0" xfId="0" applyNumberFormat="1" applyFont="1" applyProtection="1">
      <protection locked="0"/>
    </xf>
    <xf numFmtId="41" fontId="14" fillId="0" borderId="0" xfId="0" applyNumberFormat="1" applyFont="1" applyAlignment="1" applyProtection="1">
      <alignment horizontal="right"/>
      <protection locked="0"/>
    </xf>
    <xf numFmtId="3" fontId="16" fillId="0" borderId="0" xfId="0" applyNumberFormat="1" applyFont="1" applyAlignment="1" applyProtection="1">
      <alignment horizontal="centerContinuous"/>
      <protection locked="0"/>
    </xf>
    <xf numFmtId="3" fontId="14" fillId="0" borderId="0" xfId="0" applyNumberFormat="1" applyFont="1" applyAlignment="1" applyProtection="1">
      <alignment horizontal="centerContinuous"/>
      <protection locked="0"/>
    </xf>
    <xf numFmtId="3" fontId="14" fillId="0" borderId="0" xfId="0" applyNumberFormat="1" applyFont="1" applyAlignment="1" applyProtection="1">
      <protection locked="0"/>
    </xf>
    <xf numFmtId="3" fontId="14" fillId="0" borderId="0" xfId="0" applyNumberFormat="1" applyFont="1" applyProtection="1"/>
    <xf numFmtId="0" fontId="14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 applyBorder="1"/>
    <xf numFmtId="0" fontId="0" fillId="0" borderId="16" xfId="0" applyBorder="1"/>
    <xf numFmtId="0" fontId="4" fillId="0" borderId="0" xfId="0" applyFont="1"/>
    <xf numFmtId="0" fontId="1" fillId="0" borderId="0" xfId="0" applyFont="1" applyBorder="1" applyAlignment="1" applyProtection="1">
      <alignment horizontal="center"/>
      <protection locked="0"/>
    </xf>
    <xf numFmtId="0" fontId="20" fillId="0" borderId="0" xfId="0" applyFont="1" applyProtection="1">
      <protection locked="0"/>
    </xf>
    <xf numFmtId="0" fontId="15" fillId="0" borderId="17" xfId="0" applyFont="1" applyBorder="1"/>
    <xf numFmtId="0" fontId="15" fillId="0" borderId="17" xfId="0" applyFont="1" applyFill="1" applyBorder="1"/>
    <xf numFmtId="0" fontId="0" fillId="0" borderId="0" xfId="0" applyAlignment="1">
      <alignment horizontal="center"/>
    </xf>
    <xf numFmtId="0" fontId="3" fillId="3" borderId="18" xfId="0" applyFont="1" applyFill="1" applyBorder="1" applyProtection="1">
      <protection locked="0"/>
    </xf>
    <xf numFmtId="0" fontId="2" fillId="3" borderId="18" xfId="1" applyFill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44" fontId="0" fillId="0" borderId="0" xfId="3" applyFont="1" applyBorder="1" applyProtection="1">
      <protection locked="0"/>
    </xf>
    <xf numFmtId="0" fontId="8" fillId="3" borderId="20" xfId="1" applyFont="1" applyFill="1" applyBorder="1" applyAlignment="1" applyProtection="1">
      <alignment horizontal="left"/>
      <protection locked="0"/>
    </xf>
    <xf numFmtId="0" fontId="3" fillId="3" borderId="21" xfId="0" applyFont="1" applyFill="1" applyBorder="1" applyProtection="1">
      <protection locked="0"/>
    </xf>
    <xf numFmtId="0" fontId="8" fillId="3" borderId="22" xfId="1" applyFont="1" applyFill="1" applyBorder="1" applyAlignment="1" applyProtection="1">
      <alignment horizontal="left"/>
      <protection locked="0"/>
    </xf>
    <xf numFmtId="0" fontId="3" fillId="3" borderId="22" xfId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21" fillId="0" borderId="0" xfId="0" applyFont="1" applyProtection="1">
      <protection locked="0"/>
    </xf>
    <xf numFmtId="0" fontId="0" fillId="0" borderId="0" xfId="0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19" fillId="0" borderId="1" xfId="0" applyFont="1" applyBorder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1" fontId="0" fillId="0" borderId="11" xfId="0" applyNumberFormat="1" applyBorder="1" applyProtection="1">
      <protection locked="0"/>
    </xf>
    <xf numFmtId="0" fontId="14" fillId="0" borderId="7" xfId="0" applyFon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23" xfId="0" applyBorder="1" applyProtection="1">
      <protection locked="0"/>
    </xf>
    <xf numFmtId="0" fontId="6" fillId="0" borderId="0" xfId="0" applyFont="1"/>
    <xf numFmtId="0" fontId="22" fillId="0" borderId="0" xfId="0" applyFont="1" applyProtection="1">
      <protection locked="0"/>
    </xf>
    <xf numFmtId="3" fontId="5" fillId="0" borderId="0" xfId="0" applyNumberFormat="1" applyFont="1" applyAlignment="1">
      <alignment horizontal="centerContinuous"/>
    </xf>
    <xf numFmtId="3" fontId="1" fillId="0" borderId="4" xfId="0" applyNumberFormat="1" applyFont="1" applyBorder="1" applyAlignment="1">
      <alignment horizontal="centerContinuous"/>
    </xf>
    <xf numFmtId="3" fontId="0" fillId="0" borderId="3" xfId="0" applyNumberFormat="1" applyBorder="1"/>
    <xf numFmtId="3" fontId="0" fillId="0" borderId="3" xfId="0" applyNumberFormat="1" applyBorder="1" applyAlignment="1">
      <alignment horizontal="right"/>
    </xf>
    <xf numFmtId="3" fontId="6" fillId="0" borderId="3" xfId="0" applyNumberFormat="1" applyFont="1" applyBorder="1"/>
    <xf numFmtId="3" fontId="0" fillId="0" borderId="2" xfId="0" applyNumberFormat="1" applyBorder="1"/>
    <xf numFmtId="3" fontId="0" fillId="0" borderId="24" xfId="0" applyNumberFormat="1" applyBorder="1" applyAlignment="1" applyProtection="1">
      <alignment horizontal="centerContinuous"/>
      <protection locked="0"/>
    </xf>
    <xf numFmtId="0" fontId="0" fillId="0" borderId="5" xfId="0" applyBorder="1"/>
    <xf numFmtId="3" fontId="1" fillId="0" borderId="6" xfId="0" applyNumberFormat="1" applyFont="1" applyBorder="1" applyAlignment="1" applyProtection="1">
      <alignment horizontal="centerContinuous"/>
      <protection locked="0"/>
    </xf>
    <xf numFmtId="3" fontId="1" fillId="0" borderId="7" xfId="0" applyNumberFormat="1" applyFont="1" applyBorder="1" applyAlignment="1" applyProtection="1">
      <alignment horizontal="centerContinuous"/>
      <protection locked="0"/>
    </xf>
    <xf numFmtId="3" fontId="1" fillId="0" borderId="10" xfId="0" applyNumberFormat="1" applyFont="1" applyBorder="1" applyAlignment="1" applyProtection="1">
      <alignment horizontal="centerContinuous"/>
      <protection locked="0"/>
    </xf>
    <xf numFmtId="0" fontId="0" fillId="0" borderId="8" xfId="0" applyBorder="1"/>
    <xf numFmtId="3" fontId="1" fillId="0" borderId="2" xfId="0" applyNumberFormat="1" applyFont="1" applyBorder="1" applyAlignment="1" applyProtection="1">
      <alignment horizontal="center"/>
      <protection locked="0"/>
    </xf>
    <xf numFmtId="3" fontId="0" fillId="0" borderId="3" xfId="2" applyNumberFormat="1" applyFont="1" applyBorder="1" applyProtection="1">
      <protection locked="0"/>
    </xf>
    <xf numFmtId="3" fontId="0" fillId="0" borderId="4" xfId="2" applyNumberFormat="1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10" xfId="0" applyBorder="1" applyAlignment="1" applyProtection="1">
      <protection locked="0"/>
    </xf>
    <xf numFmtId="0" fontId="1" fillId="0" borderId="0" xfId="0" applyFont="1" applyBorder="1"/>
    <xf numFmtId="14" fontId="0" fillId="0" borderId="0" xfId="0" applyNumberFormat="1"/>
    <xf numFmtId="0" fontId="19" fillId="0" borderId="0" xfId="0" applyFont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19" fillId="0" borderId="11" xfId="0" applyFont="1" applyBorder="1"/>
    <xf numFmtId="0" fontId="15" fillId="0" borderId="25" xfId="0" applyFont="1" applyBorder="1" applyAlignment="1"/>
    <xf numFmtId="0" fontId="15" fillId="0" borderId="26" xfId="0" applyFont="1" applyBorder="1" applyAlignment="1">
      <alignment horizontal="centerContinuous"/>
    </xf>
    <xf numFmtId="166" fontId="0" fillId="0" borderId="4" xfId="2" applyNumberFormat="1" applyFont="1" applyBorder="1" applyProtection="1">
      <protection locked="0"/>
    </xf>
    <xf numFmtId="166" fontId="0" fillId="0" borderId="0" xfId="2" applyNumberFormat="1" applyFont="1" applyBorder="1" applyProtection="1">
      <protection locked="0"/>
    </xf>
    <xf numFmtId="0" fontId="0" fillId="0" borderId="25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6" fontId="14" fillId="0" borderId="0" xfId="0" applyNumberFormat="1" applyFont="1" applyBorder="1" applyProtection="1">
      <protection locked="0"/>
    </xf>
    <xf numFmtId="0" fontId="1" fillId="0" borderId="0" xfId="0" quotePrefix="1" applyFont="1" applyBorder="1" applyProtection="1">
      <protection locked="0"/>
    </xf>
    <xf numFmtId="166" fontId="6" fillId="0" borderId="0" xfId="2" applyNumberFormat="1" applyFont="1" applyProtection="1">
      <protection locked="0"/>
    </xf>
    <xf numFmtId="3" fontId="6" fillId="0" borderId="0" xfId="0" applyNumberFormat="1" applyFont="1" applyBorder="1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23" xfId="0" applyBorder="1"/>
    <xf numFmtId="6" fontId="0" fillId="0" borderId="0" xfId="0" applyNumberFormat="1" applyBorder="1"/>
    <xf numFmtId="0" fontId="0" fillId="0" borderId="27" xfId="0" applyBorder="1"/>
    <xf numFmtId="0" fontId="0" fillId="0" borderId="3" xfId="0" applyBorder="1" applyAlignment="1" applyProtection="1">
      <alignment horizontal="center"/>
      <protection locked="0"/>
    </xf>
    <xf numFmtId="3" fontId="0" fillId="0" borderId="8" xfId="0" applyNumberFormat="1" applyBorder="1"/>
    <xf numFmtId="0" fontId="19" fillId="0" borderId="0" xfId="0" applyFont="1" applyBorder="1"/>
    <xf numFmtId="0" fontId="19" fillId="0" borderId="0" xfId="0" applyFont="1" applyProtection="1">
      <protection locked="0"/>
    </xf>
    <xf numFmtId="0" fontId="19" fillId="0" borderId="0" xfId="0" applyFont="1" applyAlignment="1" applyProtection="1">
      <protection locked="0"/>
    </xf>
    <xf numFmtId="0" fontId="19" fillId="0" borderId="0" xfId="0" applyFont="1" applyAlignment="1" applyProtection="1">
      <alignment horizontal="right"/>
      <protection locked="0"/>
    </xf>
    <xf numFmtId="9" fontId="19" fillId="0" borderId="0" xfId="6" applyFont="1" applyAlignment="1" applyProtection="1">
      <alignment horizontal="centerContinuous"/>
      <protection locked="0"/>
    </xf>
    <xf numFmtId="0" fontId="0" fillId="0" borderId="27" xfId="0" applyBorder="1" applyAlignment="1">
      <alignment horizontal="center"/>
    </xf>
    <xf numFmtId="0" fontId="15" fillId="0" borderId="0" xfId="0" applyFont="1" applyBorder="1"/>
    <xf numFmtId="3" fontId="0" fillId="0" borderId="28" xfId="0" applyNumberFormat="1" applyBorder="1"/>
    <xf numFmtId="0" fontId="19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171" fontId="0" fillId="0" borderId="11" xfId="0" applyNumberFormat="1" applyBorder="1" applyProtection="1">
      <protection locked="0"/>
    </xf>
    <xf numFmtId="0" fontId="4" fillId="0" borderId="25" xfId="0" applyFont="1" applyBorder="1"/>
    <xf numFmtId="0" fontId="19" fillId="0" borderId="0" xfId="0" applyFont="1" applyAlignment="1">
      <alignment horizontal="centerContinuous"/>
    </xf>
    <xf numFmtId="0" fontId="19" fillId="5" borderId="4" xfId="0" applyFont="1" applyFill="1" applyBorder="1" applyAlignment="1" applyProtection="1">
      <alignment horizontal="centerContinuous" vertical="center"/>
      <protection locked="0"/>
    </xf>
    <xf numFmtId="0" fontId="19" fillId="0" borderId="4" xfId="0" applyFont="1" applyBorder="1" applyAlignment="1" applyProtection="1">
      <alignment horizontal="centerContinuous"/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22" fillId="0" borderId="9" xfId="0" applyFont="1" applyBorder="1" applyProtection="1">
      <protection locked="0"/>
    </xf>
    <xf numFmtId="14" fontId="0" fillId="0" borderId="0" xfId="0" applyNumberFormat="1" applyAlignment="1">
      <alignment horizontal="left"/>
    </xf>
    <xf numFmtId="43" fontId="0" fillId="0" borderId="0" xfId="0" applyNumberFormat="1" applyProtection="1">
      <protection locked="0"/>
    </xf>
    <xf numFmtId="3" fontId="29" fillId="0" borderId="0" xfId="0" applyNumberFormat="1" applyFont="1" applyProtection="1">
      <protection locked="0"/>
    </xf>
    <xf numFmtId="0" fontId="15" fillId="4" borderId="18" xfId="0" applyFont="1" applyFill="1" applyBorder="1"/>
    <xf numFmtId="0" fontId="15" fillId="0" borderId="0" xfId="0" applyFont="1" applyFill="1" applyBorder="1"/>
    <xf numFmtId="0" fontId="15" fillId="0" borderId="26" xfId="0" applyFont="1" applyBorder="1" applyAlignment="1"/>
    <xf numFmtId="0" fontId="15" fillId="0" borderId="18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29" xfId="0" applyFont="1" applyBorder="1" applyAlignment="1"/>
    <xf numFmtId="0" fontId="19" fillId="0" borderId="0" xfId="0" applyFont="1" applyProtection="1"/>
    <xf numFmtId="0" fontId="13" fillId="0" borderId="0" xfId="0" applyFont="1" applyAlignment="1">
      <alignment horizontal="center"/>
    </xf>
    <xf numFmtId="0" fontId="0" fillId="0" borderId="6" xfId="0" applyBorder="1" applyProtection="1">
      <protection locked="0"/>
    </xf>
    <xf numFmtId="0" fontId="19" fillId="0" borderId="0" xfId="0" applyFont="1" applyAlignment="1">
      <alignment horizontal="left"/>
    </xf>
    <xf numFmtId="0" fontId="6" fillId="0" borderId="0" xfId="0" applyFont="1" applyBorder="1" applyProtection="1">
      <protection locked="0"/>
    </xf>
    <xf numFmtId="166" fontId="0" fillId="0" borderId="8" xfId="2" applyNumberFormat="1" applyFont="1" applyBorder="1" applyProtection="1">
      <protection locked="0"/>
    </xf>
    <xf numFmtId="166" fontId="0" fillId="0" borderId="2" xfId="2" applyNumberFormat="1" applyFont="1" applyBorder="1" applyProtection="1">
      <protection locked="0"/>
    </xf>
    <xf numFmtId="166" fontId="0" fillId="0" borderId="3" xfId="2" applyNumberFormat="1" applyFont="1" applyBorder="1" applyProtection="1">
      <protection locked="0"/>
    </xf>
    <xf numFmtId="166" fontId="6" fillId="0" borderId="2" xfId="2" applyNumberFormat="1" applyFont="1" applyBorder="1" applyProtection="1">
      <protection locked="0"/>
    </xf>
    <xf numFmtId="3" fontId="0" fillId="0" borderId="0" xfId="2" applyNumberFormat="1" applyFont="1" applyBorder="1" applyProtection="1">
      <protection locked="0"/>
    </xf>
    <xf numFmtId="166" fontId="0" fillId="0" borderId="7" xfId="2" applyNumberFormat="1" applyFont="1" applyBorder="1" applyProtection="1">
      <protection locked="0"/>
    </xf>
    <xf numFmtId="43" fontId="0" fillId="0" borderId="4" xfId="2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3" fontId="0" fillId="0" borderId="0" xfId="2" applyFont="1" applyBorder="1" applyProtection="1">
      <protection locked="0"/>
    </xf>
    <xf numFmtId="166" fontId="0" fillId="0" borderId="10" xfId="2" applyNumberFormat="1" applyFont="1" applyBorder="1" applyProtection="1">
      <protection locked="0"/>
    </xf>
    <xf numFmtId="166" fontId="0" fillId="0" borderId="0" xfId="0" applyNumberFormat="1" applyBorder="1" applyProtection="1">
      <protection locked="0"/>
    </xf>
    <xf numFmtId="3" fontId="5" fillId="3" borderId="12" xfId="0" applyNumberFormat="1" applyFont="1" applyFill="1" applyBorder="1" applyAlignment="1" applyProtection="1">
      <alignment horizontal="left"/>
      <protection locked="0"/>
    </xf>
    <xf numFmtId="166" fontId="0" fillId="0" borderId="13" xfId="2" applyNumberFormat="1" applyFont="1" applyBorder="1" applyProtection="1">
      <protection locked="0"/>
    </xf>
    <xf numFmtId="166" fontId="0" fillId="0" borderId="24" xfId="2" applyNumberFormat="1" applyFont="1" applyBorder="1" applyProtection="1"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0" fontId="6" fillId="0" borderId="9" xfId="0" applyFont="1" applyBorder="1" applyProtection="1">
      <protection locked="0"/>
    </xf>
    <xf numFmtId="0" fontId="4" fillId="0" borderId="0" xfId="5" applyFont="1" applyBorder="1"/>
    <xf numFmtId="5" fontId="4" fillId="0" borderId="0" xfId="5" applyNumberFormat="1" applyFont="1" applyBorder="1"/>
    <xf numFmtId="0" fontId="6" fillId="0" borderId="9" xfId="5" applyFont="1" applyBorder="1"/>
    <xf numFmtId="0" fontId="6" fillId="0" borderId="0" xfId="5" applyFont="1" applyBorder="1"/>
    <xf numFmtId="5" fontId="6" fillId="0" borderId="0" xfId="5" applyNumberFormat="1" applyFont="1" applyBorder="1"/>
    <xf numFmtId="0" fontId="25" fillId="0" borderId="9" xfId="0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6" fillId="0" borderId="19" xfId="0" applyFont="1" applyBorder="1" applyProtection="1">
      <protection locked="0"/>
    </xf>
    <xf numFmtId="0" fontId="6" fillId="0" borderId="11" xfId="0" applyFont="1" applyBorder="1" applyProtection="1">
      <protection locked="0"/>
    </xf>
    <xf numFmtId="9" fontId="0" fillId="0" borderId="0" xfId="0" applyNumberFormat="1" applyAlignment="1">
      <alignment horizontal="left"/>
    </xf>
    <xf numFmtId="0" fontId="33" fillId="0" borderId="0" xfId="0" applyFont="1"/>
    <xf numFmtId="0" fontId="33" fillId="0" borderId="11" xfId="0" applyFont="1" applyBorder="1" applyAlignment="1">
      <alignment horizontal="left"/>
    </xf>
    <xf numFmtId="0" fontId="33" fillId="0" borderId="18" xfId="0" applyFont="1" applyBorder="1" applyAlignment="1">
      <alignment horizontal="left"/>
    </xf>
    <xf numFmtId="0" fontId="33" fillId="0" borderId="0" xfId="0" applyFont="1" applyAlignment="1">
      <alignment horizontal="left"/>
    </xf>
    <xf numFmtId="9" fontId="33" fillId="0" borderId="11" xfId="0" applyNumberFormat="1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15" fontId="33" fillId="0" borderId="11" xfId="0" applyNumberFormat="1" applyFont="1" applyBorder="1" applyAlignment="1">
      <alignment horizontal="left"/>
    </xf>
    <xf numFmtId="3" fontId="6" fillId="0" borderId="11" xfId="2" applyNumberFormat="1" applyFont="1" applyBorder="1" applyAlignment="1">
      <alignment horizontal="left"/>
    </xf>
    <xf numFmtId="3" fontId="16" fillId="0" borderId="0" xfId="0" applyNumberFormat="1" applyFont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4" fillId="0" borderId="0" xfId="0" applyFont="1" applyBorder="1" applyAlignment="1" applyProtection="1">
      <alignment horizontal="left"/>
      <protection locked="0"/>
    </xf>
    <xf numFmtId="0" fontId="14" fillId="0" borderId="0" xfId="0" applyFont="1" applyAlignment="1" applyProtection="1">
      <alignment horizontal="left"/>
      <protection locked="0"/>
    </xf>
    <xf numFmtId="3" fontId="14" fillId="0" borderId="0" xfId="0" applyNumberFormat="1" applyFont="1" applyAlignment="1" applyProtection="1">
      <alignment horizontal="left"/>
      <protection locked="0"/>
    </xf>
    <xf numFmtId="3" fontId="14" fillId="0" borderId="0" xfId="0" applyNumberFormat="1" applyFont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  <protection locked="0"/>
    </xf>
    <xf numFmtId="0" fontId="14" fillId="0" borderId="0" xfId="0" applyFont="1" applyAlignment="1">
      <alignment horizontal="left"/>
    </xf>
    <xf numFmtId="0" fontId="19" fillId="0" borderId="0" xfId="0" applyFont="1" applyAlignment="1" applyProtection="1">
      <alignment horizontal="left"/>
    </xf>
    <xf numFmtId="0" fontId="19" fillId="0" borderId="0" xfId="0" applyFont="1" applyBorder="1" applyAlignment="1" applyProtection="1">
      <alignment horizontal="left"/>
    </xf>
    <xf numFmtId="0" fontId="22" fillId="0" borderId="0" xfId="0" applyFont="1" applyAlignment="1" applyProtection="1">
      <alignment horizontal="left"/>
      <protection locked="0"/>
    </xf>
    <xf numFmtId="0" fontId="22" fillId="0" borderId="0" xfId="0" applyFont="1" applyAlignment="1">
      <alignment horizontal="left"/>
    </xf>
    <xf numFmtId="0" fontId="22" fillId="0" borderId="0" xfId="0" applyFont="1"/>
    <xf numFmtId="0" fontId="0" fillId="0" borderId="0" xfId="0" applyFill="1" applyProtection="1">
      <protection locked="0"/>
    </xf>
    <xf numFmtId="0" fontId="0" fillId="0" borderId="0" xfId="0" applyFill="1"/>
    <xf numFmtId="0" fontId="1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25" xfId="0" applyFont="1" applyBorder="1" applyAlignment="1"/>
    <xf numFmtId="0" fontId="19" fillId="0" borderId="25" xfId="0" applyFont="1" applyBorder="1" applyAlignment="1" applyProtection="1">
      <alignment horizontal="center"/>
      <protection locked="0"/>
    </xf>
    <xf numFmtId="0" fontId="13" fillId="0" borderId="5" xfId="0" applyFont="1" applyBorder="1" applyAlignment="1">
      <alignment horizontal="left"/>
    </xf>
    <xf numFmtId="0" fontId="13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9" xfId="0" applyFont="1" applyBorder="1" applyAlignment="1">
      <alignment horizontal="left"/>
    </xf>
    <xf numFmtId="0" fontId="15" fillId="0" borderId="33" xfId="0" applyFont="1" applyBorder="1" applyAlignment="1"/>
    <xf numFmtId="0" fontId="15" fillId="0" borderId="9" xfId="0" applyFont="1" applyBorder="1" applyAlignment="1">
      <alignment horizontal="left"/>
    </xf>
    <xf numFmtId="0" fontId="15" fillId="0" borderId="1" xfId="0" applyFont="1" applyBorder="1"/>
    <xf numFmtId="0" fontId="15" fillId="0" borderId="9" xfId="0" applyFont="1" applyFill="1" applyBorder="1"/>
    <xf numFmtId="0" fontId="15" fillId="0" borderId="1" xfId="0" applyFont="1" applyFill="1" applyBorder="1"/>
    <xf numFmtId="0" fontId="15" fillId="4" borderId="34" xfId="0" applyFont="1" applyFill="1" applyBorder="1"/>
    <xf numFmtId="0" fontId="15" fillId="4" borderId="35" xfId="0" applyFont="1" applyFill="1" applyBorder="1"/>
    <xf numFmtId="0" fontId="15" fillId="0" borderId="36" xfId="0" applyFont="1" applyFill="1" applyBorder="1"/>
    <xf numFmtId="0" fontId="15" fillId="0" borderId="37" xfId="0" applyFont="1" applyFill="1" applyBorder="1"/>
    <xf numFmtId="0" fontId="13" fillId="0" borderId="36" xfId="0" applyFont="1" applyBorder="1"/>
    <xf numFmtId="0" fontId="15" fillId="0" borderId="37" xfId="0" applyFont="1" applyBorder="1"/>
    <xf numFmtId="0" fontId="15" fillId="0" borderId="36" xfId="0" applyFont="1" applyBorder="1"/>
    <xf numFmtId="0" fontId="19" fillId="0" borderId="23" xfId="0" applyFont="1" applyBorder="1" applyAlignment="1" applyProtection="1">
      <alignment horizontal="center"/>
      <protection locked="0"/>
    </xf>
    <xf numFmtId="0" fontId="35" fillId="0" borderId="0" xfId="0" applyFont="1"/>
    <xf numFmtId="3" fontId="36" fillId="0" borderId="0" xfId="0" applyNumberFormat="1" applyFont="1" applyAlignment="1" applyProtection="1">
      <alignment horizontal="center"/>
    </xf>
    <xf numFmtId="3" fontId="36" fillId="0" borderId="0" xfId="0" applyNumberFormat="1" applyFont="1" applyAlignment="1" applyProtection="1">
      <alignment horizontal="centerContinuous"/>
    </xf>
    <xf numFmtId="0" fontId="35" fillId="0" borderId="0" xfId="0" applyFont="1" applyAlignment="1" applyProtection="1">
      <alignment horizontal="centerContinuous"/>
      <protection locked="0"/>
    </xf>
    <xf numFmtId="0" fontId="35" fillId="0" borderId="0" xfId="0" applyFont="1" applyProtection="1">
      <protection locked="0"/>
    </xf>
    <xf numFmtId="0" fontId="36" fillId="0" borderId="0" xfId="0" applyFont="1" applyAlignment="1" applyProtection="1">
      <alignment horizontal="center"/>
      <protection locked="0"/>
    </xf>
    <xf numFmtId="0" fontId="36" fillId="0" borderId="0" xfId="0" applyFont="1" applyAlignment="1" applyProtection="1">
      <alignment horizontal="centerContinuous"/>
      <protection locked="0"/>
    </xf>
    <xf numFmtId="0" fontId="38" fillId="0" borderId="0" xfId="0" applyFont="1" applyProtection="1">
      <protection locked="0"/>
    </xf>
    <xf numFmtId="0" fontId="6" fillId="0" borderId="0" xfId="0" applyFont="1" applyBorder="1"/>
    <xf numFmtId="3" fontId="0" fillId="0" borderId="25" xfId="0" applyNumberFormat="1" applyFill="1" applyBorder="1" applyProtection="1">
      <protection locked="0"/>
    </xf>
    <xf numFmtId="3" fontId="33" fillId="0" borderId="25" xfId="0" applyNumberFormat="1" applyFont="1" applyFill="1" applyBorder="1" applyProtection="1">
      <protection locked="0"/>
    </xf>
    <xf numFmtId="0" fontId="3" fillId="5" borderId="29" xfId="1" applyFont="1" applyFill="1" applyBorder="1" applyAlignment="1" applyProtection="1">
      <alignment horizontal="right"/>
      <protection locked="0"/>
    </xf>
    <xf numFmtId="3" fontId="6" fillId="0" borderId="25" xfId="0" applyNumberFormat="1" applyFont="1" applyFill="1" applyBorder="1" applyProtection="1">
      <protection locked="0"/>
    </xf>
    <xf numFmtId="3" fontId="8" fillId="0" borderId="25" xfId="1" applyNumberFormat="1" applyFont="1" applyFill="1" applyBorder="1" applyProtection="1">
      <protection locked="0"/>
    </xf>
    <xf numFmtId="3" fontId="3" fillId="0" borderId="25" xfId="1" applyNumberFormat="1" applyFont="1" applyFill="1" applyBorder="1" applyProtection="1">
      <protection locked="0"/>
    </xf>
    <xf numFmtId="0" fontId="2" fillId="3" borderId="21" xfId="0" applyFont="1" applyFill="1" applyBorder="1" applyProtection="1">
      <protection locked="0"/>
    </xf>
    <xf numFmtId="0" fontId="2" fillId="3" borderId="18" xfId="0" applyFont="1" applyFill="1" applyBorder="1" applyProtection="1">
      <protection locked="0"/>
    </xf>
    <xf numFmtId="0" fontId="3" fillId="3" borderId="18" xfId="1" applyFont="1" applyFill="1" applyBorder="1" applyAlignment="1" applyProtection="1">
      <alignment horizontal="right"/>
      <protection locked="0"/>
    </xf>
    <xf numFmtId="0" fontId="17" fillId="5" borderId="29" xfId="1" applyFont="1" applyFill="1" applyBorder="1" applyAlignment="1" applyProtection="1">
      <alignment horizontal="right"/>
      <protection locked="0"/>
    </xf>
    <xf numFmtId="6" fontId="6" fillId="0" borderId="0" xfId="0" applyNumberFormat="1" applyFont="1" applyBorder="1" applyProtection="1">
      <protection locked="0"/>
    </xf>
    <xf numFmtId="6" fontId="6" fillId="0" borderId="0" xfId="0" applyNumberFormat="1" applyFont="1" applyBorder="1" applyAlignment="1" applyProtection="1">
      <alignment horizontal="left"/>
      <protection locked="0"/>
    </xf>
    <xf numFmtId="0" fontId="8" fillId="5" borderId="29" xfId="1" applyFont="1" applyFill="1" applyBorder="1" applyAlignment="1" applyProtection="1">
      <alignment horizontal="right"/>
      <protection locked="0"/>
    </xf>
    <xf numFmtId="9" fontId="0" fillId="0" borderId="0" xfId="0" applyNumberFormat="1" applyBorder="1" applyProtection="1">
      <protection locked="0"/>
    </xf>
    <xf numFmtId="0" fontId="3" fillId="5" borderId="38" xfId="1" applyFont="1" applyFill="1" applyBorder="1" applyAlignment="1" applyProtection="1">
      <alignment horizontal="right"/>
      <protection locked="0"/>
    </xf>
    <xf numFmtId="3" fontId="3" fillId="3" borderId="25" xfId="1" applyNumberFormat="1" applyFont="1" applyFill="1" applyBorder="1" applyProtection="1">
      <protection locked="0"/>
    </xf>
    <xf numFmtId="9" fontId="6" fillId="3" borderId="25" xfId="6" applyFont="1" applyFill="1" applyBorder="1" applyProtection="1">
      <protection locked="0"/>
    </xf>
    <xf numFmtId="0" fontId="2" fillId="3" borderId="25" xfId="0" applyFont="1" applyFill="1" applyBorder="1" applyProtection="1">
      <protection locked="0"/>
    </xf>
    <xf numFmtId="9" fontId="6" fillId="3" borderId="25" xfId="0" applyNumberFormat="1" applyFont="1" applyFill="1" applyBorder="1" applyProtection="1">
      <protection locked="0"/>
    </xf>
    <xf numFmtId="3" fontId="14" fillId="0" borderId="25" xfId="0" applyNumberFormat="1" applyFont="1" applyFill="1" applyBorder="1" applyProtection="1">
      <protection locked="0"/>
    </xf>
    <xf numFmtId="3" fontId="6" fillId="0" borderId="25" xfId="1" applyNumberFormat="1" applyFont="1" applyFill="1" applyBorder="1" applyProtection="1">
      <protection locked="0"/>
    </xf>
    <xf numFmtId="3" fontId="17" fillId="0" borderId="25" xfId="1" applyNumberFormat="1" applyFont="1" applyFill="1" applyBorder="1" applyProtection="1">
      <protection locked="0"/>
    </xf>
    <xf numFmtId="9" fontId="3" fillId="0" borderId="25" xfId="6" applyFont="1" applyFill="1" applyBorder="1" applyProtection="1">
      <protection locked="0"/>
    </xf>
    <xf numFmtId="9" fontId="33" fillId="0" borderId="25" xfId="6" applyFont="1" applyFill="1" applyBorder="1" applyProtection="1">
      <protection locked="0"/>
    </xf>
    <xf numFmtId="0" fontId="19" fillId="5" borderId="4" xfId="0" applyFont="1" applyFill="1" applyBorder="1" applyAlignment="1" applyProtection="1">
      <alignment horizontal="left" vertical="center"/>
      <protection locked="0"/>
    </xf>
    <xf numFmtId="0" fontId="8" fillId="3" borderId="0" xfId="0" applyFont="1" applyFill="1" applyBorder="1" applyAlignment="1" applyProtection="1">
      <alignment horizontal="centerContinuous" vertical="center"/>
      <protection locked="0"/>
    </xf>
    <xf numFmtId="0" fontId="11" fillId="3" borderId="9" xfId="0" applyFont="1" applyFill="1" applyBorder="1" applyProtection="1">
      <protection locked="0"/>
    </xf>
    <xf numFmtId="0" fontId="7" fillId="3" borderId="0" xfId="0" applyFont="1" applyFill="1" applyBorder="1" applyProtection="1">
      <protection locked="0"/>
    </xf>
    <xf numFmtId="0" fontId="7" fillId="5" borderId="39" xfId="0" applyFont="1" applyFill="1" applyBorder="1" applyProtection="1">
      <protection locked="0"/>
    </xf>
    <xf numFmtId="0" fontId="7" fillId="5" borderId="40" xfId="0" applyFont="1" applyFill="1" applyBorder="1" applyProtection="1">
      <protection locked="0"/>
    </xf>
    <xf numFmtId="0" fontId="7" fillId="5" borderId="41" xfId="0" applyFont="1" applyFill="1" applyBorder="1" applyProtection="1"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 applyProtection="1">
      <alignment horizontal="center" vertical="center"/>
      <protection locked="0"/>
    </xf>
    <xf numFmtId="3" fontId="3" fillId="3" borderId="25" xfId="1" applyNumberFormat="1" applyFont="1" applyFill="1" applyBorder="1" applyAlignment="1" applyProtection="1">
      <alignment horizontal="center"/>
      <protection locked="0"/>
    </xf>
    <xf numFmtId="3" fontId="33" fillId="0" borderId="25" xfId="0" applyNumberFormat="1" applyFont="1" applyFill="1" applyBorder="1" applyAlignment="1" applyProtection="1">
      <alignment horizontal="center"/>
      <protection locked="0"/>
    </xf>
    <xf numFmtId="3" fontId="3" fillId="0" borderId="25" xfId="1" applyNumberFormat="1" applyFont="1" applyFill="1" applyBorder="1" applyAlignment="1" applyProtection="1">
      <alignment horizontal="center"/>
      <protection locked="0"/>
    </xf>
    <xf numFmtId="0" fontId="2" fillId="3" borderId="25" xfId="0" applyFont="1" applyFill="1" applyBorder="1" applyAlignment="1" applyProtection="1">
      <alignment horizontal="center"/>
      <protection locked="0"/>
    </xf>
    <xf numFmtId="3" fontId="6" fillId="0" borderId="25" xfId="0" applyNumberFormat="1" applyFont="1" applyFill="1" applyBorder="1" applyAlignment="1" applyProtection="1">
      <alignment horizontal="center"/>
      <protection locked="0"/>
    </xf>
    <xf numFmtId="3" fontId="8" fillId="0" borderId="25" xfId="1" applyNumberFormat="1" applyFont="1" applyFill="1" applyBorder="1" applyAlignment="1" applyProtection="1">
      <alignment horizontal="center"/>
      <protection locked="0"/>
    </xf>
    <xf numFmtId="3" fontId="0" fillId="0" borderId="25" xfId="0" applyNumberFormat="1" applyFill="1" applyBorder="1" applyAlignment="1" applyProtection="1">
      <alignment horizontal="center"/>
      <protection locked="0"/>
    </xf>
    <xf numFmtId="3" fontId="14" fillId="0" borderId="25" xfId="0" applyNumberFormat="1" applyFont="1" applyFill="1" applyBorder="1" applyAlignment="1" applyProtection="1">
      <alignment horizontal="center"/>
      <protection locked="0"/>
    </xf>
    <xf numFmtId="3" fontId="17" fillId="0" borderId="25" xfId="1" applyNumberFormat="1" applyFont="1" applyFill="1" applyBorder="1" applyAlignment="1" applyProtection="1">
      <alignment horizontal="center"/>
      <protection locked="0"/>
    </xf>
    <xf numFmtId="9" fontId="33" fillId="0" borderId="25" xfId="6" applyFont="1" applyFill="1" applyBorder="1" applyAlignment="1" applyProtection="1">
      <alignment horizontal="center"/>
      <protection locked="0"/>
    </xf>
    <xf numFmtId="9" fontId="3" fillId="0" borderId="25" xfId="6" applyFont="1" applyFill="1" applyBorder="1" applyAlignment="1" applyProtection="1">
      <alignment horizontal="center"/>
      <protection locked="0"/>
    </xf>
    <xf numFmtId="0" fontId="2" fillId="0" borderId="0" xfId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6" fontId="14" fillId="0" borderId="0" xfId="2" applyNumberFormat="1" applyFont="1" applyBorder="1" applyProtection="1">
      <protection locked="0"/>
    </xf>
    <xf numFmtId="9" fontId="14" fillId="0" borderId="0" xfId="6" applyFont="1" applyBorder="1" applyProtection="1">
      <protection locked="0"/>
    </xf>
    <xf numFmtId="9" fontId="14" fillId="0" borderId="0" xfId="0" applyNumberFormat="1" applyFont="1" applyBorder="1" applyProtection="1">
      <protection locked="0"/>
    </xf>
    <xf numFmtId="9" fontId="33" fillId="0" borderId="0" xfId="6" applyFont="1" applyAlignment="1" applyProtection="1">
      <alignment horizontal="right"/>
      <protection locked="0"/>
    </xf>
    <xf numFmtId="9" fontId="33" fillId="0" borderId="0" xfId="6" applyFont="1" applyProtection="1">
      <protection locked="0"/>
    </xf>
    <xf numFmtId="166" fontId="6" fillId="0" borderId="25" xfId="2" applyNumberFormat="1" applyFont="1" applyFill="1" applyBorder="1" applyProtection="1">
      <protection locked="0"/>
    </xf>
    <xf numFmtId="166" fontId="6" fillId="0" borderId="0" xfId="2" applyNumberFormat="1" applyFont="1" applyAlignment="1" applyProtection="1">
      <alignment horizontal="right"/>
      <protection locked="0"/>
    </xf>
    <xf numFmtId="9" fontId="19" fillId="3" borderId="25" xfId="6" applyFont="1" applyFill="1" applyBorder="1" applyProtection="1">
      <protection locked="0"/>
    </xf>
    <xf numFmtId="3" fontId="18" fillId="0" borderId="12" xfId="0" applyNumberFormat="1" applyFont="1" applyFill="1" applyBorder="1" applyAlignment="1" applyProtection="1">
      <alignment horizontal="left"/>
      <protection locked="0"/>
    </xf>
    <xf numFmtId="0" fontId="14" fillId="0" borderId="12" xfId="0" applyFont="1" applyFill="1" applyBorder="1" applyAlignment="1" applyProtection="1">
      <alignment horizontal="centerContinuous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4" fillId="0" borderId="0" xfId="0" applyFont="1" applyFill="1" applyBorder="1" applyProtection="1">
      <protection locked="0"/>
    </xf>
    <xf numFmtId="0" fontId="18" fillId="0" borderId="0" xfId="0" applyFont="1" applyFill="1" applyBorder="1" applyProtection="1">
      <protection locked="0"/>
    </xf>
    <xf numFmtId="0" fontId="22" fillId="0" borderId="0" xfId="1" applyFont="1" applyFill="1" applyBorder="1" applyAlignment="1" applyProtection="1">
      <alignment horizontal="right"/>
      <protection locked="0"/>
    </xf>
    <xf numFmtId="9" fontId="19" fillId="5" borderId="4" xfId="6" applyFont="1" applyFill="1" applyBorder="1" applyAlignment="1" applyProtection="1">
      <alignment horizontal="center" vertical="center"/>
      <protection locked="0"/>
    </xf>
    <xf numFmtId="166" fontId="19" fillId="5" borderId="4" xfId="2" applyNumberFormat="1" applyFont="1" applyFill="1" applyBorder="1" applyAlignment="1" applyProtection="1">
      <alignment horizontal="centerContinuous" vertical="center"/>
      <protection locked="0"/>
    </xf>
    <xf numFmtId="9" fontId="19" fillId="0" borderId="25" xfId="6" applyFont="1" applyFill="1" applyBorder="1" applyProtection="1">
      <protection locked="0"/>
    </xf>
    <xf numFmtId="6" fontId="14" fillId="0" borderId="9" xfId="0" applyNumberFormat="1" applyFont="1" applyBorder="1" applyProtection="1">
      <protection locked="0"/>
    </xf>
    <xf numFmtId="0" fontId="22" fillId="0" borderId="12" xfId="1" applyFont="1" applyFill="1" applyBorder="1" applyAlignment="1" applyProtection="1">
      <alignment horizontal="centerContinuous"/>
      <protection locked="0"/>
    </xf>
    <xf numFmtId="0" fontId="19" fillId="0" borderId="0" xfId="0" applyFont="1" applyFill="1" applyBorder="1" applyAlignment="1" applyProtection="1">
      <alignment horizontal="centerContinuous" vertical="center"/>
      <protection locked="0"/>
    </xf>
    <xf numFmtId="9" fontId="34" fillId="0" borderId="0" xfId="6" applyFont="1" applyFill="1" applyBorder="1" applyAlignment="1" applyProtection="1">
      <alignment horizontal="centerContinuous" vertical="center"/>
      <protection locked="0"/>
    </xf>
    <xf numFmtId="166" fontId="19" fillId="0" borderId="0" xfId="2" applyNumberFormat="1" applyFont="1" applyFill="1" applyBorder="1" applyAlignment="1" applyProtection="1">
      <alignment horizontal="centerContinuous" vertical="center"/>
      <protection locked="0"/>
    </xf>
    <xf numFmtId="0" fontId="16" fillId="5" borderId="39" xfId="0" applyFont="1" applyFill="1" applyBorder="1" applyProtection="1">
      <protection locked="0"/>
    </xf>
    <xf numFmtId="0" fontId="16" fillId="5" borderId="41" xfId="0" applyFont="1" applyFill="1" applyBorder="1" applyProtection="1">
      <protection locked="0"/>
    </xf>
    <xf numFmtId="0" fontId="22" fillId="3" borderId="20" xfId="1" applyFont="1" applyFill="1" applyBorder="1" applyAlignment="1" applyProtection="1">
      <alignment horizontal="left"/>
      <protection locked="0"/>
    </xf>
    <xf numFmtId="0" fontId="22" fillId="3" borderId="21" xfId="1" applyFont="1" applyFill="1" applyBorder="1" applyAlignment="1" applyProtection="1">
      <alignment horizontal="right"/>
      <protection locked="0"/>
    </xf>
    <xf numFmtId="3" fontId="22" fillId="3" borderId="25" xfId="1" applyNumberFormat="1" applyFont="1" applyFill="1" applyBorder="1" applyProtection="1">
      <protection locked="0"/>
    </xf>
    <xf numFmtId="9" fontId="34" fillId="3" borderId="25" xfId="6" applyFont="1" applyFill="1" applyBorder="1" applyProtection="1">
      <protection locked="0"/>
    </xf>
    <xf numFmtId="0" fontId="14" fillId="3" borderId="20" xfId="1" applyFont="1" applyFill="1" applyBorder="1" applyProtection="1">
      <protection locked="0"/>
    </xf>
    <xf numFmtId="9" fontId="22" fillId="3" borderId="25" xfId="6" applyFont="1" applyFill="1" applyBorder="1" applyProtection="1">
      <protection locked="0"/>
    </xf>
    <xf numFmtId="9" fontId="22" fillId="3" borderId="42" xfId="6" applyFont="1" applyFill="1" applyBorder="1" applyProtection="1">
      <protection locked="0"/>
    </xf>
    <xf numFmtId="0" fontId="14" fillId="0" borderId="0" xfId="1" applyFont="1" applyProtection="1">
      <protection locked="0"/>
    </xf>
    <xf numFmtId="3" fontId="22" fillId="0" borderId="25" xfId="1" applyNumberFormat="1" applyFont="1" applyFill="1" applyBorder="1" applyProtection="1">
      <protection locked="0"/>
    </xf>
    <xf numFmtId="9" fontId="34" fillId="0" borderId="25" xfId="6" applyFont="1" applyFill="1" applyBorder="1" applyProtection="1">
      <protection locked="0"/>
    </xf>
    <xf numFmtId="0" fontId="22" fillId="3" borderId="22" xfId="1" applyFont="1" applyFill="1" applyBorder="1" applyAlignment="1" applyProtection="1">
      <alignment horizontal="left"/>
      <protection locked="0"/>
    </xf>
    <xf numFmtId="0" fontId="22" fillId="3" borderId="18" xfId="1" applyFont="1" applyFill="1" applyBorder="1" applyAlignment="1" applyProtection="1">
      <alignment horizontal="right"/>
      <protection locked="0"/>
    </xf>
    <xf numFmtId="0" fontId="14" fillId="3" borderId="22" xfId="1" applyFont="1" applyFill="1" applyBorder="1" applyProtection="1">
      <protection locked="0"/>
    </xf>
    <xf numFmtId="0" fontId="14" fillId="0" borderId="9" xfId="1" applyFont="1" applyBorder="1" applyProtection="1">
      <protection locked="0"/>
    </xf>
    <xf numFmtId="0" fontId="6" fillId="0" borderId="9" xfId="0" applyFont="1" applyBorder="1"/>
    <xf numFmtId="0" fontId="22" fillId="3" borderId="34" xfId="1" applyFont="1" applyFill="1" applyBorder="1" applyAlignment="1" applyProtection="1">
      <alignment horizontal="left"/>
      <protection locked="0"/>
    </xf>
    <xf numFmtId="0" fontId="22" fillId="3" borderId="29" xfId="1" applyFont="1" applyFill="1" applyBorder="1" applyAlignment="1" applyProtection="1">
      <alignment horizontal="right"/>
      <protection locked="0"/>
    </xf>
    <xf numFmtId="0" fontId="14" fillId="3" borderId="34" xfId="1" applyFont="1" applyFill="1" applyBorder="1" applyProtection="1">
      <protection locked="0"/>
    </xf>
    <xf numFmtId="0" fontId="22" fillId="3" borderId="43" xfId="1" applyFont="1" applyFill="1" applyBorder="1" applyAlignment="1" applyProtection="1">
      <alignment horizontal="left"/>
      <protection locked="0"/>
    </xf>
    <xf numFmtId="0" fontId="22" fillId="3" borderId="44" xfId="1" applyFont="1" applyFill="1" applyBorder="1" applyAlignment="1" applyProtection="1">
      <alignment horizontal="right"/>
      <protection locked="0"/>
    </xf>
    <xf numFmtId="3" fontId="22" fillId="3" borderId="45" xfId="1" applyNumberFormat="1" applyFont="1" applyFill="1" applyBorder="1" applyProtection="1">
      <protection locked="0"/>
    </xf>
    <xf numFmtId="9" fontId="34" fillId="3" borderId="45" xfId="6" applyFont="1" applyFill="1" applyBorder="1" applyProtection="1">
      <protection locked="0"/>
    </xf>
    <xf numFmtId="0" fontId="14" fillId="3" borderId="43" xfId="1" applyFont="1" applyFill="1" applyBorder="1" applyProtection="1">
      <protection locked="0"/>
    </xf>
    <xf numFmtId="9" fontId="34" fillId="0" borderId="0" xfId="6" applyFont="1" applyFill="1" applyBorder="1" applyAlignment="1" applyProtection="1">
      <alignment horizontal="right" vertical="center"/>
      <protection locked="0"/>
    </xf>
    <xf numFmtId="9" fontId="19" fillId="5" borderId="4" xfId="6" applyFont="1" applyFill="1" applyBorder="1" applyAlignment="1" applyProtection="1">
      <alignment horizontal="right" vertical="center"/>
      <protection locked="0"/>
    </xf>
    <xf numFmtId="9" fontId="34" fillId="3" borderId="42" xfId="6" applyFont="1" applyFill="1" applyBorder="1" applyAlignment="1" applyProtection="1">
      <alignment horizontal="right"/>
      <protection locked="0"/>
    </xf>
    <xf numFmtId="9" fontId="33" fillId="0" borderId="42" xfId="6" applyFont="1" applyFill="1" applyBorder="1" applyAlignment="1" applyProtection="1">
      <alignment horizontal="right"/>
      <protection locked="0"/>
    </xf>
    <xf numFmtId="9" fontId="34" fillId="0" borderId="42" xfId="6" applyFont="1" applyFill="1" applyBorder="1" applyAlignment="1" applyProtection="1">
      <alignment horizontal="right"/>
      <protection locked="0"/>
    </xf>
    <xf numFmtId="9" fontId="34" fillId="3" borderId="46" xfId="6" applyFont="1" applyFill="1" applyBorder="1" applyAlignment="1" applyProtection="1">
      <alignment horizontal="right"/>
      <protection locked="0"/>
    </xf>
    <xf numFmtId="0" fontId="23" fillId="0" borderId="0" xfId="0" applyFont="1"/>
    <xf numFmtId="0" fontId="13" fillId="0" borderId="0" xfId="0" applyFont="1"/>
    <xf numFmtId="228" fontId="15" fillId="0" borderId="0" xfId="0" applyNumberFormat="1" applyFont="1"/>
    <xf numFmtId="228" fontId="37" fillId="0" borderId="0" xfId="0" applyNumberFormat="1" applyFont="1"/>
    <xf numFmtId="3" fontId="23" fillId="0" borderId="0" xfId="0" applyNumberFormat="1" applyFont="1"/>
    <xf numFmtId="228" fontId="19" fillId="0" borderId="0" xfId="0" applyNumberFormat="1" applyFont="1" applyAlignment="1">
      <alignment horizontal="center" wrapText="1"/>
    </xf>
    <xf numFmtId="228" fontId="34" fillId="0" borderId="0" xfId="0" applyNumberFormat="1" applyFont="1" applyAlignment="1">
      <alignment horizontal="center" wrapText="1"/>
    </xf>
    <xf numFmtId="228" fontId="6" fillId="0" borderId="0" xfId="0" applyNumberFormat="1" applyFont="1"/>
    <xf numFmtId="228" fontId="33" fillId="0" borderId="25" xfId="0" applyNumberFormat="1" applyFont="1" applyBorder="1"/>
    <xf numFmtId="228" fontId="33" fillId="0" borderId="0" xfId="0" applyNumberFormat="1" applyFont="1"/>
    <xf numFmtId="0" fontId="19" fillId="0" borderId="0" xfId="0" applyFont="1" applyAlignment="1">
      <alignment horizontal="center" wrapText="1"/>
    </xf>
    <xf numFmtId="228" fontId="0" fillId="0" borderId="0" xfId="0" applyNumberFormat="1"/>
    <xf numFmtId="228" fontId="0" fillId="0" borderId="1" xfId="0" applyNumberFormat="1" applyBorder="1"/>
    <xf numFmtId="0" fontId="19" fillId="0" borderId="9" xfId="0" applyFont="1" applyBorder="1"/>
    <xf numFmtId="0" fontId="33" fillId="0" borderId="27" xfId="0" applyFont="1" applyBorder="1"/>
    <xf numFmtId="228" fontId="0" fillId="0" borderId="27" xfId="0" applyNumberFormat="1" applyBorder="1"/>
    <xf numFmtId="9" fontId="33" fillId="0" borderId="27" xfId="6" applyFont="1" applyBorder="1"/>
    <xf numFmtId="228" fontId="0" fillId="0" borderId="47" xfId="0" applyNumberFormat="1" applyBorder="1"/>
    <xf numFmtId="0" fontId="36" fillId="0" borderId="13" xfId="0" applyFont="1" applyBorder="1"/>
    <xf numFmtId="0" fontId="19" fillId="0" borderId="48" xfId="0" applyFont="1" applyBorder="1" applyAlignment="1">
      <alignment horizontal="center" wrapText="1"/>
    </xf>
    <xf numFmtId="228" fontId="19" fillId="0" borderId="48" xfId="0" applyNumberFormat="1" applyFont="1" applyBorder="1" applyAlignment="1">
      <alignment horizontal="center" wrapText="1"/>
    </xf>
    <xf numFmtId="228" fontId="19" fillId="0" borderId="40" xfId="0" applyNumberFormat="1" applyFont="1" applyBorder="1" applyAlignment="1">
      <alignment horizontal="center" wrapText="1"/>
    </xf>
    <xf numFmtId="228" fontId="19" fillId="0" borderId="24" xfId="0" applyNumberFormat="1" applyFont="1" applyBorder="1" applyAlignment="1">
      <alignment horizontal="center" wrapText="1"/>
    </xf>
    <xf numFmtId="0" fontId="33" fillId="0" borderId="27" xfId="0" applyFont="1" applyBorder="1" applyAlignment="1">
      <alignment horizontal="center"/>
    </xf>
    <xf numFmtId="0" fontId="0" fillId="0" borderId="19" xfId="0" applyBorder="1"/>
    <xf numFmtId="0" fontId="33" fillId="0" borderId="49" xfId="0" applyFont="1" applyBorder="1" applyAlignment="1">
      <alignment horizontal="center"/>
    </xf>
    <xf numFmtId="0" fontId="0" fillId="0" borderId="49" xfId="0" applyBorder="1" applyAlignment="1">
      <alignment horizontal="center"/>
    </xf>
    <xf numFmtId="9" fontId="33" fillId="0" borderId="49" xfId="6" applyFont="1" applyBorder="1"/>
    <xf numFmtId="228" fontId="0" fillId="0" borderId="50" xfId="0" applyNumberFormat="1" applyBorder="1"/>
    <xf numFmtId="228" fontId="0" fillId="0" borderId="33" xfId="0" applyNumberFormat="1" applyBorder="1"/>
    <xf numFmtId="228" fontId="39" fillId="0" borderId="44" xfId="0" applyNumberFormat="1" applyFont="1" applyBorder="1"/>
    <xf numFmtId="0" fontId="39" fillId="0" borderId="44" xfId="2" applyNumberFormat="1" applyFont="1" applyBorder="1" applyAlignment="1">
      <alignment horizontal="center"/>
    </xf>
    <xf numFmtId="228" fontId="39" fillId="0" borderId="44" xfId="2" applyNumberFormat="1" applyFont="1" applyBorder="1"/>
    <xf numFmtId="0" fontId="39" fillId="0" borderId="0" xfId="0" applyFont="1"/>
    <xf numFmtId="228" fontId="39" fillId="0" borderId="43" xfId="0" applyNumberFormat="1" applyFont="1" applyBorder="1"/>
    <xf numFmtId="0" fontId="36" fillId="0" borderId="14" xfId="0" applyFont="1" applyBorder="1" applyAlignment="1">
      <alignment horizontal="left" vertical="center"/>
    </xf>
    <xf numFmtId="228" fontId="39" fillId="0" borderId="46" xfId="2" applyNumberFormat="1" applyFont="1" applyBorder="1"/>
    <xf numFmtId="228" fontId="39" fillId="0" borderId="45" xfId="2" applyNumberFormat="1" applyFont="1" applyBorder="1"/>
    <xf numFmtId="0" fontId="39" fillId="0" borderId="38" xfId="2" applyNumberFormat="1" applyFont="1" applyBorder="1" applyAlignment="1">
      <alignment horizontal="center"/>
    </xf>
    <xf numFmtId="228" fontId="6" fillId="0" borderId="27" xfId="0" applyNumberFormat="1" applyFont="1" applyBorder="1"/>
    <xf numFmtId="9" fontId="6" fillId="0" borderId="27" xfId="6" applyFont="1" applyBorder="1"/>
    <xf numFmtId="0" fontId="6" fillId="0" borderId="27" xfId="0" applyFont="1" applyBorder="1" applyAlignment="1">
      <alignment horizontal="center"/>
    </xf>
    <xf numFmtId="0" fontId="6" fillId="0" borderId="27" xfId="0" applyFont="1" applyBorder="1"/>
    <xf numFmtId="0" fontId="6" fillId="0" borderId="19" xfId="0" applyFont="1" applyBorder="1"/>
    <xf numFmtId="0" fontId="6" fillId="0" borderId="49" xfId="0" applyFont="1" applyBorder="1" applyAlignment="1">
      <alignment horizontal="center"/>
    </xf>
    <xf numFmtId="9" fontId="6" fillId="0" borderId="49" xfId="6" applyFont="1" applyBorder="1"/>
    <xf numFmtId="0" fontId="0" fillId="0" borderId="29" xfId="0" applyBorder="1"/>
    <xf numFmtId="0" fontId="0" fillId="0" borderId="18" xfId="0" applyBorder="1"/>
    <xf numFmtId="0" fontId="19" fillId="0" borderId="0" xfId="0" applyFont="1" applyAlignment="1" applyProtection="1">
      <alignment wrapText="1"/>
      <protection locked="0"/>
    </xf>
    <xf numFmtId="0" fontId="19" fillId="0" borderId="4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9" fillId="0" borderId="4" xfId="0" applyFont="1" applyBorder="1" applyAlignment="1" applyProtection="1">
      <alignment horizontal="centerContinuous"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19" fillId="0" borderId="0" xfId="0" applyFont="1" applyBorder="1" applyAlignment="1" applyProtection="1">
      <alignment horizontal="centerContinuous"/>
      <protection locked="0"/>
    </xf>
    <xf numFmtId="0" fontId="19" fillId="0" borderId="0" xfId="0" applyFont="1" applyBorder="1" applyAlignment="1" applyProtection="1">
      <alignment horizontal="center"/>
      <protection locked="0"/>
    </xf>
    <xf numFmtId="1" fontId="0" fillId="0" borderId="27" xfId="0" applyNumberFormat="1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Continuous"/>
      <protection locked="0"/>
    </xf>
    <xf numFmtId="0" fontId="0" fillId="0" borderId="27" xfId="0" applyBorder="1" applyAlignment="1" applyProtection="1">
      <alignment horizontal="centerContinuous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6" fillId="0" borderId="27" xfId="0" applyFont="1" applyBorder="1" applyAlignment="1" applyProtection="1">
      <alignment horizontal="center"/>
      <protection locked="0"/>
    </xf>
    <xf numFmtId="0" fontId="6" fillId="0" borderId="51" xfId="0" applyFont="1" applyBorder="1" applyAlignment="1" applyProtection="1">
      <alignment horizontal="center"/>
      <protection locked="0"/>
    </xf>
    <xf numFmtId="0" fontId="33" fillId="0" borderId="27" xfId="0" applyFont="1" applyBorder="1" applyAlignment="1" applyProtection="1">
      <alignment horizontal="centerContinuous"/>
      <protection locked="0"/>
    </xf>
    <xf numFmtId="166" fontId="4" fillId="0" borderId="52" xfId="2" applyNumberFormat="1" applyBorder="1" applyProtection="1">
      <protection locked="0"/>
    </xf>
    <xf numFmtId="166" fontId="4" fillId="0" borderId="53" xfId="2" applyNumberFormat="1" applyBorder="1" applyProtection="1"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1" fontId="0" fillId="0" borderId="54" xfId="0" applyNumberFormat="1" applyBorder="1" applyAlignment="1" applyProtection="1">
      <alignment horizontal="center"/>
      <protection locked="0"/>
    </xf>
    <xf numFmtId="0" fontId="19" fillId="0" borderId="13" xfId="0" applyFont="1" applyBorder="1" applyAlignment="1" applyProtection="1">
      <alignment horizontal="centerContinuous"/>
      <protection locked="0"/>
    </xf>
    <xf numFmtId="0" fontId="19" fillId="0" borderId="41" xfId="0" applyFont="1" applyBorder="1" applyAlignment="1" applyProtection="1">
      <alignment horizontal="center"/>
      <protection locked="0"/>
    </xf>
    <xf numFmtId="228" fontId="6" fillId="0" borderId="27" xfId="2" applyNumberFormat="1" applyFont="1" applyBorder="1" applyAlignment="1" applyProtection="1">
      <protection locked="0"/>
    </xf>
    <xf numFmtId="228" fontId="0" fillId="0" borderId="53" xfId="2" applyNumberFormat="1" applyFont="1" applyBorder="1" applyAlignment="1" applyProtection="1">
      <protection locked="0"/>
    </xf>
    <xf numFmtId="228" fontId="6" fillId="0" borderId="54" xfId="2" applyNumberFormat="1" applyFont="1" applyBorder="1" applyAlignment="1" applyProtection="1">
      <protection locked="0"/>
    </xf>
    <xf numFmtId="228" fontId="0" fillId="0" borderId="55" xfId="2" applyNumberFormat="1" applyFont="1" applyBorder="1" applyAlignment="1" applyProtection="1">
      <protection locked="0"/>
    </xf>
    <xf numFmtId="228" fontId="19" fillId="0" borderId="4" xfId="2" applyNumberFormat="1" applyFont="1" applyBorder="1" applyAlignment="1" applyProtection="1">
      <alignment horizontal="right"/>
      <protection locked="0"/>
    </xf>
    <xf numFmtId="0" fontId="13" fillId="0" borderId="18" xfId="0" applyFont="1" applyFill="1" applyBorder="1" applyAlignment="1">
      <alignment horizontal="center"/>
    </xf>
    <xf numFmtId="0" fontId="15" fillId="0" borderId="18" xfId="0" applyFont="1" applyFill="1" applyBorder="1"/>
    <xf numFmtId="0" fontId="15" fillId="0" borderId="29" xfId="0" applyFont="1" applyFill="1" applyBorder="1"/>
    <xf numFmtId="0" fontId="15" fillId="0" borderId="9" xfId="0" applyFont="1" applyBorder="1"/>
    <xf numFmtId="0" fontId="15" fillId="0" borderId="9" xfId="0" applyFont="1" applyBorder="1" applyProtection="1">
      <protection locked="0"/>
    </xf>
    <xf numFmtId="0" fontId="6" fillId="0" borderId="7" xfId="0" applyFont="1" applyBorder="1" applyProtection="1">
      <protection locked="0"/>
    </xf>
    <xf numFmtId="1" fontId="0" fillId="0" borderId="56" xfId="0" applyNumberFormat="1" applyBorder="1" applyAlignment="1" applyProtection="1">
      <alignment horizontal="center"/>
      <protection locked="0"/>
    </xf>
    <xf numFmtId="1" fontId="15" fillId="0" borderId="25" xfId="0" applyNumberFormat="1" applyFont="1" applyBorder="1" applyAlignment="1">
      <alignment horizontal="center"/>
    </xf>
    <xf numFmtId="0" fontId="15" fillId="0" borderId="0" xfId="0" applyFont="1" applyProtection="1">
      <protection locked="0"/>
    </xf>
    <xf numFmtId="0" fontId="13" fillId="0" borderId="9" xfId="0" applyFont="1" applyBorder="1"/>
    <xf numFmtId="0" fontId="13" fillId="0" borderId="12" xfId="0" applyFont="1" applyBorder="1" applyAlignment="1">
      <alignment horizontal="center" wrapText="1"/>
    </xf>
    <xf numFmtId="0" fontId="13" fillId="0" borderId="29" xfId="0" applyFont="1" applyBorder="1" applyAlignment="1">
      <alignment horizontal="center"/>
    </xf>
    <xf numFmtId="3" fontId="36" fillId="0" borderId="0" xfId="0" applyNumberFormat="1" applyFont="1" applyAlignment="1" applyProtection="1">
      <alignment horizontal="left"/>
    </xf>
    <xf numFmtId="0" fontId="36" fillId="0" borderId="0" xfId="0" applyFont="1" applyAlignment="1" applyProtection="1">
      <alignment horizontal="left"/>
      <protection locked="0"/>
    </xf>
    <xf numFmtId="3" fontId="5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horizontal="left"/>
      <protection locked="0"/>
    </xf>
    <xf numFmtId="228" fontId="39" fillId="0" borderId="0" xfId="0" applyNumberFormat="1" applyFont="1" applyBorder="1"/>
    <xf numFmtId="0" fontId="39" fillId="0" borderId="0" xfId="2" applyNumberFormat="1" applyFont="1" applyBorder="1" applyAlignment="1">
      <alignment horizontal="center"/>
    </xf>
    <xf numFmtId="228" fontId="39" fillId="0" borderId="0" xfId="2" applyNumberFormat="1" applyFont="1" applyBorder="1"/>
    <xf numFmtId="228" fontId="23" fillId="0" borderId="13" xfId="2" applyNumberFormat="1" applyFont="1" applyBorder="1"/>
    <xf numFmtId="228" fontId="39" fillId="0" borderId="14" xfId="2" applyNumberFormat="1" applyFont="1" applyBorder="1"/>
    <xf numFmtId="228" fontId="13" fillId="0" borderId="24" xfId="2" applyNumberFormat="1" applyFont="1" applyBorder="1"/>
    <xf numFmtId="0" fontId="18" fillId="0" borderId="0" xfId="0" applyFont="1" applyAlignment="1" applyProtection="1">
      <alignment horizontal="left"/>
      <protection locked="0"/>
    </xf>
    <xf numFmtId="0" fontId="22" fillId="0" borderId="0" xfId="0" applyFont="1" applyAlignment="1" applyProtection="1">
      <alignment horizontal="center"/>
      <protection locked="0"/>
    </xf>
    <xf numFmtId="0" fontId="14" fillId="0" borderId="0" xfId="1" applyFont="1" applyBorder="1" applyProtection="1"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19" fillId="0" borderId="57" xfId="0" applyFont="1" applyBorder="1" applyAlignment="1">
      <alignment horizontal="center"/>
    </xf>
    <xf numFmtId="0" fontId="33" fillId="0" borderId="1" xfId="0" applyFont="1" applyBorder="1"/>
    <xf numFmtId="0" fontId="33" fillId="0" borderId="42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6" fillId="0" borderId="0" xfId="0" applyFont="1" applyFill="1"/>
    <xf numFmtId="0" fontId="40" fillId="0" borderId="0" xfId="0" applyFont="1" applyFill="1"/>
    <xf numFmtId="0" fontId="19" fillId="0" borderId="0" xfId="0" applyFont="1" applyFill="1"/>
    <xf numFmtId="0" fontId="0" fillId="0" borderId="0" xfId="0" applyFill="1" applyBorder="1"/>
    <xf numFmtId="0" fontId="33" fillId="0" borderId="0" xfId="0" applyFont="1" applyFill="1" applyBorder="1" applyAlignment="1">
      <alignment horizontal="right"/>
    </xf>
    <xf numFmtId="0" fontId="22" fillId="0" borderId="18" xfId="1" applyFont="1" applyFill="1" applyBorder="1" applyAlignment="1" applyProtection="1">
      <alignment horizontal="right"/>
      <protection locked="0"/>
    </xf>
    <xf numFmtId="0" fontId="6" fillId="0" borderId="0" xfId="0" applyFont="1" applyFill="1" applyBorder="1" applyProtection="1">
      <protection locked="0"/>
    </xf>
    <xf numFmtId="0" fontId="19" fillId="0" borderId="0" xfId="0" applyFont="1" applyFill="1" applyBorder="1"/>
    <xf numFmtId="0" fontId="22" fillId="0" borderId="0" xfId="1" applyFont="1" applyFill="1" applyBorder="1" applyAlignment="1" applyProtection="1">
      <alignment horizontal="left"/>
      <protection locked="0"/>
    </xf>
    <xf numFmtId="0" fontId="14" fillId="0" borderId="0" xfId="1" applyFont="1" applyFill="1" applyBorder="1" applyProtection="1">
      <protection locked="0"/>
    </xf>
    <xf numFmtId="0" fontId="19" fillId="0" borderId="0" xfId="1" applyFont="1" applyFill="1" applyBorder="1" applyAlignment="1" applyProtection="1">
      <alignment horizontal="right"/>
      <protection locked="0"/>
    </xf>
    <xf numFmtId="0" fontId="22" fillId="0" borderId="0" xfId="0" applyFont="1" applyFill="1" applyBorder="1" applyProtection="1">
      <protection locked="0"/>
    </xf>
    <xf numFmtId="0" fontId="14" fillId="0" borderId="0" xfId="0" applyFont="1" applyFill="1" applyBorder="1" applyAlignment="1" applyProtection="1">
      <alignment horizontal="right"/>
      <protection locked="0"/>
    </xf>
    <xf numFmtId="0" fontId="33" fillId="0" borderId="0" xfId="0" applyFont="1" applyFill="1" applyBorder="1" applyAlignment="1" applyProtection="1">
      <alignment horizontal="right"/>
      <protection locked="0"/>
    </xf>
    <xf numFmtId="0" fontId="34" fillId="0" borderId="0" xfId="1" applyFont="1" applyFill="1" applyBorder="1" applyAlignment="1" applyProtection="1">
      <alignment horizontal="right"/>
      <protection locked="0"/>
    </xf>
    <xf numFmtId="0" fontId="33" fillId="0" borderId="0" xfId="0" applyFont="1" applyFill="1" applyBorder="1"/>
    <xf numFmtId="0" fontId="33" fillId="0" borderId="0" xfId="0" applyFont="1" applyFill="1"/>
    <xf numFmtId="6" fontId="33" fillId="0" borderId="0" xfId="0" applyNumberFormat="1" applyFont="1" applyFill="1" applyBorder="1" applyAlignment="1" applyProtection="1">
      <alignment horizontal="right"/>
      <protection locked="0"/>
    </xf>
    <xf numFmtId="0" fontId="33" fillId="0" borderId="0" xfId="0" applyFont="1" applyFill="1" applyAlignment="1">
      <alignment horizontal="right"/>
    </xf>
    <xf numFmtId="228" fontId="33" fillId="0" borderId="25" xfId="0" applyNumberFormat="1" applyFont="1" applyFill="1" applyBorder="1" applyProtection="1">
      <protection locked="0"/>
    </xf>
    <xf numFmtId="228" fontId="22" fillId="0" borderId="25" xfId="1" applyNumberFormat="1" applyFont="1" applyFill="1" applyBorder="1" applyProtection="1">
      <protection locked="0"/>
    </xf>
    <xf numFmtId="228" fontId="33" fillId="0" borderId="0" xfId="0" applyNumberFormat="1" applyFont="1" applyBorder="1"/>
    <xf numFmtId="228" fontId="14" fillId="0" borderId="25" xfId="0" applyNumberFormat="1" applyFont="1" applyFill="1" applyBorder="1" applyProtection="1">
      <protection locked="0"/>
    </xf>
    <xf numFmtId="228" fontId="33" fillId="0" borderId="25" xfId="1" applyNumberFormat="1" applyFont="1" applyFill="1" applyBorder="1" applyProtection="1">
      <protection locked="0"/>
    </xf>
    <xf numFmtId="228" fontId="6" fillId="0" borderId="25" xfId="0" applyNumberFormat="1" applyFont="1" applyFill="1" applyBorder="1" applyProtection="1">
      <protection locked="0"/>
    </xf>
    <xf numFmtId="228" fontId="19" fillId="0" borderId="25" xfId="1" applyNumberFormat="1" applyFont="1" applyFill="1" applyBorder="1" applyProtection="1">
      <protection locked="0"/>
    </xf>
    <xf numFmtId="228" fontId="6" fillId="0" borderId="0" xfId="0" applyNumberFormat="1" applyFont="1" applyBorder="1"/>
    <xf numFmtId="228" fontId="6" fillId="0" borderId="25" xfId="0" applyNumberFormat="1" applyFont="1" applyBorder="1"/>
    <xf numFmtId="0" fontId="6" fillId="0" borderId="0" xfId="0" applyFont="1" applyFill="1" applyBorder="1" applyAlignment="1" applyProtection="1">
      <alignment horizontal="right"/>
      <protection locked="0"/>
    </xf>
    <xf numFmtId="3" fontId="14" fillId="0" borderId="10" xfId="2" applyNumberFormat="1" applyFont="1" applyBorder="1" applyAlignment="1" applyProtection="1">
      <alignment horizontal="center"/>
      <protection locked="0"/>
    </xf>
    <xf numFmtId="228" fontId="6" fillId="0" borderId="0" xfId="0" applyNumberFormat="1" applyFont="1" applyAlignment="1">
      <alignment horizontal="right"/>
    </xf>
    <xf numFmtId="3" fontId="18" fillId="0" borderId="12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0" fontId="16" fillId="5" borderId="14" xfId="0" applyFont="1" applyFill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16" fillId="0" borderId="9" xfId="0" applyFont="1" applyFill="1" applyBorder="1" applyProtection="1">
      <protection locked="0"/>
    </xf>
    <xf numFmtId="0" fontId="16" fillId="0" borderId="29" xfId="0" applyFont="1" applyFill="1" applyBorder="1" applyProtection="1">
      <protection locked="0"/>
    </xf>
    <xf numFmtId="0" fontId="23" fillId="0" borderId="0" xfId="0" applyFont="1" applyFill="1" applyBorder="1"/>
    <xf numFmtId="0" fontId="41" fillId="0" borderId="0" xfId="0" applyFont="1"/>
    <xf numFmtId="0" fontId="27" fillId="0" borderId="27" xfId="0" applyFont="1" applyBorder="1" applyAlignment="1">
      <alignment horizontal="center"/>
    </xf>
    <xf numFmtId="3" fontId="27" fillId="0" borderId="25" xfId="0" applyNumberFormat="1" applyFont="1" applyFill="1" applyBorder="1" applyProtection="1">
      <protection locked="0"/>
    </xf>
    <xf numFmtId="9" fontId="33" fillId="0" borderId="25" xfId="0" applyNumberFormat="1" applyFont="1" applyBorder="1" applyAlignment="1">
      <alignment horizontal="right"/>
    </xf>
    <xf numFmtId="9" fontId="27" fillId="0" borderId="26" xfId="0" applyNumberFormat="1" applyFont="1" applyBorder="1" applyAlignment="1">
      <alignment horizontal="right"/>
    </xf>
    <xf numFmtId="228" fontId="13" fillId="0" borderId="0" xfId="0" applyNumberFormat="1" applyFont="1" applyBorder="1"/>
    <xf numFmtId="228" fontId="19" fillId="0" borderId="0" xfId="0" applyNumberFormat="1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166" fontId="15" fillId="0" borderId="0" xfId="2" applyNumberFormat="1" applyFont="1" applyBorder="1"/>
    <xf numFmtId="166" fontId="43" fillId="0" borderId="0" xfId="2" applyNumberFormat="1" applyFont="1" applyBorder="1" applyAlignment="1">
      <alignment horizontal="center" wrapText="1"/>
    </xf>
    <xf numFmtId="228" fontId="27" fillId="0" borderId="27" xfId="0" applyNumberFormat="1" applyFont="1" applyBorder="1"/>
    <xf numFmtId="228" fontId="23" fillId="0" borderId="7" xfId="2" applyNumberFormat="1" applyFont="1" applyBorder="1"/>
    <xf numFmtId="228" fontId="39" fillId="0" borderId="23" xfId="2" applyNumberFormat="1" applyFont="1" applyBorder="1"/>
    <xf numFmtId="228" fontId="13" fillId="0" borderId="10" xfId="2" applyNumberFormat="1" applyFont="1" applyBorder="1"/>
    <xf numFmtId="0" fontId="0" fillId="0" borderId="44" xfId="0" applyBorder="1"/>
    <xf numFmtId="0" fontId="39" fillId="0" borderId="45" xfId="2" applyNumberFormat="1" applyFont="1" applyBorder="1" applyAlignment="1">
      <alignment horizontal="center"/>
    </xf>
    <xf numFmtId="228" fontId="6" fillId="0" borderId="49" xfId="0" applyNumberFormat="1" applyFont="1" applyBorder="1"/>
    <xf numFmtId="9" fontId="6" fillId="0" borderId="50" xfId="6" applyFont="1" applyBorder="1"/>
    <xf numFmtId="0" fontId="27" fillId="0" borderId="27" xfId="0" applyFont="1" applyBorder="1" applyAlignment="1" applyProtection="1">
      <alignment horizontal="center"/>
      <protection locked="0"/>
    </xf>
    <xf numFmtId="0" fontId="27" fillId="0" borderId="56" xfId="0" applyFont="1" applyBorder="1" applyAlignment="1" applyProtection="1">
      <alignment horizontal="center"/>
      <protection locked="0"/>
    </xf>
    <xf numFmtId="0" fontId="44" fillId="0" borderId="25" xfId="0" applyFont="1" applyBorder="1" applyAlignment="1">
      <alignment horizontal="center"/>
    </xf>
    <xf numFmtId="166" fontId="0" fillId="0" borderId="0" xfId="0" applyNumberFormat="1" applyBorder="1" applyAlignment="1" applyProtection="1">
      <alignment horizontal="right"/>
      <protection locked="0"/>
    </xf>
    <xf numFmtId="3" fontId="0" fillId="0" borderId="2" xfId="2" applyNumberFormat="1" applyFont="1" applyBorder="1" applyProtection="1">
      <protection locked="0"/>
    </xf>
    <xf numFmtId="0" fontId="45" fillId="0" borderId="25" xfId="0" applyFont="1" applyBorder="1" applyAlignment="1">
      <alignment horizontal="center"/>
    </xf>
    <xf numFmtId="0" fontId="34" fillId="0" borderId="25" xfId="0" applyFont="1" applyBorder="1" applyAlignment="1" applyProtection="1">
      <alignment horizontal="center"/>
      <protection locked="0"/>
    </xf>
    <xf numFmtId="0" fontId="42" fillId="0" borderId="0" xfId="0" applyFont="1" applyFill="1" applyBorder="1"/>
    <xf numFmtId="0" fontId="46" fillId="0" borderId="29" xfId="0" applyFont="1" applyFill="1" applyBorder="1"/>
    <xf numFmtId="0" fontId="46" fillId="0" borderId="18" xfId="0" applyFont="1" applyFill="1" applyBorder="1"/>
    <xf numFmtId="0" fontId="27" fillId="0" borderId="18" xfId="0" applyFont="1" applyFill="1" applyBorder="1"/>
    <xf numFmtId="0" fontId="46" fillId="4" borderId="15" xfId="0" applyFont="1" applyFill="1" applyBorder="1"/>
    <xf numFmtId="0" fontId="46" fillId="4" borderId="58" xfId="0" applyFont="1" applyFill="1" applyBorder="1"/>
    <xf numFmtId="0" fontId="46" fillId="4" borderId="59" xfId="0" applyFont="1" applyFill="1" applyBorder="1"/>
    <xf numFmtId="0" fontId="46" fillId="0" borderId="60" xfId="0" applyFont="1" applyBorder="1"/>
    <xf numFmtId="0" fontId="46" fillId="0" borderId="60" xfId="0" applyFont="1" applyFill="1" applyBorder="1"/>
    <xf numFmtId="0" fontId="27" fillId="0" borderId="0" xfId="0" applyFont="1" applyBorder="1"/>
    <xf numFmtId="0" fontId="27" fillId="0" borderId="51" xfId="0" applyFont="1" applyBorder="1" applyAlignment="1" applyProtection="1">
      <alignment horizontal="center"/>
      <protection locked="0"/>
    </xf>
    <xf numFmtId="228" fontId="19" fillId="0" borderId="0" xfId="0" applyNumberFormat="1" applyFont="1" applyBorder="1"/>
    <xf numFmtId="228" fontId="23" fillId="0" borderId="0" xfId="0" applyNumberFormat="1" applyFont="1" applyBorder="1"/>
    <xf numFmtId="9" fontId="42" fillId="3" borderId="25" xfId="6" applyFont="1" applyFill="1" applyBorder="1" applyProtection="1">
      <protection locked="0"/>
    </xf>
    <xf numFmtId="166" fontId="19" fillId="3" borderId="25" xfId="2" applyNumberFormat="1" applyFont="1" applyFill="1" applyBorder="1" applyProtection="1">
      <protection locked="0"/>
    </xf>
    <xf numFmtId="0" fontId="27" fillId="0" borderId="0" xfId="0" applyFont="1" applyBorder="1" applyAlignment="1" applyProtection="1">
      <alignment horizontal="right"/>
      <protection locked="0"/>
    </xf>
    <xf numFmtId="0" fontId="42" fillId="3" borderId="18" xfId="1" applyFont="1" applyFill="1" applyBorder="1" applyAlignment="1" applyProtection="1">
      <alignment horizontal="right"/>
      <protection locked="0"/>
    </xf>
    <xf numFmtId="6" fontId="27" fillId="0" borderId="0" xfId="0" applyNumberFormat="1" applyFont="1" applyBorder="1" applyAlignment="1" applyProtection="1">
      <alignment horizontal="right"/>
      <protection locked="0"/>
    </xf>
    <xf numFmtId="0" fontId="19" fillId="5" borderId="0" xfId="1" applyFont="1" applyFill="1" applyBorder="1" applyAlignment="1" applyProtection="1">
      <alignment horizontal="right"/>
      <protection locked="0"/>
    </xf>
    <xf numFmtId="228" fontId="14" fillId="0" borderId="0" xfId="0" applyNumberFormat="1" applyFont="1" applyFill="1" applyAlignment="1">
      <alignment horizontal="right"/>
    </xf>
    <xf numFmtId="9" fontId="14" fillId="0" borderId="0" xfId="6" applyFont="1" applyFill="1" applyAlignment="1">
      <alignment horizontal="right"/>
    </xf>
    <xf numFmtId="228" fontId="14" fillId="0" borderId="0" xfId="6" applyNumberFormat="1" applyFont="1" applyFill="1" applyAlignment="1">
      <alignment horizontal="right"/>
    </xf>
    <xf numFmtId="0" fontId="22" fillId="0" borderId="0" xfId="0" applyFont="1" applyFill="1" applyAlignment="1">
      <alignment horizontal="left"/>
    </xf>
    <xf numFmtId="10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right"/>
    </xf>
    <xf numFmtId="10" fontId="14" fillId="0" borderId="0" xfId="6" applyNumberFormat="1" applyFont="1" applyFill="1" applyAlignment="1">
      <alignment horizontal="right"/>
    </xf>
    <xf numFmtId="10" fontId="22" fillId="0" borderId="0" xfId="6" applyNumberFormat="1" applyFont="1" applyFill="1" applyAlignment="1">
      <alignment horizontal="left"/>
    </xf>
    <xf numFmtId="186" fontId="22" fillId="0" borderId="0" xfId="6" applyNumberFormat="1" applyFont="1" applyFill="1" applyAlignment="1">
      <alignment horizontal="left"/>
    </xf>
    <xf numFmtId="228" fontId="19" fillId="0" borderId="0" xfId="0" applyNumberFormat="1" applyFont="1"/>
    <xf numFmtId="0" fontId="47" fillId="0" borderId="25" xfId="0" applyFont="1" applyBorder="1" applyAlignment="1">
      <alignment horizontal="center"/>
    </xf>
    <xf numFmtId="0" fontId="47" fillId="0" borderId="25" xfId="0" applyFont="1" applyBorder="1" applyAlignment="1"/>
    <xf numFmtId="0" fontId="34" fillId="0" borderId="25" xfId="0" applyFont="1" applyBorder="1" applyAlignment="1">
      <alignment horizontal="center"/>
    </xf>
    <xf numFmtId="0" fontId="34" fillId="0" borderId="25" xfId="0" applyFont="1" applyBorder="1" applyAlignment="1"/>
    <xf numFmtId="0" fontId="34" fillId="0" borderId="25" xfId="0" applyFont="1" applyBorder="1"/>
    <xf numFmtId="0" fontId="15" fillId="0" borderId="25" xfId="0" applyFont="1" applyBorder="1" applyAlignment="1">
      <alignment horizontal="center"/>
    </xf>
    <xf numFmtId="0" fontId="27" fillId="0" borderId="11" xfId="0" applyFont="1" applyBorder="1"/>
    <xf numFmtId="49" fontId="19" fillId="0" borderId="0" xfId="0" applyNumberFormat="1" applyFont="1" applyBorder="1" applyAlignment="1">
      <alignment horizontal="left"/>
    </xf>
    <xf numFmtId="9" fontId="33" fillId="0" borderId="25" xfId="6" applyFont="1" applyBorder="1"/>
    <xf numFmtId="9" fontId="6" fillId="0" borderId="25" xfId="6" applyFont="1" applyBorder="1"/>
    <xf numFmtId="9" fontId="6" fillId="0" borderId="0" xfId="6" applyFont="1"/>
    <xf numFmtId="166" fontId="6" fillId="0" borderId="0" xfId="2" applyNumberFormat="1" applyFont="1" applyBorder="1"/>
    <xf numFmtId="9" fontId="34" fillId="0" borderId="25" xfId="6" applyFont="1" applyBorder="1"/>
    <xf numFmtId="9" fontId="19" fillId="0" borderId="25" xfId="6" applyFont="1" applyBorder="1"/>
    <xf numFmtId="166" fontId="48" fillId="0" borderId="0" xfId="2" applyNumberFormat="1" applyFont="1" applyBorder="1" applyAlignment="1">
      <alignment horizontal="center" wrapText="1"/>
    </xf>
    <xf numFmtId="9" fontId="19" fillId="0" borderId="0" xfId="6" applyFont="1"/>
    <xf numFmtId="228" fontId="34" fillId="0" borderId="25" xfId="0" applyNumberFormat="1" applyFont="1" applyBorder="1"/>
    <xf numFmtId="228" fontId="19" fillId="0" borderId="25" xfId="0" applyNumberFormat="1" applyFont="1" applyBorder="1"/>
    <xf numFmtId="186" fontId="33" fillId="0" borderId="25" xfId="6" applyNumberFormat="1" applyFont="1" applyBorder="1"/>
    <xf numFmtId="186" fontId="19" fillId="0" borderId="25" xfId="6" applyNumberFormat="1" applyFont="1" applyBorder="1"/>
    <xf numFmtId="228" fontId="22" fillId="0" borderId="0" xfId="0" applyNumberFormat="1" applyFont="1" applyFill="1" applyAlignment="1">
      <alignment horizontal="right"/>
    </xf>
    <xf numFmtId="9" fontId="27" fillId="0" borderId="25" xfId="0" applyNumberFormat="1" applyFont="1" applyBorder="1" applyAlignment="1">
      <alignment horizontal="right"/>
    </xf>
    <xf numFmtId="9" fontId="27" fillId="0" borderId="25" xfId="0" quotePrefix="1" applyNumberFormat="1" applyFont="1" applyBorder="1" applyAlignment="1">
      <alignment horizontal="right"/>
    </xf>
    <xf numFmtId="0" fontId="27" fillId="0" borderId="25" xfId="0" applyFont="1" applyBorder="1" applyAlignment="1">
      <alignment horizontal="right"/>
    </xf>
    <xf numFmtId="6" fontId="27" fillId="0" borderId="25" xfId="0" applyNumberFormat="1" applyFont="1" applyBorder="1"/>
    <xf numFmtId="6" fontId="27" fillId="0" borderId="25" xfId="0" applyNumberFormat="1" applyFont="1" applyBorder="1" applyAlignment="1">
      <alignment horizontal="right"/>
    </xf>
    <xf numFmtId="9" fontId="0" fillId="0" borderId="25" xfId="0" applyNumberFormat="1" applyBorder="1" applyAlignment="1">
      <alignment horizontal="right"/>
    </xf>
    <xf numFmtId="0" fontId="0" fillId="0" borderId="25" xfId="0" applyBorder="1" applyAlignment="1">
      <alignment horizontal="right"/>
    </xf>
    <xf numFmtId="6" fontId="0" fillId="0" borderId="25" xfId="0" applyNumberFormat="1" applyBorder="1"/>
    <xf numFmtId="6" fontId="0" fillId="0" borderId="25" xfId="0" applyNumberFormat="1" applyBorder="1" applyAlignment="1">
      <alignment horizontal="right"/>
    </xf>
    <xf numFmtId="228" fontId="13" fillId="0" borderId="61" xfId="0" applyNumberFormat="1" applyFont="1" applyBorder="1"/>
    <xf numFmtId="228" fontId="6" fillId="0" borderId="62" xfId="0" applyNumberFormat="1" applyFont="1" applyBorder="1"/>
    <xf numFmtId="228" fontId="33" fillId="0" borderId="62" xfId="0" applyNumberFormat="1" applyFont="1" applyBorder="1"/>
    <xf numFmtId="228" fontId="33" fillId="0" borderId="63" xfId="0" applyNumberFormat="1" applyFont="1" applyBorder="1"/>
    <xf numFmtId="228" fontId="33" fillId="0" borderId="16" xfId="0" applyNumberFormat="1" applyFont="1" applyBorder="1"/>
    <xf numFmtId="0" fontId="1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9" fontId="0" fillId="0" borderId="0" xfId="6" applyFont="1" applyBorder="1"/>
    <xf numFmtId="0" fontId="0" fillId="0" borderId="11" xfId="0" applyBorder="1"/>
    <xf numFmtId="0" fontId="0" fillId="0" borderId="64" xfId="0" applyBorder="1"/>
    <xf numFmtId="166" fontId="49" fillId="0" borderId="0" xfId="2" applyNumberFormat="1" applyFont="1" applyBorder="1" applyAlignment="1">
      <alignment horizontal="center" vertical="center" wrapText="1"/>
    </xf>
    <xf numFmtId="228" fontId="39" fillId="0" borderId="0" xfId="0" applyNumberFormat="1" applyFont="1" applyBorder="1" applyAlignment="1">
      <alignment horizontal="center" vertical="center" wrapText="1"/>
    </xf>
    <xf numFmtId="228" fontId="39" fillId="0" borderId="0" xfId="0" applyNumberFormat="1" applyFont="1" applyAlignment="1">
      <alignment horizontal="center" vertical="center" wrapText="1"/>
    </xf>
    <xf numFmtId="228" fontId="39" fillId="0" borderId="25" xfId="0" applyNumberFormat="1" applyFont="1" applyBorder="1" applyAlignment="1">
      <alignment horizontal="center" vertical="center" wrapText="1"/>
    </xf>
    <xf numFmtId="43" fontId="6" fillId="0" borderId="1" xfId="2" applyFont="1" applyBorder="1"/>
    <xf numFmtId="228" fontId="6" fillId="0" borderId="1" xfId="0" applyNumberFormat="1" applyFont="1" applyBorder="1"/>
    <xf numFmtId="228" fontId="6" fillId="0" borderId="10" xfId="0" applyNumberFormat="1" applyFont="1" applyBorder="1"/>
    <xf numFmtId="0" fontId="51" fillId="0" borderId="4" xfId="0" applyFont="1" applyBorder="1"/>
    <xf numFmtId="166" fontId="6" fillId="0" borderId="13" xfId="2" applyNumberFormat="1" applyFont="1" applyBorder="1" applyAlignment="1">
      <alignment horizontal="center"/>
    </xf>
    <xf numFmtId="166" fontId="6" fillId="0" borderId="9" xfId="2" applyNumberFormat="1" applyFont="1" applyBorder="1" applyAlignment="1">
      <alignment horizontal="center"/>
    </xf>
    <xf numFmtId="166" fontId="6" fillId="0" borderId="7" xfId="2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4" fillId="0" borderId="5" xfId="1" applyFont="1" applyBorder="1" applyProtection="1">
      <protection locked="0"/>
    </xf>
    <xf numFmtId="43" fontId="14" fillId="0" borderId="6" xfId="2" applyFont="1" applyBorder="1" applyProtection="1">
      <protection locked="0"/>
    </xf>
    <xf numFmtId="43" fontId="14" fillId="0" borderId="1" xfId="2" applyFont="1" applyBorder="1" applyProtection="1">
      <protection locked="0"/>
    </xf>
    <xf numFmtId="43" fontId="14" fillId="0" borderId="10" xfId="2" applyFont="1" applyBorder="1" applyProtection="1">
      <protection locked="0"/>
    </xf>
    <xf numFmtId="0" fontId="0" fillId="0" borderId="0" xfId="0" applyNumberFormat="1"/>
    <xf numFmtId="49" fontId="0" fillId="0" borderId="25" xfId="0" applyNumberFormat="1" applyBorder="1"/>
    <xf numFmtId="0" fontId="0" fillId="0" borderId="25" xfId="0" applyBorder="1" applyAlignment="1">
      <alignment horizontal="center"/>
    </xf>
    <xf numFmtId="0" fontId="0" fillId="0" borderId="25" xfId="0" applyNumberFormat="1" applyBorder="1"/>
    <xf numFmtId="0" fontId="52" fillId="0" borderId="0" xfId="0" applyNumberFormat="1" applyFont="1" applyBorder="1"/>
    <xf numFmtId="49" fontId="0" fillId="0" borderId="0" xfId="0" applyNumberFormat="1"/>
    <xf numFmtId="3" fontId="0" fillId="5" borderId="25" xfId="0" applyNumberFormat="1" applyFill="1" applyBorder="1"/>
    <xf numFmtId="3" fontId="0" fillId="0" borderId="25" xfId="0" applyNumberFormat="1" applyBorder="1"/>
    <xf numFmtId="9" fontId="0" fillId="6" borderId="25" xfId="0" applyNumberFormat="1" applyFill="1" applyBorder="1"/>
    <xf numFmtId="3" fontId="52" fillId="0" borderId="0" xfId="0" applyNumberFormat="1" applyFont="1"/>
    <xf numFmtId="49" fontId="53" fillId="0" borderId="0" xfId="0" applyNumberFormat="1" applyFont="1"/>
    <xf numFmtId="49" fontId="53" fillId="0" borderId="25" xfId="0" applyNumberFormat="1" applyFont="1" applyBorder="1"/>
    <xf numFmtId="3" fontId="52" fillId="0" borderId="25" xfId="0" applyNumberFormat="1" applyFont="1" applyBorder="1"/>
    <xf numFmtId="1" fontId="0" fillId="5" borderId="25" xfId="0" applyNumberFormat="1" applyFill="1" applyBorder="1"/>
    <xf numFmtId="49" fontId="0" fillId="5" borderId="25" xfId="0" applyNumberFormat="1" applyFill="1" applyBorder="1"/>
    <xf numFmtId="3" fontId="0" fillId="7" borderId="25" xfId="0" applyNumberFormat="1" applyFill="1" applyBorder="1"/>
    <xf numFmtId="49" fontId="0" fillId="0" borderId="0" xfId="0" applyNumberFormat="1" applyBorder="1"/>
    <xf numFmtId="0" fontId="36" fillId="0" borderId="0" xfId="0" applyFont="1"/>
    <xf numFmtId="0" fontId="19" fillId="5" borderId="0" xfId="0" applyFont="1" applyFill="1"/>
    <xf numFmtId="0" fontId="0" fillId="6" borderId="25" xfId="0" applyFill="1" applyBorder="1"/>
    <xf numFmtId="0" fontId="0" fillId="6" borderId="47" xfId="0" applyFill="1" applyBorder="1"/>
    <xf numFmtId="0" fontId="0" fillId="0" borderId="45" xfId="0" applyBorder="1" applyAlignment="1">
      <alignment horizontal="right"/>
    </xf>
    <xf numFmtId="0" fontId="14" fillId="6" borderId="45" xfId="0" applyFont="1" applyFill="1" applyBorder="1"/>
    <xf numFmtId="0" fontId="0" fillId="6" borderId="45" xfId="0" applyFill="1" applyBorder="1"/>
    <xf numFmtId="0" fontId="0" fillId="0" borderId="0" xfId="0" applyNumberFormat="1" applyBorder="1" applyAlignment="1">
      <alignment horizontal="center"/>
    </xf>
    <xf numFmtId="0" fontId="0" fillId="0" borderId="0" xfId="0" applyProtection="1">
      <protection hidden="1"/>
    </xf>
    <xf numFmtId="0" fontId="0" fillId="0" borderId="54" xfId="0" applyBorder="1" applyAlignment="1">
      <alignment horizontal="right"/>
    </xf>
    <xf numFmtId="0" fontId="14" fillId="6" borderId="56" xfId="0" applyFont="1" applyFill="1" applyBorder="1"/>
    <xf numFmtId="0" fontId="0" fillId="5" borderId="0" xfId="0" applyFill="1" applyBorder="1"/>
    <xf numFmtId="0" fontId="0" fillId="6" borderId="50" xfId="0" applyFill="1" applyBorder="1"/>
    <xf numFmtId="0" fontId="0" fillId="0" borderId="49" xfId="0" applyBorder="1" applyAlignment="1">
      <alignment horizontal="right"/>
    </xf>
    <xf numFmtId="0" fontId="14" fillId="5" borderId="50" xfId="0" applyFont="1" applyFill="1" applyBorder="1"/>
    <xf numFmtId="0" fontId="0" fillId="0" borderId="29" xfId="0" applyBorder="1" applyAlignment="1">
      <alignment horizontal="right"/>
    </xf>
    <xf numFmtId="0" fontId="0" fillId="5" borderId="0" xfId="0" applyFill="1" applyBorder="1" applyAlignment="1">
      <alignment horizontal="right"/>
    </xf>
    <xf numFmtId="0" fontId="14" fillId="5" borderId="0" xfId="0" applyFont="1" applyFill="1" applyBorder="1"/>
    <xf numFmtId="0" fontId="0" fillId="5" borderId="0" xfId="0" applyFill="1"/>
    <xf numFmtId="0" fontId="14" fillId="7" borderId="0" xfId="0" applyFont="1" applyFill="1" applyBorder="1"/>
    <xf numFmtId="0" fontId="0" fillId="8" borderId="0" xfId="0" applyFill="1" applyBorder="1"/>
    <xf numFmtId="0" fontId="14" fillId="0" borderId="0" xfId="0" applyFont="1" applyBorder="1"/>
    <xf numFmtId="0" fontId="0" fillId="0" borderId="25" xfId="0" applyBorder="1" applyAlignment="1">
      <alignment horizontal="right" wrapText="1"/>
    </xf>
    <xf numFmtId="0" fontId="0" fillId="0" borderId="25" xfId="0" applyBorder="1" applyAlignment="1">
      <alignment wrapText="1"/>
    </xf>
    <xf numFmtId="0" fontId="0" fillId="0" borderId="29" xfId="0" applyBorder="1" applyAlignment="1">
      <alignment wrapText="1"/>
    </xf>
    <xf numFmtId="3" fontId="0" fillId="5" borderId="25" xfId="0" quotePrefix="1" applyNumberFormat="1" applyFill="1" applyBorder="1" applyAlignment="1">
      <alignment horizontal="right"/>
    </xf>
    <xf numFmtId="0" fontId="0" fillId="5" borderId="25" xfId="0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0" fillId="6" borderId="29" xfId="0" applyFill="1" applyBorder="1"/>
    <xf numFmtId="0" fontId="0" fillId="5" borderId="0" xfId="0" applyFill="1" applyAlignment="1">
      <alignment horizontal="right"/>
    </xf>
    <xf numFmtId="16" fontId="0" fillId="0" borderId="0" xfId="0" applyNumberFormat="1" applyBorder="1" applyAlignment="1">
      <alignment horizontal="right"/>
    </xf>
    <xf numFmtId="3" fontId="0" fillId="5" borderId="25" xfId="0" applyNumberFormat="1" applyFill="1" applyBorder="1" applyAlignment="1">
      <alignment horizontal="right"/>
    </xf>
    <xf numFmtId="41" fontId="4" fillId="0" borderId="25" xfId="2" applyNumberFormat="1" applyBorder="1"/>
    <xf numFmtId="0" fontId="36" fillId="0" borderId="0" xfId="0" applyFon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45" xfId="0" applyBorder="1" applyAlignment="1">
      <alignment wrapText="1"/>
    </xf>
    <xf numFmtId="0" fontId="0" fillId="0" borderId="50" xfId="0" applyBorder="1"/>
    <xf numFmtId="0" fontId="0" fillId="5" borderId="50" xfId="0" applyFill="1" applyBorder="1"/>
    <xf numFmtId="0" fontId="0" fillId="5" borderId="25" xfId="0" applyFill="1" applyBorder="1"/>
    <xf numFmtId="0" fontId="0" fillId="5" borderId="45" xfId="0" applyFill="1" applyBorder="1" applyAlignment="1">
      <alignment wrapText="1"/>
    </xf>
    <xf numFmtId="0" fontId="0" fillId="5" borderId="0" xfId="0" applyFill="1" applyBorder="1" applyAlignment="1">
      <alignment wrapText="1"/>
    </xf>
    <xf numFmtId="3" fontId="0" fillId="5" borderId="50" xfId="0" applyNumberFormat="1" applyFill="1" applyBorder="1"/>
    <xf numFmtId="0" fontId="0" fillId="5" borderId="5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3" fontId="0" fillId="2" borderId="25" xfId="0" applyNumberFormat="1" applyFill="1" applyBorder="1"/>
    <xf numFmtId="0" fontId="0" fillId="2" borderId="25" xfId="0" applyFill="1" applyBorder="1" applyAlignment="1">
      <alignment horizontal="center"/>
    </xf>
    <xf numFmtId="0" fontId="0" fillId="2" borderId="50" xfId="0" applyFill="1" applyBorder="1"/>
    <xf numFmtId="0" fontId="14" fillId="2" borderId="42" xfId="0" applyFon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0" xfId="0" applyFill="1" applyBorder="1"/>
    <xf numFmtId="0" fontId="14" fillId="7" borderId="42" xfId="0" applyFont="1" applyFill="1" applyBorder="1" applyAlignment="1">
      <alignment horizontal="center"/>
    </xf>
    <xf numFmtId="0" fontId="14" fillId="7" borderId="25" xfId="0" applyFont="1" applyFill="1" applyBorder="1" applyAlignment="1">
      <alignment horizontal="center"/>
    </xf>
    <xf numFmtId="0" fontId="0" fillId="7" borderId="25" xfId="0" applyFill="1" applyBorder="1"/>
    <xf numFmtId="0" fontId="19" fillId="0" borderId="61" xfId="0" applyFont="1" applyBorder="1"/>
    <xf numFmtId="0" fontId="0" fillId="0" borderId="62" xfId="0" applyBorder="1"/>
    <xf numFmtId="0" fontId="0" fillId="0" borderId="63" xfId="0" applyBorder="1"/>
    <xf numFmtId="0" fontId="0" fillId="0" borderId="49" xfId="0" applyBorder="1"/>
    <xf numFmtId="3" fontId="0" fillId="0" borderId="25" xfId="0" applyNumberFormat="1" applyFill="1" applyBorder="1"/>
    <xf numFmtId="0" fontId="0" fillId="0" borderId="25" xfId="0" applyFill="1" applyBorder="1" applyAlignment="1">
      <alignment horizontal="center"/>
    </xf>
    <xf numFmtId="0" fontId="0" fillId="7" borderId="25" xfId="0" applyNumberFormat="1" applyFill="1" applyBorder="1"/>
    <xf numFmtId="0" fontId="0" fillId="0" borderId="50" xfId="0" applyFill="1" applyBorder="1"/>
    <xf numFmtId="0" fontId="14" fillId="0" borderId="65" xfId="0" applyFont="1" applyFill="1" applyBorder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0" fillId="5" borderId="50" xfId="0" applyNumberFormat="1" applyFill="1" applyBorder="1"/>
    <xf numFmtId="1" fontId="0" fillId="0" borderId="25" xfId="0" applyNumberFormat="1" applyBorder="1"/>
    <xf numFmtId="0" fontId="14" fillId="0" borderId="11" xfId="0" applyFont="1" applyBorder="1" applyAlignment="1">
      <alignment horizontal="left"/>
    </xf>
    <xf numFmtId="166" fontId="0" fillId="0" borderId="4" xfId="0" applyNumberFormat="1" applyBorder="1" applyProtection="1">
      <protection locked="0"/>
    </xf>
    <xf numFmtId="15" fontId="0" fillId="0" borderId="0" xfId="0" applyNumberFormat="1" applyBorder="1"/>
    <xf numFmtId="9" fontId="0" fillId="5" borderId="0" xfId="0" applyNumberFormat="1" applyFill="1" applyBorder="1"/>
    <xf numFmtId="0" fontId="23" fillId="0" borderId="0" xfId="0" applyNumberFormat="1" applyFont="1"/>
    <xf numFmtId="49" fontId="54" fillId="0" borderId="0" xfId="0" applyNumberFormat="1" applyFont="1"/>
    <xf numFmtId="3" fontId="52" fillId="3" borderId="25" xfId="0" applyNumberFormat="1" applyFont="1" applyFill="1" applyBorder="1"/>
    <xf numFmtId="0" fontId="23" fillId="0" borderId="0" xfId="0" applyFont="1" applyAlignment="1">
      <alignment horizontal="center"/>
    </xf>
    <xf numFmtId="0" fontId="42" fillId="0" borderId="25" xfId="0" applyFont="1" applyBorder="1" applyAlignment="1" applyProtection="1">
      <alignment horizontal="center"/>
      <protection locked="0"/>
    </xf>
    <xf numFmtId="9" fontId="42" fillId="0" borderId="25" xfId="6" applyFont="1" applyFill="1" applyBorder="1" applyAlignment="1" applyProtection="1">
      <alignment horizontal="right" vertical="center"/>
      <protection locked="0"/>
    </xf>
    <xf numFmtId="49" fontId="0" fillId="5" borderId="25" xfId="0" applyNumberFormat="1" applyFill="1" applyBorder="1" applyAlignment="1">
      <alignment horizontal="right"/>
    </xf>
    <xf numFmtId="3" fontId="0" fillId="2" borderId="50" xfId="0" applyNumberFormat="1" applyFill="1" applyBorder="1"/>
    <xf numFmtId="0" fontId="0" fillId="2" borderId="50" xfId="0" applyFill="1" applyBorder="1" applyAlignment="1">
      <alignment horizontal="center"/>
    </xf>
    <xf numFmtId="0" fontId="14" fillId="2" borderId="65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0" fillId="2" borderId="25" xfId="0" applyNumberFormat="1" applyFill="1" applyBorder="1"/>
    <xf numFmtId="0" fontId="0" fillId="2" borderId="25" xfId="0" applyFill="1" applyBorder="1"/>
    <xf numFmtId="3" fontId="36" fillId="0" borderId="0" xfId="0" applyNumberFormat="1" applyFont="1" applyAlignment="1">
      <alignment horizontal="center"/>
    </xf>
    <xf numFmtId="0" fontId="23" fillId="0" borderId="5" xfId="0" applyFont="1" applyBorder="1"/>
    <xf numFmtId="0" fontId="0" fillId="0" borderId="12" xfId="0" applyBorder="1"/>
    <xf numFmtId="0" fontId="23" fillId="0" borderId="4" xfId="0" applyFont="1" applyBorder="1" applyAlignment="1">
      <alignment horizontal="center"/>
    </xf>
    <xf numFmtId="0" fontId="23" fillId="0" borderId="12" xfId="0" applyFont="1" applyBorder="1"/>
    <xf numFmtId="0" fontId="0" fillId="0" borderId="6" xfId="0" applyBorder="1"/>
    <xf numFmtId="0" fontId="23" fillId="0" borderId="9" xfId="0" applyFont="1" applyBorder="1"/>
    <xf numFmtId="228" fontId="57" fillId="0" borderId="0" xfId="0" applyNumberFormat="1" applyFont="1" applyBorder="1" applyAlignment="1">
      <alignment horizontal="right"/>
    </xf>
    <xf numFmtId="0" fontId="11" fillId="0" borderId="0" xfId="0" applyFont="1" applyBorder="1"/>
    <xf numFmtId="0" fontId="9" fillId="0" borderId="0" xfId="0" applyFont="1" applyBorder="1"/>
    <xf numFmtId="228" fontId="57" fillId="0" borderId="0" xfId="0" applyNumberFormat="1" applyFont="1" applyBorder="1" applyAlignment="1"/>
    <xf numFmtId="278" fontId="57" fillId="0" borderId="66" xfId="0" applyNumberFormat="1" applyFont="1" applyBorder="1" applyAlignment="1">
      <alignment horizontal="center"/>
    </xf>
    <xf numFmtId="0" fontId="0" fillId="0" borderId="10" xfId="0" applyBorder="1"/>
    <xf numFmtId="228" fontId="0" fillId="0" borderId="0" xfId="0" applyNumberFormat="1" applyBorder="1" applyAlignment="1">
      <alignment horizontal="center"/>
    </xf>
    <xf numFmtId="228" fontId="13" fillId="0" borderId="50" xfId="0" applyNumberFormat="1" applyFont="1" applyBorder="1" applyAlignment="1">
      <alignment horizontal="center"/>
    </xf>
    <xf numFmtId="228" fontId="0" fillId="0" borderId="12" xfId="0" applyNumberFormat="1" applyBorder="1" applyAlignment="1">
      <alignment horizontal="center"/>
    </xf>
    <xf numFmtId="0" fontId="1" fillId="0" borderId="9" xfId="4" applyNumberFormat="1" applyFont="1" applyBorder="1"/>
    <xf numFmtId="0" fontId="4" fillId="0" borderId="0" xfId="4" applyNumberFormat="1" applyBorder="1" applyAlignment="1">
      <alignment horizontal="center"/>
    </xf>
    <xf numFmtId="0" fontId="4" fillId="0" borderId="0" xfId="4" applyNumberFormat="1" applyBorder="1"/>
    <xf numFmtId="6" fontId="19" fillId="8" borderId="25" xfId="4" applyNumberFormat="1" applyFont="1" applyFill="1" applyBorder="1" applyAlignment="1">
      <alignment horizontal="right"/>
    </xf>
    <xf numFmtId="0" fontId="19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19" fillId="0" borderId="0" xfId="4" applyNumberFormat="1" applyFont="1" applyBorder="1" applyAlignment="1">
      <alignment horizontal="left"/>
    </xf>
    <xf numFmtId="6" fontId="42" fillId="8" borderId="25" xfId="4" applyNumberFormat="1" applyFont="1" applyFill="1" applyBorder="1" applyAlignment="1">
      <alignment horizontal="right"/>
    </xf>
    <xf numFmtId="0" fontId="6" fillId="0" borderId="0" xfId="4" applyNumberFormat="1" applyFont="1" applyBorder="1" applyAlignment="1">
      <alignment horizontal="left"/>
    </xf>
    <xf numFmtId="0" fontId="0" fillId="0" borderId="9" xfId="0" applyBorder="1" applyAlignment="1">
      <alignment horizontal="right"/>
    </xf>
    <xf numFmtId="9" fontId="19" fillId="0" borderId="0" xfId="0" applyNumberFormat="1" applyFont="1" applyBorder="1"/>
    <xf numFmtId="0" fontId="19" fillId="0" borderId="29" xfId="0" applyFont="1" applyBorder="1" applyAlignment="1">
      <alignment horizontal="center"/>
    </xf>
    <xf numFmtId="0" fontId="19" fillId="0" borderId="26" xfId="0" applyFont="1" applyBorder="1"/>
    <xf numFmtId="3" fontId="0" fillId="0" borderId="25" xfId="0" applyNumberFormat="1" applyBorder="1" applyAlignment="1">
      <alignment horizontal="center"/>
    </xf>
    <xf numFmtId="228" fontId="0" fillId="0" borderId="25" xfId="0" applyNumberFormat="1" applyBorder="1" applyAlignment="1">
      <alignment horizontal="center"/>
    </xf>
    <xf numFmtId="0" fontId="58" fillId="0" borderId="9" xfId="0" applyFont="1" applyBorder="1" applyAlignment="1">
      <alignment horizontal="right"/>
    </xf>
    <xf numFmtId="228" fontId="58" fillId="0" borderId="0" xfId="0" applyNumberFormat="1" applyFont="1" applyBorder="1" applyAlignment="1">
      <alignment horizontal="center"/>
    </xf>
    <xf numFmtId="0" fontId="59" fillId="0" borderId="9" xfId="0" applyFont="1" applyBorder="1"/>
    <xf numFmtId="0" fontId="23" fillId="0" borderId="2" xfId="0" applyFont="1" applyBorder="1" applyAlignment="1">
      <alignment horizontal="center"/>
    </xf>
    <xf numFmtId="0" fontId="23" fillId="0" borderId="0" xfId="0" applyFont="1" applyBorder="1"/>
    <xf numFmtId="228" fontId="57" fillId="0" borderId="66" xfId="0" applyNumberFormat="1" applyFont="1" applyBorder="1" applyAlignment="1">
      <alignment horizontal="center"/>
    </xf>
    <xf numFmtId="0" fontId="13" fillId="0" borderId="5" xfId="0" applyFont="1" applyBorder="1"/>
    <xf numFmtId="228" fontId="13" fillId="0" borderId="12" xfId="0" applyNumberFormat="1" applyFont="1" applyBorder="1" applyAlignment="1">
      <alignment horizontal="center"/>
    </xf>
    <xf numFmtId="3" fontId="19" fillId="0" borderId="29" xfId="0" applyNumberFormat="1" applyFont="1" applyBorder="1" applyAlignment="1">
      <alignment horizontal="center"/>
    </xf>
    <xf numFmtId="3" fontId="0" fillId="2" borderId="4" xfId="0" applyNumberFormat="1" applyFill="1" applyBorder="1" applyAlignment="1" applyProtection="1">
      <protection locked="0"/>
    </xf>
    <xf numFmtId="3" fontId="1" fillId="0" borderId="4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Continuous"/>
    </xf>
    <xf numFmtId="3" fontId="0" fillId="0" borderId="5" xfId="0" applyNumberFormat="1" applyBorder="1"/>
    <xf numFmtId="3" fontId="0" fillId="0" borderId="9" xfId="0" applyNumberFormat="1" applyBorder="1"/>
    <xf numFmtId="3" fontId="0" fillId="0" borderId="9" xfId="0" applyNumberFormat="1" applyBorder="1" applyAlignment="1">
      <alignment horizontal="right"/>
    </xf>
    <xf numFmtId="3" fontId="0" fillId="0" borderId="22" xfId="0" applyNumberFormat="1" applyBorder="1"/>
    <xf numFmtId="3" fontId="6" fillId="0" borderId="9" xfId="0" applyNumberFormat="1" applyFont="1" applyBorder="1"/>
    <xf numFmtId="3" fontId="0" fillId="0" borderId="7" xfId="0" applyNumberFormat="1" applyBorder="1"/>
    <xf numFmtId="3" fontId="1" fillId="0" borderId="0" xfId="0" applyNumberFormat="1" applyFont="1" applyBorder="1" applyAlignment="1">
      <alignment horizontal="centerContinuous"/>
    </xf>
    <xf numFmtId="3" fontId="0" fillId="0" borderId="0" xfId="0" applyNumberFormat="1" applyBorder="1" applyAlignment="1">
      <alignment horizontal="right"/>
    </xf>
    <xf numFmtId="0" fontId="1" fillId="0" borderId="5" xfId="0" applyFont="1" applyBorder="1"/>
    <xf numFmtId="0" fontId="1" fillId="0" borderId="9" xfId="0" applyFont="1" applyBorder="1"/>
    <xf numFmtId="0" fontId="1" fillId="0" borderId="7" xfId="0" applyFont="1" applyBorder="1"/>
    <xf numFmtId="3" fontId="0" fillId="0" borderId="9" xfId="0" applyNumberFormat="1" applyFill="1" applyBorder="1"/>
    <xf numFmtId="3" fontId="1" fillId="0" borderId="12" xfId="0" applyNumberFormat="1" applyFont="1" applyBorder="1" applyAlignment="1">
      <alignment horizontal="centerContinuous"/>
    </xf>
    <xf numFmtId="3" fontId="0" fillId="0" borderId="23" xfId="0" applyNumberFormat="1" applyBorder="1"/>
    <xf numFmtId="3" fontId="0" fillId="0" borderId="3" xfId="0" applyNumberFormat="1" applyFill="1" applyBorder="1"/>
    <xf numFmtId="228" fontId="19" fillId="3" borderId="4" xfId="0" applyNumberFormat="1" applyFont="1" applyFill="1" applyBorder="1"/>
    <xf numFmtId="0" fontId="33" fillId="0" borderId="25" xfId="0" applyNumberFormat="1" applyFont="1" applyBorder="1"/>
    <xf numFmtId="0" fontId="14" fillId="0" borderId="0" xfId="1" applyFont="1" applyAlignment="1" applyProtection="1">
      <alignment horizontal="center"/>
      <protection locked="0"/>
    </xf>
    <xf numFmtId="0" fontId="14" fillId="0" borderId="3" xfId="1" applyFont="1" applyBorder="1" applyAlignment="1" applyProtection="1">
      <alignment horizontal="center"/>
      <protection locked="0"/>
    </xf>
    <xf numFmtId="0" fontId="14" fillId="0" borderId="2" xfId="1" applyFont="1" applyBorder="1" applyAlignment="1" applyProtection="1">
      <alignment horizontal="center"/>
      <protection locked="0"/>
    </xf>
    <xf numFmtId="0" fontId="14" fillId="0" borderId="5" xfId="1" applyFont="1" applyBorder="1" applyAlignment="1" applyProtection="1">
      <alignment horizontal="center"/>
      <protection locked="0"/>
    </xf>
    <xf numFmtId="0" fontId="14" fillId="0" borderId="9" xfId="1" applyFont="1" applyBorder="1" applyAlignment="1" applyProtection="1">
      <alignment horizontal="center"/>
      <protection locked="0"/>
    </xf>
    <xf numFmtId="0" fontId="14" fillId="0" borderId="8" xfId="1" quotePrefix="1" applyFont="1" applyBorder="1" applyAlignment="1" applyProtection="1">
      <alignment horizontal="center"/>
      <protection locked="0"/>
    </xf>
    <xf numFmtId="0" fontId="10" fillId="0" borderId="0" xfId="0" applyFont="1" applyAlignment="1"/>
    <xf numFmtId="0" fontId="33" fillId="0" borderId="11" xfId="0" applyFont="1" applyBorder="1" applyAlignment="1"/>
    <xf numFmtId="1" fontId="23" fillId="0" borderId="0" xfId="0" applyNumberFormat="1" applyFont="1"/>
    <xf numFmtId="1" fontId="0" fillId="0" borderId="25" xfId="0" applyNumberFormat="1" applyBorder="1" applyAlignment="1"/>
    <xf numFmtId="3" fontId="0" fillId="2" borderId="0" xfId="0" applyNumberFormat="1" applyFill="1" applyBorder="1"/>
    <xf numFmtId="3" fontId="0" fillId="7" borderId="50" xfId="0" applyNumberFormat="1" applyFill="1" applyBorder="1"/>
    <xf numFmtId="3" fontId="0" fillId="7" borderId="0" xfId="0" applyNumberFormat="1" applyFill="1" applyBorder="1"/>
    <xf numFmtId="0" fontId="0" fillId="7" borderId="0" xfId="0" applyFill="1" applyBorder="1"/>
    <xf numFmtId="9" fontId="0" fillId="7" borderId="0" xfId="0" applyNumberFormat="1" applyFill="1" applyBorder="1"/>
    <xf numFmtId="0" fontId="14" fillId="2" borderId="25" xfId="0" applyFont="1" applyFill="1" applyBorder="1" applyAlignment="1">
      <alignment horizontal="center"/>
    </xf>
    <xf numFmtId="3" fontId="0" fillId="5" borderId="0" xfId="0" applyNumberFormat="1" applyFill="1" applyBorder="1"/>
    <xf numFmtId="0" fontId="0" fillId="0" borderId="25" xfId="0" applyFill="1" applyBorder="1"/>
    <xf numFmtId="3" fontId="0" fillId="0" borderId="0" xfId="0" applyNumberFormat="1" applyFill="1" applyBorder="1"/>
    <xf numFmtId="0" fontId="13" fillId="0" borderId="0" xfId="0" applyFont="1" applyAlignment="1" applyProtection="1">
      <alignment horizontal="centerContinuous"/>
      <protection locked="0"/>
    </xf>
    <xf numFmtId="3" fontId="6" fillId="0" borderId="67" xfId="0" applyNumberFormat="1" applyFont="1" applyBorder="1"/>
    <xf numFmtId="2" fontId="0" fillId="0" borderId="0" xfId="0" applyNumberFormat="1" applyProtection="1">
      <protection locked="0"/>
    </xf>
    <xf numFmtId="0" fontId="19" fillId="0" borderId="4" xfId="0" applyFont="1" applyBorder="1" applyAlignment="1" applyProtection="1">
      <alignment horizontal="center"/>
      <protection locked="0"/>
    </xf>
    <xf numFmtId="2" fontId="0" fillId="0" borderId="8" xfId="0" applyNumberFormat="1" applyBorder="1" applyProtection="1">
      <protection locked="0"/>
    </xf>
    <xf numFmtId="2" fontId="0" fillId="0" borderId="6" xfId="0" applyNumberFormat="1" applyBorder="1" applyProtection="1"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2" fontId="0" fillId="0" borderId="10" xfId="0" applyNumberFormat="1" applyBorder="1" applyAlignment="1" applyProtection="1">
      <alignment horizontal="center"/>
      <protection locked="0"/>
    </xf>
    <xf numFmtId="2" fontId="0" fillId="3" borderId="4" xfId="0" applyNumberFormat="1" applyFill="1" applyBorder="1" applyAlignment="1" applyProtection="1">
      <alignment horizontal="center"/>
      <protection locked="0"/>
    </xf>
    <xf numFmtId="3" fontId="1" fillId="0" borderId="14" xfId="0" applyNumberFormat="1" applyFont="1" applyBorder="1" applyAlignment="1">
      <alignment horizontal="centerContinuous"/>
    </xf>
    <xf numFmtId="3" fontId="0" fillId="0" borderId="12" xfId="0" applyNumberFormat="1" applyBorder="1"/>
    <xf numFmtId="3" fontId="0" fillId="0" borderId="18" xfId="0" applyNumberFormat="1" applyBorder="1"/>
    <xf numFmtId="3" fontId="1" fillId="0" borderId="4" xfId="0" applyNumberFormat="1" applyFont="1" applyFill="1" applyBorder="1" applyAlignment="1">
      <alignment horizontal="centerContinuous"/>
    </xf>
    <xf numFmtId="3" fontId="0" fillId="0" borderId="8" xfId="0" applyNumberFormat="1" applyFill="1" applyBorder="1"/>
    <xf numFmtId="3" fontId="0" fillId="2" borderId="28" xfId="0" applyNumberFormat="1" applyFill="1" applyBorder="1" applyAlignment="1">
      <alignment horizontal="right"/>
    </xf>
    <xf numFmtId="3" fontId="0" fillId="2" borderId="28" xfId="0" applyNumberFormat="1" applyFill="1" applyBorder="1"/>
    <xf numFmtId="3" fontId="0" fillId="6" borderId="29" xfId="0" applyNumberFormat="1" applyFill="1" applyBorder="1"/>
    <xf numFmtId="3" fontId="0" fillId="6" borderId="25" xfId="0" applyNumberFormat="1" applyFill="1" applyBorder="1" applyAlignment="1">
      <alignment horizontal="right"/>
    </xf>
    <xf numFmtId="3" fontId="0" fillId="6" borderId="25" xfId="0" applyNumberFormat="1" applyFill="1" applyBorder="1"/>
    <xf numFmtId="3" fontId="0" fillId="2" borderId="68" xfId="0" applyNumberFormat="1" applyFill="1" applyBorder="1" applyAlignment="1">
      <alignment horizontal="right"/>
    </xf>
    <xf numFmtId="3" fontId="0" fillId="2" borderId="69" xfId="0" applyNumberFormat="1" applyFill="1" applyBorder="1" applyAlignment="1">
      <alignment horizontal="right"/>
    </xf>
    <xf numFmtId="0" fontId="0" fillId="0" borderId="9" xfId="0" applyFill="1" applyBorder="1"/>
    <xf numFmtId="0" fontId="0" fillId="0" borderId="67" xfId="0" applyFill="1" applyBorder="1"/>
    <xf numFmtId="0" fontId="19" fillId="0" borderId="4" xfId="0" applyFont="1" applyFill="1" applyBorder="1" applyAlignment="1">
      <alignment horizontal="center"/>
    </xf>
    <xf numFmtId="0" fontId="0" fillId="0" borderId="8" xfId="0" applyFill="1" applyBorder="1"/>
    <xf numFmtId="0" fontId="0" fillId="2" borderId="28" xfId="0" applyFill="1" applyBorder="1"/>
    <xf numFmtId="0" fontId="0" fillId="2" borderId="69" xfId="0" applyFill="1" applyBorder="1"/>
    <xf numFmtId="0" fontId="0" fillId="2" borderId="68" xfId="0" applyFill="1" applyBorder="1"/>
    <xf numFmtId="0" fontId="54" fillId="0" borderId="0" xfId="0" applyNumberFormat="1" applyFont="1"/>
    <xf numFmtId="0" fontId="33" fillId="0" borderId="0" xfId="0" applyFont="1" applyBorder="1" applyAlignment="1">
      <alignment horizontal="left"/>
    </xf>
    <xf numFmtId="0" fontId="27" fillId="0" borderId="27" xfId="0" applyNumberFormat="1" applyFont="1" applyBorder="1" applyAlignment="1">
      <alignment horizontal="center"/>
    </xf>
    <xf numFmtId="9" fontId="33" fillId="0" borderId="26" xfId="6" applyFont="1" applyFill="1" applyBorder="1" applyAlignment="1" applyProtection="1">
      <alignment horizontal="center"/>
      <protection locked="0"/>
    </xf>
    <xf numFmtId="3" fontId="3" fillId="3" borderId="70" xfId="1" applyNumberFormat="1" applyFont="1" applyFill="1" applyBorder="1" applyProtection="1">
      <protection locked="0"/>
    </xf>
    <xf numFmtId="3" fontId="0" fillId="0" borderId="50" xfId="0" applyNumberFormat="1" applyFill="1" applyBorder="1" applyProtection="1">
      <protection locked="0"/>
    </xf>
    <xf numFmtId="3" fontId="33" fillId="0" borderId="50" xfId="0" applyNumberFormat="1" applyFont="1" applyFill="1" applyBorder="1" applyProtection="1">
      <protection locked="0"/>
    </xf>
    <xf numFmtId="3" fontId="33" fillId="0" borderId="26" xfId="0" applyNumberFormat="1" applyFont="1" applyFill="1" applyBorder="1" applyAlignment="1" applyProtection="1">
      <alignment horizontal="center"/>
      <protection locked="0"/>
    </xf>
    <xf numFmtId="3" fontId="6" fillId="0" borderId="26" xfId="0" applyNumberFormat="1" applyFont="1" applyFill="1" applyBorder="1" applyAlignment="1" applyProtection="1">
      <alignment horizontal="center"/>
      <protection locked="0"/>
    </xf>
    <xf numFmtId="3" fontId="6" fillId="0" borderId="50" xfId="0" applyNumberFormat="1" applyFont="1" applyFill="1" applyBorder="1" applyProtection="1">
      <protection locked="0"/>
    </xf>
    <xf numFmtId="166" fontId="4" fillId="0" borderId="0" xfId="2" applyNumberFormat="1" applyProtection="1">
      <protection locked="0"/>
    </xf>
    <xf numFmtId="359" fontId="22" fillId="0" borderId="1" xfId="0" applyNumberFormat="1" applyFont="1" applyBorder="1" applyAlignment="1" applyProtection="1">
      <alignment horizontal="center"/>
      <protection locked="0"/>
    </xf>
    <xf numFmtId="166" fontId="4" fillId="0" borderId="11" xfId="2" applyNumberFormat="1" applyBorder="1" applyProtection="1">
      <protection locked="0"/>
    </xf>
    <xf numFmtId="171" fontId="4" fillId="0" borderId="0" xfId="2" applyNumberFormat="1" applyProtection="1">
      <protection locked="0"/>
    </xf>
    <xf numFmtId="1" fontId="4" fillId="0" borderId="11" xfId="2" applyNumberFormat="1" applyBorder="1" applyProtection="1">
      <protection locked="0"/>
    </xf>
    <xf numFmtId="166" fontId="6" fillId="0" borderId="11" xfId="2" applyNumberFormat="1" applyFont="1" applyBorder="1" applyProtection="1">
      <protection locked="0"/>
    </xf>
    <xf numFmtId="1" fontId="4" fillId="0" borderId="0" xfId="2" applyNumberFormat="1" applyProtection="1">
      <protection locked="0"/>
    </xf>
    <xf numFmtId="171" fontId="6" fillId="0" borderId="0" xfId="0" applyNumberFormat="1" applyFont="1" applyBorder="1" applyProtection="1">
      <protection locked="0"/>
    </xf>
    <xf numFmtId="1" fontId="6" fillId="0" borderId="0" xfId="0" applyNumberFormat="1" applyFont="1" applyBorder="1" applyProtection="1">
      <protection locked="0"/>
    </xf>
    <xf numFmtId="1" fontId="4" fillId="0" borderId="0" xfId="2" applyNumberFormat="1" applyBorder="1" applyProtection="1">
      <protection locked="0"/>
    </xf>
    <xf numFmtId="22" fontId="0" fillId="0" borderId="0" xfId="0" applyNumberFormat="1" applyProtection="1">
      <protection locked="0"/>
    </xf>
    <xf numFmtId="360" fontId="22" fillId="0" borderId="1" xfId="0" applyNumberFormat="1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228" fontId="33" fillId="3" borderId="25" xfId="0" applyNumberFormat="1" applyFont="1" applyFill="1" applyBorder="1" applyProtection="1">
      <protection locked="0"/>
    </xf>
    <xf numFmtId="228" fontId="22" fillId="3" borderId="25" xfId="1" applyNumberFormat="1" applyFont="1" applyFill="1" applyBorder="1" applyProtection="1">
      <protection locked="0"/>
    </xf>
    <xf numFmtId="0" fontId="33" fillId="3" borderId="42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46" xfId="0" applyFont="1" applyFill="1" applyBorder="1" applyAlignment="1">
      <alignment horizontal="center"/>
    </xf>
    <xf numFmtId="228" fontId="19" fillId="3" borderId="25" xfId="1" applyNumberFormat="1" applyFont="1" applyFill="1" applyBorder="1" applyProtection="1">
      <protection locked="0"/>
    </xf>
    <xf numFmtId="228" fontId="6" fillId="3" borderId="25" xfId="0" applyNumberFormat="1" applyFont="1" applyFill="1" applyBorder="1" applyProtection="1">
      <protection locked="0"/>
    </xf>
    <xf numFmtId="228" fontId="33" fillId="3" borderId="25" xfId="1" applyNumberFormat="1" applyFont="1" applyFill="1" applyBorder="1" applyProtection="1">
      <protection locked="0"/>
    </xf>
    <xf numFmtId="228" fontId="33" fillId="3" borderId="25" xfId="0" applyNumberFormat="1" applyFont="1" applyFill="1" applyBorder="1"/>
    <xf numFmtId="228" fontId="6" fillId="3" borderId="25" xfId="0" applyNumberFormat="1" applyFont="1" applyFill="1" applyBorder="1"/>
    <xf numFmtId="9" fontId="33" fillId="3" borderId="25" xfId="6" applyFont="1" applyFill="1" applyBorder="1" applyProtection="1">
      <protection locked="0"/>
    </xf>
    <xf numFmtId="228" fontId="14" fillId="3" borderId="25" xfId="0" applyNumberFormat="1" applyFont="1" applyFill="1" applyBorder="1" applyProtection="1">
      <protection locked="0"/>
    </xf>
    <xf numFmtId="0" fontId="19" fillId="3" borderId="57" xfId="0" applyFont="1" applyFill="1" applyBorder="1" applyAlignment="1">
      <alignment horizontal="center"/>
    </xf>
    <xf numFmtId="228" fontId="6" fillId="0" borderId="0" xfId="0" applyNumberFormat="1" applyFont="1" applyFill="1"/>
    <xf numFmtId="228" fontId="33" fillId="0" borderId="0" xfId="0" applyNumberFormat="1" applyFont="1" applyFill="1"/>
    <xf numFmtId="0" fontId="33" fillId="3" borderId="25" xfId="0" applyNumberFormat="1" applyFont="1" applyFill="1" applyBorder="1"/>
    <xf numFmtId="0" fontId="22" fillId="3" borderId="6" xfId="0" applyFont="1" applyFill="1" applyBorder="1" applyAlignment="1" applyProtection="1">
      <alignment horizontal="center"/>
      <protection locked="0"/>
    </xf>
    <xf numFmtId="0" fontId="22" fillId="3" borderId="1" xfId="0" applyFont="1" applyFill="1" applyBorder="1" applyAlignment="1" applyProtection="1">
      <alignment horizontal="center"/>
      <protection locked="0"/>
    </xf>
    <xf numFmtId="360" fontId="22" fillId="3" borderId="1" xfId="0" applyNumberFormat="1" applyFont="1" applyFill="1" applyBorder="1" applyAlignment="1" applyProtection="1">
      <alignment horizontal="center"/>
      <protection locked="0"/>
    </xf>
    <xf numFmtId="3" fontId="14" fillId="3" borderId="10" xfId="2" applyNumberFormat="1" applyFont="1" applyFill="1" applyBorder="1" applyAlignment="1" applyProtection="1">
      <alignment horizontal="center"/>
      <protection locked="0"/>
    </xf>
    <xf numFmtId="3" fontId="55" fillId="0" borderId="0" xfId="0" applyNumberFormat="1" applyFont="1" applyAlignment="1" applyProtection="1">
      <alignment horizontal="center" wrapText="1"/>
    </xf>
    <xf numFmtId="0" fontId="49" fillId="0" borderId="0" xfId="0" applyFont="1" applyAlignment="1">
      <alignment horizontal="center" wrapText="1"/>
    </xf>
    <xf numFmtId="3" fontId="5" fillId="0" borderId="0" xfId="0" applyNumberFormat="1" applyFont="1" applyAlignment="1" applyProtection="1">
      <alignment horizontal="center"/>
    </xf>
    <xf numFmtId="3" fontId="45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center" wrapText="1"/>
    </xf>
    <xf numFmtId="3" fontId="16" fillId="0" borderId="0" xfId="0" applyNumberFormat="1" applyFont="1" applyAlignment="1" applyProtection="1">
      <alignment horizontal="center"/>
      <protection locked="0"/>
    </xf>
    <xf numFmtId="3" fontId="16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3" fontId="5" fillId="0" borderId="0" xfId="0" applyNumberFormat="1" applyFont="1" applyAlignment="1" applyProtection="1">
      <alignment horizontal="center" wrapText="1"/>
      <protection locked="0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3" fontId="5" fillId="0" borderId="0" xfId="0" applyNumberFormat="1" applyFont="1" applyAlignment="1" applyProtection="1">
      <alignment horizont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23" fillId="0" borderId="0" xfId="0" applyFont="1" applyBorder="1" applyAlignment="1">
      <alignment horizontal="right"/>
    </xf>
    <xf numFmtId="3" fontId="36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right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24" xfId="0" applyFont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Drop" dropLines="20" dropStyle="combo" dx="22" fmlaLink="Plant_Staff!$Q$7" fmlaRange="Plant_Staff!$R$8:$R$27" sel="3" val="0"/>
</file>

<file path=xl/ctrlProps/ctrlProp10.xml><?xml version="1.0" encoding="utf-8"?>
<formControlPr xmlns="http://schemas.microsoft.com/office/spreadsheetml/2009/9/main" objectType="Drop" dropLines="20" dropStyle="combo" dx="22" fmlaLink="'O&amp;M Backup_Detail'!$V$25" fmlaRange="'O&amp;M Backup_Detail'!$V$27:$V$30" sel="1" val="0"/>
</file>

<file path=xl/ctrlProps/ctrlProp11.xml><?xml version="1.0" encoding="utf-8"?>
<formControlPr xmlns="http://schemas.microsoft.com/office/spreadsheetml/2009/9/main" objectType="Radio" checked="Checked" firstButton="1" fmlaLink="$AD$6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checked="Checked" firstButton="1" fmlaLink="$AD$6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checked="Checked" firstButton="1" fmlaLink="$AD$6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firstButton="1" fmlaLink="$AD$6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checked="Checked" firstButton="1" fmlaLink="$AD$6" lockText="1" noThreeD="1"/>
</file>

<file path=xl/ctrlProps/ctrlProp2.xml><?xml version="1.0" encoding="utf-8"?>
<formControlPr xmlns="http://schemas.microsoft.com/office/spreadsheetml/2009/9/main" objectType="Drop" dropLines="20" dropStyle="combo" dx="22" fmlaLink="'O&amp;M Backup_Detail'!$O$7" fmlaRange="'O&amp;M Backup_Detail'!$P$8:$P$22" sel="3" val="0"/>
</file>

<file path=xl/ctrlProps/ctrlProp20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Drop" dropLines="20" dropStyle="combo" dx="22" fmlaLink="'O&amp;M Backup_Detail'!$O$25" fmlaRange="'O&amp;M Backup_Detail'!$O$27:$O$41" sel="3" val="0"/>
</file>

<file path=xl/ctrlProps/ctrlProp4.xml><?xml version="1.0" encoding="utf-8"?>
<formControlPr xmlns="http://schemas.microsoft.com/office/spreadsheetml/2009/9/main" objectType="Drop" dropLines="20" dropStyle="combo" dx="22" fmlaLink="'O&amp;M Backup_Detail'!$P$25" fmlaRange="'O&amp;M Backup_Detail'!$P$27:$P$30" sel="3" val="0"/>
</file>

<file path=xl/ctrlProps/ctrlProp5.xml><?xml version="1.0" encoding="utf-8"?>
<formControlPr xmlns="http://schemas.microsoft.com/office/spreadsheetml/2009/9/main" objectType="Drop" dropLines="20" dropStyle="combo" dx="22" fmlaLink="'O&amp;M Backup_Detail'!$R$7" fmlaRange="'O&amp;M Backup_Detail'!$S$8:$S$22" sel="6" val="0"/>
</file>

<file path=xl/ctrlProps/ctrlProp6.xml><?xml version="1.0" encoding="utf-8"?>
<formControlPr xmlns="http://schemas.microsoft.com/office/spreadsheetml/2009/9/main" objectType="Drop" dropLines="20" dropStyle="combo" dx="22" fmlaLink="'O&amp;M Backup_Detail'!$R$25" fmlaRange="'O&amp;M Backup_Detail'!$R$27:$R$42" sel="1" val="0"/>
</file>

<file path=xl/ctrlProps/ctrlProp7.xml><?xml version="1.0" encoding="utf-8"?>
<formControlPr xmlns="http://schemas.microsoft.com/office/spreadsheetml/2009/9/main" objectType="Drop" dropLines="20" dropStyle="combo" dx="22" fmlaLink="'O&amp;M Backup_Detail'!$S$25" fmlaRange="'O&amp;M Backup_Detail'!$S$27:$S$30" sel="1" val="0"/>
</file>

<file path=xl/ctrlProps/ctrlProp8.xml><?xml version="1.0" encoding="utf-8"?>
<formControlPr xmlns="http://schemas.microsoft.com/office/spreadsheetml/2009/9/main" objectType="Drop" dropLines="20" dropStyle="combo" dx="22" fmlaLink="'O&amp;M Backup_Detail'!$U$7" fmlaRange="'O&amp;M Backup_Detail'!$V$8:$V$22" sel="6" val="0"/>
</file>

<file path=xl/ctrlProps/ctrlProp9.xml><?xml version="1.0" encoding="utf-8"?>
<formControlPr xmlns="http://schemas.microsoft.com/office/spreadsheetml/2009/9/main" objectType="Drop" dropLines="20" dropStyle="combo" dx="22" fmlaLink="'O&amp;M Backup_Detail'!$U$25" fmlaRange="'O&amp;M Backup_Detail'!$U$27:$U$4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4</xdr:row>
          <xdr:rowOff>28575</xdr:rowOff>
        </xdr:from>
        <xdr:to>
          <xdr:col>5</xdr:col>
          <xdr:colOff>762000</xdr:colOff>
          <xdr:row>5</xdr:row>
          <xdr:rowOff>9525</xdr:rowOff>
        </xdr:to>
        <xdr:sp macro="" textlink="">
          <xdr:nvSpPr>
            <xdr:cNvPr id="4109" name="Drop Dow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468A59A6-B647-0ED6-884D-5948815795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0</xdr:colOff>
          <xdr:row>45</xdr:row>
          <xdr:rowOff>133350</xdr:rowOff>
        </xdr:from>
        <xdr:to>
          <xdr:col>16</xdr:col>
          <xdr:colOff>123825</xdr:colOff>
          <xdr:row>47</xdr:row>
          <xdr:rowOff>9525</xdr:rowOff>
        </xdr:to>
        <xdr:sp macro="" textlink="">
          <xdr:nvSpPr>
            <xdr:cNvPr id="2075" name="Drop Dow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613ADE6C-A71C-5B98-3AD0-1B7F60DC3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438150</xdr:colOff>
          <xdr:row>45</xdr:row>
          <xdr:rowOff>123825</xdr:rowOff>
        </xdr:from>
        <xdr:to>
          <xdr:col>18</xdr:col>
          <xdr:colOff>209550</xdr:colOff>
          <xdr:row>47</xdr:row>
          <xdr:rowOff>0</xdr:rowOff>
        </xdr:to>
        <xdr:sp macro="" textlink="">
          <xdr:nvSpPr>
            <xdr:cNvPr id="2076" name="Drop Dow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1216FEA8-1929-2581-C80F-6DCA6BE13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18</xdr:col>
          <xdr:colOff>438150</xdr:colOff>
          <xdr:row>45</xdr:row>
          <xdr:rowOff>123825</xdr:rowOff>
        </xdr:from>
        <xdr:to>
          <xdr:col>19</xdr:col>
          <xdr:colOff>447675</xdr:colOff>
          <xdr:row>47</xdr:row>
          <xdr:rowOff>0</xdr:rowOff>
        </xdr:to>
        <xdr:sp macro="" textlink="">
          <xdr:nvSpPr>
            <xdr:cNvPr id="2077" name="Drop Dow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64AA569C-1EEB-EBDC-5708-E19AE0E2F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0</xdr:colOff>
          <xdr:row>48</xdr:row>
          <xdr:rowOff>0</xdr:rowOff>
        </xdr:from>
        <xdr:to>
          <xdr:col>16</xdr:col>
          <xdr:colOff>123825</xdr:colOff>
          <xdr:row>49</xdr:row>
          <xdr:rowOff>38100</xdr:rowOff>
        </xdr:to>
        <xdr:sp macro="" textlink="">
          <xdr:nvSpPr>
            <xdr:cNvPr id="2078" name="Drop Dow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F5032148-3507-AB01-6DD4-1EF9D1CC8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428625</xdr:colOff>
          <xdr:row>48</xdr:row>
          <xdr:rowOff>0</xdr:rowOff>
        </xdr:from>
        <xdr:to>
          <xdr:col>18</xdr:col>
          <xdr:colOff>200025</xdr:colOff>
          <xdr:row>49</xdr:row>
          <xdr:rowOff>38100</xdr:rowOff>
        </xdr:to>
        <xdr:sp macro="" textlink="">
          <xdr:nvSpPr>
            <xdr:cNvPr id="2079" name="Drop Dow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37FF4AB6-D679-87C7-7F99-CB2F39983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18</xdr:col>
          <xdr:colOff>428625</xdr:colOff>
          <xdr:row>48</xdr:row>
          <xdr:rowOff>0</xdr:rowOff>
        </xdr:from>
        <xdr:to>
          <xdr:col>19</xdr:col>
          <xdr:colOff>438150</xdr:colOff>
          <xdr:row>49</xdr:row>
          <xdr:rowOff>38100</xdr:rowOff>
        </xdr:to>
        <xdr:sp macro="" textlink="">
          <xdr:nvSpPr>
            <xdr:cNvPr id="2080" name="Drop Dow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A52693E6-9A17-AA43-48B9-2B5D2ACF1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0</xdr:colOff>
          <xdr:row>50</xdr:row>
          <xdr:rowOff>0</xdr:rowOff>
        </xdr:from>
        <xdr:to>
          <xdr:col>16</xdr:col>
          <xdr:colOff>123825</xdr:colOff>
          <xdr:row>51</xdr:row>
          <xdr:rowOff>38100</xdr:rowOff>
        </xdr:to>
        <xdr:sp macro="" textlink="">
          <xdr:nvSpPr>
            <xdr:cNvPr id="2081" name="Drop Dow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10427729-8292-EB8F-EBEB-7206E3A70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438150</xdr:colOff>
          <xdr:row>50</xdr:row>
          <xdr:rowOff>0</xdr:rowOff>
        </xdr:from>
        <xdr:to>
          <xdr:col>18</xdr:col>
          <xdr:colOff>209550</xdr:colOff>
          <xdr:row>51</xdr:row>
          <xdr:rowOff>38100</xdr:rowOff>
        </xdr:to>
        <xdr:sp macro="" textlink="">
          <xdr:nvSpPr>
            <xdr:cNvPr id="2082" name="Drop Dow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A0A42371-09AD-B84C-3DD0-47673DD6A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18</xdr:col>
          <xdr:colOff>438150</xdr:colOff>
          <xdr:row>50</xdr:row>
          <xdr:rowOff>0</xdr:rowOff>
        </xdr:from>
        <xdr:to>
          <xdr:col>19</xdr:col>
          <xdr:colOff>447675</xdr:colOff>
          <xdr:row>51</xdr:row>
          <xdr:rowOff>38100</xdr:rowOff>
        </xdr:to>
        <xdr:sp macro="" textlink="">
          <xdr:nvSpPr>
            <xdr:cNvPr id="2083" name="Drop Dow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63200FD6-D93B-E0AB-9075-31CE18FF7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4</xdr:row>
          <xdr:rowOff>76200</xdr:rowOff>
        </xdr:from>
        <xdr:to>
          <xdr:col>27</xdr:col>
          <xdr:colOff>647700</xdr:colOff>
          <xdr:row>5</xdr:row>
          <xdr:rowOff>142875</xdr:rowOff>
        </xdr:to>
        <xdr:sp macro="" textlink="">
          <xdr:nvSpPr>
            <xdr:cNvPr id="9217" name="Option 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68C4BD70-F0D3-79A7-A4A2-95E051181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142875</xdr:colOff>
          <xdr:row>5</xdr:row>
          <xdr:rowOff>161925</xdr:rowOff>
        </xdr:from>
        <xdr:to>
          <xdr:col>27</xdr:col>
          <xdr:colOff>523875</xdr:colOff>
          <xdr:row>7</xdr:row>
          <xdr:rowOff>19050</xdr:rowOff>
        </xdr:to>
        <xdr:sp macro="" textlink="">
          <xdr:nvSpPr>
            <xdr:cNvPr id="9218" name="Option 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34DA322F-0863-A307-1329-5B7A50554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EOS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4</xdr:row>
          <xdr:rowOff>76200</xdr:rowOff>
        </xdr:from>
        <xdr:to>
          <xdr:col>27</xdr:col>
          <xdr:colOff>647700</xdr:colOff>
          <xdr:row>5</xdr:row>
          <xdr:rowOff>142875</xdr:rowOff>
        </xdr:to>
        <xdr:sp macro="" textlink="">
          <xdr:nvSpPr>
            <xdr:cNvPr id="11265" name="Option 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378DD13-A9CE-AF42-5A8D-361BB68EA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142875</xdr:colOff>
          <xdr:row>5</xdr:row>
          <xdr:rowOff>161925</xdr:rowOff>
        </xdr:from>
        <xdr:to>
          <xdr:col>27</xdr:col>
          <xdr:colOff>523875</xdr:colOff>
          <xdr:row>7</xdr:row>
          <xdr:rowOff>19050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C72806DF-65E2-B432-8DEE-9F160F882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EOS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4</xdr:row>
          <xdr:rowOff>76200</xdr:rowOff>
        </xdr:from>
        <xdr:to>
          <xdr:col>27</xdr:col>
          <xdr:colOff>647700</xdr:colOff>
          <xdr:row>5</xdr:row>
          <xdr:rowOff>142875</xdr:rowOff>
        </xdr:to>
        <xdr:sp macro="" textlink="">
          <xdr:nvSpPr>
            <xdr:cNvPr id="5121" name="Option 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515BFB53-2F28-757B-2BE3-EBC46445C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142875</xdr:colOff>
          <xdr:row>5</xdr:row>
          <xdr:rowOff>161925</xdr:rowOff>
        </xdr:from>
        <xdr:to>
          <xdr:col>27</xdr:col>
          <xdr:colOff>523875</xdr:colOff>
          <xdr:row>7</xdr:row>
          <xdr:rowOff>19050</xdr:rowOff>
        </xdr:to>
        <xdr:sp macro="" textlink="">
          <xdr:nvSpPr>
            <xdr:cNvPr id="5122" name="Option 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E8ADF07F-A741-B72F-3715-080B093F4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EOS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4</xdr:row>
          <xdr:rowOff>76200</xdr:rowOff>
        </xdr:from>
        <xdr:to>
          <xdr:col>27</xdr:col>
          <xdr:colOff>647700</xdr:colOff>
          <xdr:row>5</xdr:row>
          <xdr:rowOff>142875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417B5EF5-6D27-4A2B-29FC-E61C85DBF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142875</xdr:colOff>
          <xdr:row>5</xdr:row>
          <xdr:rowOff>161925</xdr:rowOff>
        </xdr:from>
        <xdr:to>
          <xdr:col>27</xdr:col>
          <xdr:colOff>523875</xdr:colOff>
          <xdr:row>7</xdr:row>
          <xdr:rowOff>19050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452A1EEA-93F3-EFED-FE93-1EDE5AE77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EOS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4</xdr:row>
          <xdr:rowOff>76200</xdr:rowOff>
        </xdr:from>
        <xdr:to>
          <xdr:col>27</xdr:col>
          <xdr:colOff>647700</xdr:colOff>
          <xdr:row>5</xdr:row>
          <xdr:rowOff>142875</xdr:rowOff>
        </xdr:to>
        <xdr:sp macro="" textlink="">
          <xdr:nvSpPr>
            <xdr:cNvPr id="8193" name="Option 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1825A410-422D-7535-D808-1AFA624F73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142875</xdr:colOff>
          <xdr:row>5</xdr:row>
          <xdr:rowOff>161925</xdr:rowOff>
        </xdr:from>
        <xdr:to>
          <xdr:col>27</xdr:col>
          <xdr:colOff>523875</xdr:colOff>
          <xdr:row>7</xdr:row>
          <xdr:rowOff>19050</xdr:rowOff>
        </xdr:to>
        <xdr:sp macro="" textlink="">
          <xdr:nvSpPr>
            <xdr:cNvPr id="8194" name="Option 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B29EAEA6-9340-0614-6422-D4934D50E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4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3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6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236"/>
  <sheetViews>
    <sheetView showGridLines="0" tabSelected="1" zoomScale="85" workbookViewId="0">
      <selection activeCell="I6" sqref="I6"/>
    </sheetView>
  </sheetViews>
  <sheetFormatPr defaultRowHeight="12.75"/>
  <cols>
    <col min="6" max="6" width="13" customWidth="1"/>
  </cols>
  <sheetData>
    <row r="1" spans="1:22" ht="18" customHeight="1">
      <c r="A1" s="888" t="str">
        <f>Scope!A1</f>
        <v>AES Corp, Dallas, TX (640 MW)</v>
      </c>
      <c r="B1" s="889"/>
      <c r="C1" s="889"/>
      <c r="D1" s="889"/>
      <c r="E1" s="889"/>
      <c r="F1" s="889"/>
      <c r="G1" s="88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8" customHeight="1">
      <c r="A2" s="889"/>
      <c r="B2" s="889"/>
      <c r="C2" s="889"/>
      <c r="D2" s="889"/>
      <c r="E2" s="889"/>
      <c r="F2" s="889"/>
      <c r="G2" s="88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>
      <c r="A3" s="24" t="s">
        <v>1124</v>
      </c>
      <c r="B3" s="8"/>
      <c r="C3" s="8"/>
      <c r="D3" s="8"/>
      <c r="E3" s="8"/>
      <c r="F3" s="8"/>
      <c r="G3" s="8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>
      <c r="A4" s="24" t="s">
        <v>1125</v>
      </c>
      <c r="B4" s="8"/>
      <c r="C4" s="8"/>
      <c r="D4" s="8"/>
      <c r="E4" s="8"/>
      <c r="F4" s="8"/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>
      <c r="A5" s="33"/>
      <c r="B5" s="33"/>
      <c r="C5" s="33"/>
      <c r="D5" s="33"/>
      <c r="E5" s="33"/>
      <c r="F5" s="33"/>
      <c r="G5" s="3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>
      <c r="A6" s="33"/>
      <c r="B6" s="33"/>
      <c r="C6" s="33"/>
      <c r="D6" s="33"/>
      <c r="E6" s="33"/>
      <c r="F6" s="33"/>
      <c r="G6" s="3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>
      <c r="A8" s="34" t="s">
        <v>1125</v>
      </c>
      <c r="B8" s="33"/>
      <c r="C8" s="33"/>
      <c r="D8" s="33"/>
      <c r="F8" s="33"/>
      <c r="G8" s="43">
        <v>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>
      <c r="A9" s="33"/>
      <c r="B9" s="33"/>
      <c r="C9" s="33"/>
      <c r="D9" s="33"/>
      <c r="E9" s="33"/>
      <c r="F9" s="33"/>
      <c r="G9" s="4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>
      <c r="A10" s="34" t="s">
        <v>1126</v>
      </c>
      <c r="B10" s="33"/>
      <c r="C10" s="33"/>
      <c r="D10" s="33"/>
      <c r="E10" s="33"/>
      <c r="F10" s="33"/>
      <c r="G10" s="4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B11" s="157" t="s">
        <v>1127</v>
      </c>
      <c r="C11" s="33"/>
      <c r="D11" s="33"/>
      <c r="F11" s="33"/>
      <c r="G11" s="43">
        <v>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34"/>
      <c r="B12" s="157" t="s">
        <v>1128</v>
      </c>
      <c r="C12" s="33"/>
      <c r="D12" s="33"/>
      <c r="F12" s="33"/>
      <c r="G12" s="43">
        <v>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idden="1">
      <c r="A13" s="34"/>
      <c r="B13" s="157" t="s">
        <v>1129</v>
      </c>
      <c r="C13" s="33"/>
      <c r="D13" s="33"/>
      <c r="F13" s="33"/>
      <c r="G13" s="43">
        <v>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A14" s="34"/>
      <c r="B14" s="34"/>
      <c r="C14" s="33"/>
      <c r="D14" s="33"/>
      <c r="F14" s="33"/>
      <c r="G14" s="4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 s="34" t="s">
        <v>1130</v>
      </c>
      <c r="B15" s="34"/>
      <c r="C15" s="33"/>
      <c r="D15" s="33"/>
      <c r="E15" s="33"/>
      <c r="F15" s="33"/>
      <c r="G15" s="43">
        <v>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idden="1">
      <c r="A16" s="34"/>
      <c r="B16" s="34" t="s">
        <v>1131</v>
      </c>
      <c r="C16" s="33"/>
      <c r="D16" s="33"/>
      <c r="E16" s="33"/>
      <c r="F16" s="33"/>
      <c r="G16" s="43">
        <v>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>
      <c r="A17" s="34"/>
      <c r="B17" s="34"/>
      <c r="C17" s="33"/>
      <c r="D17" s="33"/>
      <c r="E17" s="33"/>
      <c r="F17" s="33"/>
      <c r="G17" s="4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idden="1">
      <c r="A18" s="34" t="s">
        <v>1132</v>
      </c>
      <c r="C18" s="33"/>
      <c r="D18" s="33"/>
      <c r="E18" s="33"/>
      <c r="F18" s="33"/>
      <c r="G18" s="43">
        <v>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idden="1">
      <c r="A19" s="33"/>
      <c r="C19" s="33"/>
      <c r="D19" s="33"/>
      <c r="E19" s="33"/>
      <c r="F19" s="33"/>
      <c r="G19" s="4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 s="34" t="s">
        <v>1133</v>
      </c>
      <c r="C20" s="33"/>
      <c r="D20" s="33"/>
      <c r="E20" s="33"/>
      <c r="F20" s="33"/>
      <c r="G20" s="43">
        <v>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A21" s="33"/>
      <c r="C21" s="33"/>
      <c r="D21" s="33"/>
      <c r="E21" s="33"/>
      <c r="F21" s="33"/>
      <c r="G21" s="4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34" t="s">
        <v>1452</v>
      </c>
      <c r="C22" s="33"/>
      <c r="D22" s="33"/>
      <c r="E22" s="33"/>
      <c r="F22" s="33"/>
      <c r="G22" s="43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3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34" t="s">
        <v>1453</v>
      </c>
      <c r="C24" s="33"/>
      <c r="D24" s="33"/>
      <c r="E24" s="33"/>
      <c r="F24" s="33"/>
      <c r="G24" s="4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idden="1">
      <c r="A25" s="34"/>
      <c r="B25" s="56" t="s">
        <v>1454</v>
      </c>
      <c r="C25" s="33"/>
      <c r="D25" s="33"/>
      <c r="E25" s="33"/>
      <c r="F25" s="33"/>
      <c r="G25" s="43">
        <v>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A26" s="33"/>
      <c r="B26" s="34" t="s">
        <v>1455</v>
      </c>
      <c r="C26" s="33"/>
      <c r="D26" s="33"/>
      <c r="E26" s="33"/>
      <c r="F26" s="33"/>
      <c r="G26" s="33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A27" s="33"/>
      <c r="B27" s="34"/>
      <c r="C27" s="844" t="str">
        <f>IF('O&amp;M Backup_Detail'!O7=1,'GT sched cost (LM6000)'!A1,IF('O&amp;M Backup_Detail'!O7=2,'GT schd cost(7EA)'!A2,IF('O&amp;M Backup_Detail'!O7=3,'GT schd cost(7FA)'!A2,IF('O&amp;M Backup_Detail'!O7=4,'GT schd cost(W501D5)'!A2,IF('O&amp;M Backup_Detail'!O7=5,'GT schd cost(W501D5A)'!A2,IF('O&amp;M Backup_Detail'!O7=7,'GT schd cost(6B)'!A2,""))))))</f>
        <v>2xGE-Frame 7FA GT Scheduled Maintenance  Cost</v>
      </c>
      <c r="G27">
        <f>IF(C27="","",MAX(G8,G11,G12,G15,G20,G22)+1)</f>
        <v>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8" hidden="1">
      <c r="A28" s="34" t="s">
        <v>1456</v>
      </c>
      <c r="B28" s="33"/>
      <c r="C28" s="723" t="s">
        <v>1159</v>
      </c>
      <c r="D28" s="374"/>
      <c r="G28">
        <f t="shared" ref="G28:G36" si="0">IF(C28="","",MAX(G9:G27)+1)</f>
        <v>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idden="1">
      <c r="A29" s="34"/>
      <c r="B29" s="157" t="s">
        <v>1457</v>
      </c>
      <c r="C29" s="723" t="s">
        <v>1159</v>
      </c>
      <c r="D29" s="33"/>
      <c r="E29" s="33"/>
      <c r="F29" s="33"/>
      <c r="G29">
        <f t="shared" si="0"/>
        <v>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idden="1">
      <c r="A30" s="34"/>
      <c r="B30" s="157" t="s">
        <v>1458</v>
      </c>
      <c r="C30" s="723" t="s">
        <v>1159</v>
      </c>
      <c r="D30" s="33"/>
      <c r="E30" s="33"/>
      <c r="F30" s="33"/>
      <c r="G30">
        <f t="shared" si="0"/>
        <v>10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idden="1">
      <c r="A31" s="34"/>
      <c r="B31" s="157" t="s">
        <v>1459</v>
      </c>
      <c r="C31" s="723" t="s">
        <v>1159</v>
      </c>
      <c r="D31" s="33"/>
      <c r="E31" s="33"/>
      <c r="F31" s="33"/>
      <c r="G31">
        <f t="shared" si="0"/>
        <v>11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idden="1">
      <c r="A32" s="34"/>
      <c r="B32" s="157" t="s">
        <v>1460</v>
      </c>
      <c r="C32" s="723" t="s">
        <v>1159</v>
      </c>
      <c r="D32" s="33"/>
      <c r="E32" s="33"/>
      <c r="F32" s="33"/>
      <c r="G32">
        <f t="shared" si="0"/>
        <v>12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idden="1">
      <c r="A33" s="33"/>
      <c r="B33" s="157" t="s">
        <v>1461</v>
      </c>
      <c r="C33" s="723" t="s">
        <v>1159</v>
      </c>
      <c r="D33" s="33"/>
      <c r="E33" s="33"/>
      <c r="F33" s="33"/>
      <c r="G33">
        <f t="shared" si="0"/>
        <v>13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idden="1">
      <c r="A34" s="33"/>
      <c r="B34" s="157" t="s">
        <v>1462</v>
      </c>
      <c r="C34" s="723" t="s">
        <v>1159</v>
      </c>
      <c r="D34" s="33"/>
      <c r="E34" s="33"/>
      <c r="F34" s="33"/>
      <c r="G34">
        <f t="shared" si="0"/>
        <v>14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idden="1">
      <c r="A35" s="5"/>
      <c r="B35" s="5"/>
      <c r="C35" s="723" t="s">
        <v>1159</v>
      </c>
      <c r="D35" s="5"/>
      <c r="E35" s="5"/>
      <c r="F35" s="5"/>
      <c r="G35">
        <f t="shared" si="0"/>
        <v>15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idden="1">
      <c r="A36" s="5"/>
      <c r="B36" s="5"/>
      <c r="C36" s="723" t="s">
        <v>1159</v>
      </c>
      <c r="D36" s="5"/>
      <c r="E36" s="5"/>
      <c r="F36" s="5"/>
      <c r="G36">
        <f t="shared" si="0"/>
        <v>16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5"/>
      <c r="B37" s="5"/>
      <c r="C37" s="844" t="str">
        <f>IF('O&amp;M Backup_Detail'!R7=1,'GT sched cost (LM6000)'!A1,IF('O&amp;M Backup_Detail'!R7=2,'GT schd cost(7EA)'!A2,IF('O&amp;M Backup_Detail'!R7=3,'GT schd cost(7FA)'!A2,IF('O&amp;M Backup_Detail'!R7=4,'GT schd cost(W501D5)'!A2,IF('O&amp;M Backup_Detail'!R7=5,'GT schd cost(W501D5A)'!A2,IF('O&amp;M Backup_Detail'!R7=7,'GT schd cost(6B)'!A2,""))))))</f>
        <v/>
      </c>
      <c r="D37" s="5"/>
      <c r="E37" s="5"/>
      <c r="F37" s="5"/>
      <c r="G37" t="str">
        <f>IF(C37="","",MAX(G8,G11,G12,G15,G20,G22,G27)+1)</f>
        <v/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>
      <c r="A38" s="5"/>
      <c r="B38" s="5"/>
      <c r="C38" s="844" t="str">
        <f>IF('O&amp;M Backup_Detail'!U7=1,'GT sched cost (LM6000)'!A1,IF('O&amp;M Backup_Detail'!U7=2,'GT schd cost(7EA)'!A2,IF('O&amp;M Backup_Detail'!U7=3,'GT schd cost(7FA)'!A2,IF('O&amp;M Backup_Detail'!U7=4,'GT schd cost(W501D5)'!A2,IF('O&amp;M Backup_Detail'!U7=5,'GT schd cost(W501D5A)'!A2,IF('O&amp;M Backup_Detail'!U7=7,'GT schd cost(6B)'!A2,""))))))</f>
        <v/>
      </c>
      <c r="D38" s="5"/>
      <c r="E38" s="5"/>
      <c r="F38" s="5"/>
      <c r="G38" t="str">
        <f>IF(C38="","",MAX(G8,G8,G11,G12,G15,G20,G22,G27,G37)+1)</f>
        <v/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</sheetData>
  <mergeCells count="1">
    <mergeCell ref="A1:G2"/>
  </mergeCells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outlinePr applyStyles="1"/>
    <pageSetUpPr fitToPage="1"/>
  </sheetPr>
  <dimension ref="A1:AG913"/>
  <sheetViews>
    <sheetView showGridLines="0" topLeftCell="E1" zoomScale="80" workbookViewId="0">
      <pane ySplit="3" topLeftCell="A174" activePane="bottomLeft" state="frozen"/>
      <selection activeCell="G40" sqref="G40"/>
      <selection pane="bottomLeft" activeCell="H94" sqref="H94"/>
    </sheetView>
  </sheetViews>
  <sheetFormatPr defaultRowHeight="12.75" outlineLevelRow="2"/>
  <cols>
    <col min="1" max="1" width="23.7109375" style="5" hidden="1" customWidth="1"/>
    <col min="2" max="2" width="24.42578125" style="5" hidden="1" customWidth="1"/>
    <col min="3" max="3" width="20.85546875" style="5" hidden="1" customWidth="1"/>
    <col min="4" max="4" width="22.85546875" style="5" hidden="1" customWidth="1"/>
    <col min="5" max="5" width="36.85546875" style="5" customWidth="1"/>
    <col min="6" max="6" width="45.28515625" style="5" customWidth="1"/>
    <col min="7" max="7" width="13" style="5" bestFit="1" customWidth="1"/>
    <col min="8" max="8" width="16.5703125" style="5" customWidth="1"/>
    <col min="9" max="9" width="14.140625" style="11" hidden="1" customWidth="1"/>
    <col min="10" max="10" width="12.140625" style="5" customWidth="1"/>
    <col min="11" max="11" width="12.140625" style="5" hidden="1" customWidth="1"/>
    <col min="12" max="12" width="2.5703125" style="5" customWidth="1"/>
    <col min="13" max="13" width="9.42578125" style="11" hidden="1" customWidth="1"/>
    <col min="14" max="14" width="9.140625" style="11"/>
    <col min="15" max="16384" width="9.140625" style="5"/>
  </cols>
  <sheetData>
    <row r="1" spans="1:33" ht="15.75">
      <c r="E1" s="198" t="str">
        <f>Summary!$A$1</f>
        <v>AES Corp, Dallas, TX (640 MW)</v>
      </c>
      <c r="F1" s="49"/>
      <c r="G1" s="49"/>
      <c r="H1" s="299"/>
      <c r="I1" s="305"/>
      <c r="J1" s="299"/>
      <c r="K1" s="299"/>
      <c r="L1" s="16"/>
      <c r="M1" s="91"/>
      <c r="N1" s="91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ht="24.75" customHeight="1" thickBot="1">
      <c r="E2" s="300" t="s">
        <v>619</v>
      </c>
      <c r="F2" s="301"/>
      <c r="G2" s="301"/>
      <c r="H2" s="299"/>
      <c r="I2" s="305"/>
      <c r="J2" s="299"/>
      <c r="K2" s="299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37.5" customHeight="1" thickBot="1">
      <c r="B3" s="9" t="s">
        <v>610</v>
      </c>
      <c r="C3" s="9" t="s">
        <v>611</v>
      </c>
      <c r="D3" s="9" t="s">
        <v>612</v>
      </c>
      <c r="E3" s="302" t="s">
        <v>613</v>
      </c>
      <c r="F3" s="303" t="s">
        <v>614</v>
      </c>
      <c r="G3" s="304"/>
      <c r="H3" s="298" t="s">
        <v>270</v>
      </c>
      <c r="I3" s="306" t="s">
        <v>271</v>
      </c>
      <c r="J3" s="168" t="s">
        <v>616</v>
      </c>
      <c r="K3" s="168" t="s">
        <v>617</v>
      </c>
      <c r="M3" s="10" t="s">
        <v>618</v>
      </c>
    </row>
    <row r="4" spans="1:33" s="13" customFormat="1" outlineLevel="1">
      <c r="A4" s="5" t="s">
        <v>1384</v>
      </c>
      <c r="B4" s="5" t="s">
        <v>1385</v>
      </c>
      <c r="C4" s="5" t="s">
        <v>1386</v>
      </c>
      <c r="D4" s="5" t="s">
        <v>1387</v>
      </c>
      <c r="E4" s="96" t="s">
        <v>580</v>
      </c>
      <c r="F4" s="97"/>
      <c r="G4" s="280"/>
      <c r="H4" s="289"/>
      <c r="I4" s="307"/>
      <c r="J4" s="289"/>
      <c r="K4" s="290"/>
    </row>
    <row r="5" spans="1:33" outlineLevel="2">
      <c r="A5" s="5" t="str">
        <f>B5&amp;C5&amp;D5</f>
        <v>O&amp;M Mobilization BudgetOperating ExpensesPublic Relations</v>
      </c>
      <c r="B5" s="5" t="s">
        <v>1385</v>
      </c>
      <c r="C5" s="5" t="s">
        <v>1386</v>
      </c>
      <c r="D5" s="5" t="s">
        <v>1387</v>
      </c>
      <c r="E5" s="50" t="s">
        <v>1388</v>
      </c>
      <c r="F5" s="16"/>
      <c r="G5" s="16"/>
      <c r="H5" s="275">
        <v>0</v>
      </c>
      <c r="I5" s="316">
        <v>1</v>
      </c>
      <c r="J5" s="274">
        <f>I5*H5</f>
        <v>0</v>
      </c>
      <c r="K5" s="274">
        <f>H5-J5</f>
        <v>0</v>
      </c>
      <c r="M5" s="5"/>
      <c r="N5" s="5"/>
    </row>
    <row r="6" spans="1:33" outlineLevel="2">
      <c r="E6" s="50"/>
      <c r="F6" s="16" t="s">
        <v>166</v>
      </c>
      <c r="G6" s="16"/>
      <c r="H6" s="275">
        <f>(Mob_Staffing!H8+Mob_Staffing!J8)*2</f>
        <v>24679</v>
      </c>
      <c r="I6" s="316">
        <v>1</v>
      </c>
      <c r="J6" s="274">
        <f t="shared" ref="J6:J13" si="0">I6*H6</f>
        <v>24679</v>
      </c>
      <c r="K6" s="274">
        <f t="shared" ref="K6:K13" si="1">H6-J6</f>
        <v>0</v>
      </c>
      <c r="M6" s="5"/>
      <c r="N6" s="5"/>
    </row>
    <row r="7" spans="1:33" outlineLevel="2">
      <c r="E7" s="50" t="s">
        <v>1389</v>
      </c>
      <c r="F7" s="16" t="s">
        <v>167</v>
      </c>
      <c r="G7" s="16"/>
      <c r="H7" s="275">
        <f>150*60</f>
        <v>9000</v>
      </c>
      <c r="I7" s="316">
        <v>1</v>
      </c>
      <c r="J7" s="274">
        <f t="shared" si="0"/>
        <v>9000</v>
      </c>
      <c r="K7" s="274">
        <f t="shared" si="1"/>
        <v>0</v>
      </c>
      <c r="M7" s="5"/>
      <c r="N7" s="5"/>
    </row>
    <row r="8" spans="1:33" hidden="1" outlineLevel="2">
      <c r="E8" s="50" t="s">
        <v>1390</v>
      </c>
      <c r="F8" s="16" t="s">
        <v>1391</v>
      </c>
      <c r="G8" s="16"/>
      <c r="H8" s="275">
        <v>0</v>
      </c>
      <c r="I8" s="316">
        <v>1</v>
      </c>
      <c r="J8" s="274">
        <f t="shared" si="0"/>
        <v>0</v>
      </c>
      <c r="K8" s="274">
        <f t="shared" si="1"/>
        <v>0</v>
      </c>
      <c r="M8" s="5"/>
      <c r="N8" s="5"/>
    </row>
    <row r="9" spans="1:33" hidden="1" outlineLevel="2">
      <c r="E9" s="50" t="s">
        <v>1392</v>
      </c>
      <c r="F9" s="16" t="s">
        <v>1393</v>
      </c>
      <c r="G9" s="16"/>
      <c r="H9" s="275"/>
      <c r="I9" s="316">
        <v>1</v>
      </c>
      <c r="J9" s="274">
        <f t="shared" si="0"/>
        <v>0</v>
      </c>
      <c r="K9" s="274">
        <f t="shared" si="1"/>
        <v>0</v>
      </c>
      <c r="M9" s="5"/>
      <c r="N9" s="5"/>
    </row>
    <row r="10" spans="1:33" hidden="1" outlineLevel="2">
      <c r="E10" s="50" t="s">
        <v>1394</v>
      </c>
      <c r="F10" s="16" t="s">
        <v>1395</v>
      </c>
      <c r="G10" s="16"/>
      <c r="H10" s="275"/>
      <c r="I10" s="316">
        <v>1</v>
      </c>
      <c r="J10" s="274">
        <f t="shared" si="0"/>
        <v>0</v>
      </c>
      <c r="K10" s="274">
        <f t="shared" si="1"/>
        <v>0</v>
      </c>
      <c r="M10" s="5"/>
      <c r="N10" s="5"/>
    </row>
    <row r="11" spans="1:33" hidden="1" outlineLevel="2">
      <c r="E11" s="50" t="s">
        <v>1396</v>
      </c>
      <c r="F11" s="16" t="s">
        <v>1397</v>
      </c>
      <c r="G11" s="16"/>
      <c r="H11" s="275"/>
      <c r="I11" s="316">
        <v>1</v>
      </c>
      <c r="J11" s="274">
        <f t="shared" si="0"/>
        <v>0</v>
      </c>
      <c r="K11" s="274">
        <f t="shared" si="1"/>
        <v>0</v>
      </c>
      <c r="M11" s="5"/>
      <c r="N11" s="5"/>
    </row>
    <row r="12" spans="1:33" hidden="1" outlineLevel="2">
      <c r="E12" s="50"/>
      <c r="F12" s="16" t="s">
        <v>1398</v>
      </c>
      <c r="G12" s="16"/>
      <c r="H12" s="275"/>
      <c r="I12" s="316">
        <v>1</v>
      </c>
      <c r="J12" s="274">
        <f t="shared" si="0"/>
        <v>0</v>
      </c>
      <c r="K12" s="274">
        <f t="shared" si="1"/>
        <v>0</v>
      </c>
      <c r="M12" s="5"/>
      <c r="N12" s="5"/>
    </row>
    <row r="13" spans="1:33" hidden="1" outlineLevel="2">
      <c r="E13" s="50"/>
      <c r="F13" s="16" t="s">
        <v>1399</v>
      </c>
      <c r="G13" s="16"/>
      <c r="H13" s="275"/>
      <c r="I13" s="316">
        <v>1</v>
      </c>
      <c r="J13" s="274">
        <f t="shared" si="0"/>
        <v>0</v>
      </c>
      <c r="K13" s="274">
        <f t="shared" si="1"/>
        <v>0</v>
      </c>
      <c r="M13" s="5"/>
      <c r="N13" s="5"/>
    </row>
    <row r="14" spans="1:33" outlineLevel="2">
      <c r="E14" s="50"/>
      <c r="F14" s="16"/>
      <c r="G14" s="16"/>
      <c r="H14" s="275"/>
      <c r="I14" s="308"/>
      <c r="J14" s="274"/>
      <c r="K14" s="274"/>
      <c r="M14" s="5"/>
      <c r="N14" s="5"/>
    </row>
    <row r="15" spans="1:33" s="13" customFormat="1" outlineLevel="1">
      <c r="A15" s="13" t="s">
        <v>1400</v>
      </c>
      <c r="B15" s="13" t="s">
        <v>1385</v>
      </c>
      <c r="C15" s="13" t="s">
        <v>1386</v>
      </c>
      <c r="D15" s="13" t="s">
        <v>1387</v>
      </c>
      <c r="E15" s="50"/>
      <c r="F15" s="16"/>
      <c r="G15" s="276" t="s">
        <v>1401</v>
      </c>
      <c r="H15" s="279">
        <f>SUBTOTAL(9,H5:H14)</f>
        <v>33679</v>
      </c>
      <c r="I15" s="309"/>
      <c r="J15" s="279">
        <f>SUBTOTAL(9,J5:J14)</f>
        <v>33679</v>
      </c>
      <c r="K15" s="279">
        <f>SUBTOTAL(9,K5:K14)</f>
        <v>0</v>
      </c>
    </row>
    <row r="16" spans="1:33" ht="13.5" customHeight="1">
      <c r="A16" s="5" t="s">
        <v>1402</v>
      </c>
      <c r="B16" s="5" t="s">
        <v>1385</v>
      </c>
      <c r="C16" s="5" t="s">
        <v>1386</v>
      </c>
      <c r="D16" s="5" t="s">
        <v>1403</v>
      </c>
      <c r="E16" s="98" t="s">
        <v>1403</v>
      </c>
      <c r="F16" s="87"/>
      <c r="G16" s="281"/>
      <c r="H16" s="291"/>
      <c r="I16" s="310"/>
      <c r="J16" s="292"/>
      <c r="K16" s="291"/>
      <c r="N16" s="5"/>
    </row>
    <row r="17" spans="1:14" ht="13.5" customHeight="1" outlineLevel="2">
      <c r="E17" s="50" t="s">
        <v>1404</v>
      </c>
      <c r="F17" s="16"/>
      <c r="G17" s="16"/>
      <c r="H17" s="277">
        <f>Mob_Staffing!K45</f>
        <v>517680.91449999996</v>
      </c>
      <c r="I17" s="316">
        <v>1</v>
      </c>
      <c r="J17" s="274">
        <f>I17*H17</f>
        <v>517680.91449999996</v>
      </c>
      <c r="K17" s="274">
        <f>H17-J17</f>
        <v>0</v>
      </c>
      <c r="M17" s="5"/>
      <c r="N17" s="5"/>
    </row>
    <row r="18" spans="1:14" ht="13.5" customHeight="1" outlineLevel="2">
      <c r="E18" s="50" t="s">
        <v>1405</v>
      </c>
      <c r="F18" s="16"/>
      <c r="G18" s="16"/>
      <c r="H18" s="275"/>
      <c r="I18" s="308"/>
      <c r="J18" s="274"/>
      <c r="K18" s="274"/>
      <c r="M18" s="5"/>
      <c r="N18" s="5"/>
    </row>
    <row r="19" spans="1:14" ht="13.5" customHeight="1" outlineLevel="2">
      <c r="E19" s="50"/>
      <c r="F19" s="16"/>
      <c r="G19" s="16"/>
      <c r="H19" s="275"/>
      <c r="I19" s="308"/>
      <c r="J19" s="274"/>
      <c r="K19" s="274"/>
      <c r="M19" s="5"/>
      <c r="N19" s="5"/>
    </row>
    <row r="20" spans="1:14" ht="13.5" customHeight="1" outlineLevel="2">
      <c r="E20" s="50"/>
      <c r="F20" s="16"/>
      <c r="G20" s="16"/>
      <c r="H20" s="275"/>
      <c r="I20" s="308"/>
      <c r="J20" s="274"/>
      <c r="K20" s="274"/>
      <c r="M20" s="5"/>
      <c r="N20" s="5"/>
    </row>
    <row r="21" spans="1:14" s="13" customFormat="1" ht="13.5" customHeight="1" outlineLevel="1">
      <c r="A21" s="51" t="s">
        <v>1406</v>
      </c>
      <c r="B21" s="13" t="s">
        <v>1385</v>
      </c>
      <c r="C21" s="13" t="s">
        <v>1386</v>
      </c>
      <c r="D21" s="13" t="s">
        <v>1403</v>
      </c>
      <c r="E21" s="50" t="s">
        <v>1407</v>
      </c>
      <c r="F21" s="16"/>
      <c r="G21" s="276" t="s">
        <v>1401</v>
      </c>
      <c r="H21" s="278">
        <f>SUBTOTAL(9,H17:H20)</f>
        <v>517680.91449999996</v>
      </c>
      <c r="I21" s="312"/>
      <c r="J21" s="279">
        <f>SUBTOTAL(9,J17:J20)</f>
        <v>517680.91449999996</v>
      </c>
      <c r="K21" s="279">
        <f>SUBTOTAL(9,K17:K20)</f>
        <v>0</v>
      </c>
    </row>
    <row r="22" spans="1:14" s="13" customFormat="1" ht="13.5" customHeight="1" outlineLevel="1">
      <c r="A22" s="5" t="s">
        <v>1408</v>
      </c>
      <c r="B22" s="5" t="s">
        <v>1385</v>
      </c>
      <c r="C22" s="5" t="s">
        <v>1386</v>
      </c>
      <c r="D22" s="5" t="s">
        <v>76</v>
      </c>
      <c r="E22" s="98" t="s">
        <v>76</v>
      </c>
      <c r="F22" s="87"/>
      <c r="G22" s="281"/>
      <c r="H22" s="289"/>
      <c r="I22" s="307"/>
      <c r="J22" s="290"/>
      <c r="K22" s="290"/>
    </row>
    <row r="23" spans="1:14" ht="13.5" hidden="1" customHeight="1" outlineLevel="2">
      <c r="A23" s="5" t="str">
        <f>B23&amp;C23&amp;D23</f>
        <v>O&amp;M Mobilization BudgetOperating ExpensesEmployee Expenses</v>
      </c>
      <c r="B23" s="5" t="s">
        <v>1385</v>
      </c>
      <c r="C23" s="5" t="s">
        <v>1386</v>
      </c>
      <c r="D23" s="5" t="s">
        <v>76</v>
      </c>
      <c r="E23" s="50" t="s">
        <v>1409</v>
      </c>
      <c r="F23" s="16" t="s">
        <v>1410</v>
      </c>
      <c r="G23" s="16"/>
      <c r="H23" s="275">
        <v>0</v>
      </c>
      <c r="I23" s="316">
        <v>1</v>
      </c>
      <c r="J23" s="274">
        <f>I23*H23</f>
        <v>0</v>
      </c>
      <c r="K23" s="274">
        <f>H23-J23</f>
        <v>0</v>
      </c>
      <c r="M23" s="5"/>
      <c r="N23" s="5"/>
    </row>
    <row r="24" spans="1:14" ht="13.5" hidden="1" customHeight="1" outlineLevel="2">
      <c r="E24" s="50" t="s">
        <v>1411</v>
      </c>
      <c r="F24" s="16" t="s">
        <v>1412</v>
      </c>
      <c r="G24" s="16"/>
      <c r="H24" s="275">
        <f>0.33*H23</f>
        <v>0</v>
      </c>
      <c r="I24" s="316">
        <v>1</v>
      </c>
      <c r="J24" s="274">
        <f>I24*H24</f>
        <v>0</v>
      </c>
      <c r="K24" s="274">
        <f>H24-J24</f>
        <v>0</v>
      </c>
      <c r="M24" s="5"/>
      <c r="N24" s="5"/>
    </row>
    <row r="25" spans="1:14" ht="13.5" customHeight="1" outlineLevel="2">
      <c r="E25" s="50" t="s">
        <v>1413</v>
      </c>
      <c r="F25" s="16" t="s">
        <v>1414</v>
      </c>
      <c r="G25" s="16"/>
      <c r="H25" s="275">
        <f>2*200*Mob_Staffing!E45</f>
        <v>6000</v>
      </c>
      <c r="I25" s="316">
        <v>1</v>
      </c>
      <c r="J25" s="274">
        <f>I25*H25</f>
        <v>6000</v>
      </c>
      <c r="K25" s="274">
        <f>H25-J25</f>
        <v>0</v>
      </c>
      <c r="M25" s="5"/>
      <c r="N25" s="5"/>
    </row>
    <row r="26" spans="1:14" ht="13.5" customHeight="1" outlineLevel="2">
      <c r="E26" s="50"/>
      <c r="F26" s="16"/>
      <c r="G26" s="16"/>
      <c r="H26" s="274"/>
      <c r="I26" s="313"/>
      <c r="J26" s="274"/>
      <c r="K26" s="274"/>
      <c r="M26" s="5"/>
      <c r="N26" s="5"/>
    </row>
    <row r="27" spans="1:14" s="13" customFormat="1" ht="13.5" customHeight="1" outlineLevel="1">
      <c r="A27" s="13" t="s">
        <v>1415</v>
      </c>
      <c r="B27" s="13" t="s">
        <v>1385</v>
      </c>
      <c r="C27" s="13" t="s">
        <v>1386</v>
      </c>
      <c r="D27" s="13" t="s">
        <v>76</v>
      </c>
      <c r="E27" s="50" t="s">
        <v>1416</v>
      </c>
      <c r="F27" s="16"/>
      <c r="G27" s="276" t="s">
        <v>1401</v>
      </c>
      <c r="H27" s="279">
        <f>SUBTOTAL(9,H23:H25)</f>
        <v>6000</v>
      </c>
      <c r="I27" s="309"/>
      <c r="J27" s="279">
        <f>SUBTOTAL(9,J23:J25)</f>
        <v>6000</v>
      </c>
      <c r="K27" s="279">
        <f>SUBTOTAL(9,K23:K25)</f>
        <v>0</v>
      </c>
    </row>
    <row r="28" spans="1:14" s="13" customFormat="1" ht="13.5" customHeight="1" outlineLevel="1">
      <c r="A28" s="5" t="s">
        <v>1417</v>
      </c>
      <c r="B28" s="5" t="s">
        <v>1385</v>
      </c>
      <c r="C28" s="5" t="s">
        <v>1386</v>
      </c>
      <c r="D28" s="5" t="s">
        <v>77</v>
      </c>
      <c r="E28" s="98" t="s">
        <v>77</v>
      </c>
      <c r="F28" s="87"/>
      <c r="G28" s="281"/>
      <c r="H28" s="289"/>
      <c r="I28" s="307"/>
      <c r="J28" s="290"/>
      <c r="K28" s="289"/>
    </row>
    <row r="29" spans="1:14" outlineLevel="2">
      <c r="A29" s="5" t="str">
        <f>B29&amp;C29&amp;D29</f>
        <v>O&amp;M Mobilization BudgetOperating ExpensesRecruiting Expenses</v>
      </c>
      <c r="B29" s="5" t="s">
        <v>1385</v>
      </c>
      <c r="C29" s="5" t="s">
        <v>1386</v>
      </c>
      <c r="D29" s="5" t="s">
        <v>77</v>
      </c>
      <c r="E29" s="50" t="s">
        <v>98</v>
      </c>
      <c r="F29" s="16" t="s">
        <v>99</v>
      </c>
      <c r="G29" s="16"/>
      <c r="H29" s="275">
        <v>3500</v>
      </c>
      <c r="I29" s="316">
        <v>1</v>
      </c>
      <c r="J29" s="274">
        <f>I29*H29</f>
        <v>3500</v>
      </c>
      <c r="K29" s="274">
        <f>H29-J29</f>
        <v>0</v>
      </c>
      <c r="M29" s="5"/>
      <c r="N29" s="5"/>
    </row>
    <row r="30" spans="1:14" ht="13.5" customHeight="1" outlineLevel="2">
      <c r="A30" s="5" t="str">
        <f>B30&amp;C30&amp;D30</f>
        <v>O&amp;M Mobilization BudgetOperating ExpensesRecruiting Expenses</v>
      </c>
      <c r="B30" s="5" t="s">
        <v>1385</v>
      </c>
      <c r="C30" s="5" t="s">
        <v>1386</v>
      </c>
      <c r="D30" s="5" t="s">
        <v>77</v>
      </c>
      <c r="E30" s="50" t="s">
        <v>100</v>
      </c>
      <c r="F30" s="16" t="s">
        <v>195</v>
      </c>
      <c r="G30" s="16"/>
      <c r="H30" s="275">
        <v>3000</v>
      </c>
      <c r="I30" s="316">
        <v>0</v>
      </c>
      <c r="J30" s="274">
        <f>I30*H30</f>
        <v>0</v>
      </c>
      <c r="K30" s="274">
        <f>H30-J30</f>
        <v>3000</v>
      </c>
      <c r="M30" s="5"/>
      <c r="N30" s="5"/>
    </row>
    <row r="31" spans="1:14" ht="13.5" customHeight="1" outlineLevel="2">
      <c r="E31" s="50" t="s">
        <v>101</v>
      </c>
      <c r="F31" s="16" t="s">
        <v>102</v>
      </c>
      <c r="G31" s="16"/>
      <c r="H31" s="275">
        <f>Mob_Staffing!E45*200</f>
        <v>3000</v>
      </c>
      <c r="I31" s="316">
        <v>1</v>
      </c>
      <c r="J31" s="274">
        <f>I31*H31</f>
        <v>3000</v>
      </c>
      <c r="K31" s="274">
        <f>H31-J31</f>
        <v>0</v>
      </c>
      <c r="M31" s="5"/>
      <c r="N31" s="5"/>
    </row>
    <row r="32" spans="1:14" ht="13.5" customHeight="1" outlineLevel="2">
      <c r="E32" s="50" t="s">
        <v>103</v>
      </c>
      <c r="F32" s="16" t="s">
        <v>104</v>
      </c>
      <c r="G32" s="16"/>
      <c r="H32" s="275">
        <v>1000</v>
      </c>
      <c r="I32" s="316">
        <v>1</v>
      </c>
      <c r="J32" s="274">
        <f>I32*H32</f>
        <v>1000</v>
      </c>
      <c r="K32" s="274">
        <f>H32-J32</f>
        <v>0</v>
      </c>
      <c r="M32" s="5"/>
      <c r="N32" s="5"/>
    </row>
    <row r="33" spans="1:14" ht="13.5" customHeight="1" outlineLevel="2">
      <c r="E33" s="50"/>
      <c r="F33" s="16"/>
      <c r="G33" s="16"/>
      <c r="H33" s="274"/>
      <c r="I33" s="313"/>
      <c r="J33" s="274"/>
      <c r="K33" s="274"/>
      <c r="M33" s="5"/>
      <c r="N33" s="5"/>
    </row>
    <row r="34" spans="1:14" s="13" customFormat="1" outlineLevel="1">
      <c r="A34" s="13" t="s">
        <v>1418</v>
      </c>
      <c r="B34" s="13" t="s">
        <v>1385</v>
      </c>
      <c r="C34" s="13" t="s">
        <v>1386</v>
      </c>
      <c r="D34" s="13" t="s">
        <v>77</v>
      </c>
      <c r="E34" s="50"/>
      <c r="F34" s="16"/>
      <c r="G34" s="276" t="s">
        <v>1401</v>
      </c>
      <c r="H34" s="279">
        <f>SUBTOTAL(9,H29:H33)</f>
        <v>10500</v>
      </c>
      <c r="I34" s="309"/>
      <c r="J34" s="279">
        <f>SUBTOTAL(9,J29:J33)</f>
        <v>7500</v>
      </c>
      <c r="K34" s="279">
        <f>SUBTOTAL(9,K29:K33)</f>
        <v>3000</v>
      </c>
    </row>
    <row r="35" spans="1:14" s="13" customFormat="1" outlineLevel="1">
      <c r="A35" s="5" t="s">
        <v>1419</v>
      </c>
      <c r="B35" s="5" t="s">
        <v>1385</v>
      </c>
      <c r="C35" s="5" t="s">
        <v>1386</v>
      </c>
      <c r="D35" s="5" t="s">
        <v>78</v>
      </c>
      <c r="E35" s="98" t="s">
        <v>78</v>
      </c>
      <c r="F35" s="87"/>
      <c r="G35" s="281"/>
      <c r="H35" s="289"/>
      <c r="I35" s="307"/>
      <c r="J35" s="290"/>
      <c r="K35" s="289"/>
    </row>
    <row r="36" spans="1:14" outlineLevel="2">
      <c r="A36" s="5" t="str">
        <f>B36&amp;C36&amp;D36</f>
        <v>O&amp;M Mobilization BudgetOperating ExpensesRelocation Expenses</v>
      </c>
      <c r="B36" s="5" t="s">
        <v>1385</v>
      </c>
      <c r="C36" s="5" t="s">
        <v>1386</v>
      </c>
      <c r="D36" s="5" t="s">
        <v>78</v>
      </c>
      <c r="E36" s="50" t="s">
        <v>105</v>
      </c>
      <c r="F36" s="16" t="s">
        <v>106</v>
      </c>
      <c r="G36" s="16"/>
      <c r="H36" s="274">
        <f>Plant_Staff!H10*0.25</f>
        <v>21750</v>
      </c>
      <c r="I36" s="313">
        <v>0</v>
      </c>
      <c r="J36" s="274">
        <f>H36-K36</f>
        <v>21750</v>
      </c>
      <c r="K36" s="274"/>
      <c r="M36" s="5"/>
      <c r="N36" s="5"/>
    </row>
    <row r="37" spans="1:14" hidden="1" outlineLevel="2">
      <c r="E37" s="50" t="s">
        <v>107</v>
      </c>
      <c r="F37" s="16" t="s">
        <v>108</v>
      </c>
      <c r="G37" s="16"/>
      <c r="H37" s="275"/>
      <c r="I37" s="316">
        <v>1</v>
      </c>
      <c r="J37" s="274">
        <f>I37*H37</f>
        <v>0</v>
      </c>
      <c r="K37" s="274">
        <f>H37-J37</f>
        <v>0</v>
      </c>
      <c r="M37" s="5"/>
      <c r="N37" s="5"/>
    </row>
    <row r="38" spans="1:14" hidden="1" outlineLevel="2">
      <c r="E38" s="50" t="s">
        <v>109</v>
      </c>
      <c r="F38" s="16" t="s">
        <v>108</v>
      </c>
      <c r="G38" s="16"/>
      <c r="H38" s="275"/>
      <c r="I38" s="316">
        <v>0</v>
      </c>
      <c r="J38" s="274">
        <f>I38*H38</f>
        <v>0</v>
      </c>
      <c r="K38" s="274">
        <f>H38-J38</f>
        <v>0</v>
      </c>
      <c r="M38" s="5"/>
      <c r="N38" s="5"/>
    </row>
    <row r="39" spans="1:14" hidden="1" outlineLevel="2">
      <c r="E39" s="50" t="s">
        <v>110</v>
      </c>
      <c r="F39" s="16"/>
      <c r="G39" s="16"/>
      <c r="H39" s="275"/>
      <c r="I39" s="316">
        <v>1</v>
      </c>
      <c r="J39" s="274">
        <f>I39*H39</f>
        <v>0</v>
      </c>
      <c r="K39" s="274">
        <f>H39-J39</f>
        <v>0</v>
      </c>
      <c r="M39" s="5"/>
      <c r="N39" s="5"/>
    </row>
    <row r="40" spans="1:14" hidden="1" outlineLevel="2">
      <c r="E40" s="50" t="s">
        <v>1420</v>
      </c>
      <c r="F40" s="16" t="s">
        <v>1421</v>
      </c>
      <c r="G40" s="16"/>
      <c r="H40" s="275"/>
      <c r="I40" s="316">
        <v>1</v>
      </c>
      <c r="J40" s="274">
        <f>I40*H40</f>
        <v>0</v>
      </c>
      <c r="K40" s="274">
        <f>H40-J40</f>
        <v>0</v>
      </c>
      <c r="M40" s="5"/>
      <c r="N40" s="5"/>
    </row>
    <row r="41" spans="1:14" outlineLevel="2">
      <c r="E41" s="50"/>
      <c r="F41" s="16"/>
      <c r="G41" s="16"/>
      <c r="H41" s="274"/>
      <c r="I41" s="313"/>
      <c r="J41" s="274"/>
      <c r="K41" s="274"/>
      <c r="M41" s="5"/>
      <c r="N41" s="5"/>
    </row>
    <row r="42" spans="1:14" s="13" customFormat="1" outlineLevel="1">
      <c r="A42" s="13" t="s">
        <v>1422</v>
      </c>
      <c r="B42" s="13" t="s">
        <v>1385</v>
      </c>
      <c r="C42" s="13" t="s">
        <v>1386</v>
      </c>
      <c r="D42" s="13" t="s">
        <v>78</v>
      </c>
      <c r="E42" s="50"/>
      <c r="F42" s="16"/>
      <c r="G42" s="276" t="s">
        <v>1401</v>
      </c>
      <c r="H42" s="279">
        <f>SUBTOTAL(9,H36:H41)</f>
        <v>21750</v>
      </c>
      <c r="I42" s="309"/>
      <c r="J42" s="279">
        <f>SUBTOTAL(9,J36:J41)</f>
        <v>21750</v>
      </c>
      <c r="K42" s="279">
        <f>SUBTOTAL(9,K36:K41)</f>
        <v>0</v>
      </c>
    </row>
    <row r="43" spans="1:14" s="13" customFormat="1" outlineLevel="1">
      <c r="A43" s="5" t="s">
        <v>1423</v>
      </c>
      <c r="B43" s="5" t="s">
        <v>1385</v>
      </c>
      <c r="C43" s="5" t="s">
        <v>1386</v>
      </c>
      <c r="D43" s="5" t="s">
        <v>79</v>
      </c>
      <c r="E43" s="98" t="s">
        <v>79</v>
      </c>
      <c r="F43" s="87"/>
      <c r="G43" s="281"/>
      <c r="H43" s="289"/>
      <c r="I43" s="307"/>
      <c r="J43" s="289"/>
      <c r="K43" s="289"/>
    </row>
    <row r="44" spans="1:14" outlineLevel="2">
      <c r="A44" s="5" t="str">
        <f t="shared" ref="A44:A60" si="2">B44&amp;C44&amp;D44</f>
        <v>O&amp;M Mobilization BudgetOperating ExpensesOutside Services</v>
      </c>
      <c r="B44" s="5" t="s">
        <v>1385</v>
      </c>
      <c r="C44" s="5" t="s">
        <v>1386</v>
      </c>
      <c r="D44" s="5" t="s">
        <v>79</v>
      </c>
      <c r="E44" s="50" t="s">
        <v>1424</v>
      </c>
      <c r="F44" s="16" t="s">
        <v>1425</v>
      </c>
      <c r="G44" s="16"/>
      <c r="H44" s="275"/>
      <c r="I44" s="316">
        <v>1</v>
      </c>
      <c r="J44" s="274">
        <f>I44*H44</f>
        <v>0</v>
      </c>
      <c r="K44" s="274">
        <f>H44-J44</f>
        <v>0</v>
      </c>
      <c r="M44" s="5"/>
      <c r="N44" s="5"/>
    </row>
    <row r="45" spans="1:14" outlineLevel="2">
      <c r="E45" s="50" t="s">
        <v>1426</v>
      </c>
      <c r="F45" s="16" t="s">
        <v>1425</v>
      </c>
      <c r="G45" s="16"/>
      <c r="H45" s="275"/>
      <c r="I45" s="316">
        <v>1</v>
      </c>
      <c r="J45" s="274">
        <f t="shared" ref="J45:J52" si="3">I45*H45</f>
        <v>0</v>
      </c>
      <c r="K45" s="274">
        <f t="shared" ref="K45:K52" si="4">H45-J45</f>
        <v>0</v>
      </c>
      <c r="M45" s="5"/>
      <c r="N45" s="5"/>
    </row>
    <row r="46" spans="1:14" outlineLevel="2">
      <c r="A46" s="5" t="str">
        <f t="shared" si="2"/>
        <v>O&amp;M Mobilization BudgetOperating ExpensesOutside Services</v>
      </c>
      <c r="B46" s="5" t="s">
        <v>1385</v>
      </c>
      <c r="C46" s="5" t="s">
        <v>1386</v>
      </c>
      <c r="D46" s="5" t="s">
        <v>79</v>
      </c>
      <c r="E46" s="50" t="s">
        <v>1427</v>
      </c>
      <c r="F46" s="16" t="s">
        <v>111</v>
      </c>
      <c r="G46" s="16"/>
      <c r="H46" s="275">
        <v>4000</v>
      </c>
      <c r="I46" s="316">
        <v>1</v>
      </c>
      <c r="J46" s="274">
        <f t="shared" si="3"/>
        <v>4000</v>
      </c>
      <c r="K46" s="274">
        <f t="shared" si="4"/>
        <v>0</v>
      </c>
      <c r="M46" s="5"/>
      <c r="N46" s="5"/>
    </row>
    <row r="47" spans="1:14" outlineLevel="2">
      <c r="A47" s="5" t="str">
        <f t="shared" si="2"/>
        <v>O&amp;M Mobilization BudgetOperating ExpensesOutside Services</v>
      </c>
      <c r="B47" s="5" t="s">
        <v>1385</v>
      </c>
      <c r="C47" s="5" t="s">
        <v>1386</v>
      </c>
      <c r="D47" s="5" t="s">
        <v>79</v>
      </c>
      <c r="E47" s="50" t="s">
        <v>1428</v>
      </c>
      <c r="F47" s="16" t="s">
        <v>112</v>
      </c>
      <c r="G47" s="16"/>
      <c r="H47" s="275">
        <v>0</v>
      </c>
      <c r="I47" s="316">
        <v>1</v>
      </c>
      <c r="J47" s="274">
        <f t="shared" si="3"/>
        <v>0</v>
      </c>
      <c r="K47" s="274">
        <f t="shared" si="4"/>
        <v>0</v>
      </c>
      <c r="M47" s="5"/>
      <c r="N47" s="5"/>
    </row>
    <row r="48" spans="1:14" outlineLevel="2">
      <c r="A48" s="5" t="str">
        <f t="shared" si="2"/>
        <v>O&amp;M Mobilization BudgetOperating ExpensesOutside Services</v>
      </c>
      <c r="B48" s="5" t="s">
        <v>1385</v>
      </c>
      <c r="C48" s="5" t="s">
        <v>1386</v>
      </c>
      <c r="D48" s="5" t="s">
        <v>79</v>
      </c>
      <c r="E48" s="50" t="s">
        <v>1429</v>
      </c>
      <c r="F48" s="16" t="s">
        <v>112</v>
      </c>
      <c r="G48" s="16"/>
      <c r="H48" s="275">
        <v>0</v>
      </c>
      <c r="I48" s="316">
        <v>1</v>
      </c>
      <c r="J48" s="274">
        <f t="shared" si="3"/>
        <v>0</v>
      </c>
      <c r="K48" s="274">
        <f t="shared" si="4"/>
        <v>0</v>
      </c>
      <c r="M48" s="5"/>
      <c r="N48" s="5"/>
    </row>
    <row r="49" spans="1:14" outlineLevel="2">
      <c r="A49" s="5" t="str">
        <f t="shared" si="2"/>
        <v>O&amp;M Mobilization BudgetOperating ExpensesOutside Services</v>
      </c>
      <c r="B49" s="5" t="s">
        <v>1385</v>
      </c>
      <c r="C49" s="5" t="s">
        <v>1386</v>
      </c>
      <c r="D49" s="5" t="s">
        <v>79</v>
      </c>
      <c r="E49" s="50" t="s">
        <v>1430</v>
      </c>
      <c r="F49" s="16" t="s">
        <v>112</v>
      </c>
      <c r="G49" s="16"/>
      <c r="H49" s="275">
        <v>0</v>
      </c>
      <c r="I49" s="316">
        <v>1</v>
      </c>
      <c r="J49" s="274">
        <f t="shared" si="3"/>
        <v>0</v>
      </c>
      <c r="K49" s="274">
        <f t="shared" si="4"/>
        <v>0</v>
      </c>
      <c r="M49" s="5"/>
      <c r="N49" s="5"/>
    </row>
    <row r="50" spans="1:14" outlineLevel="2">
      <c r="A50" s="5" t="str">
        <f t="shared" si="2"/>
        <v>O&amp;M Mobilization BudgetOperating ExpensesOutside Services</v>
      </c>
      <c r="B50" s="5" t="s">
        <v>1385</v>
      </c>
      <c r="C50" s="5" t="s">
        <v>1386</v>
      </c>
      <c r="D50" s="5" t="s">
        <v>79</v>
      </c>
      <c r="E50" s="50" t="s">
        <v>1431</v>
      </c>
      <c r="F50" s="16" t="s">
        <v>113</v>
      </c>
      <c r="G50" s="16"/>
      <c r="H50" s="275">
        <v>3200</v>
      </c>
      <c r="I50" s="316">
        <v>1</v>
      </c>
      <c r="J50" s="274">
        <f t="shared" si="3"/>
        <v>3200</v>
      </c>
      <c r="K50" s="274">
        <f t="shared" si="4"/>
        <v>0</v>
      </c>
      <c r="M50" s="5"/>
      <c r="N50" s="5"/>
    </row>
    <row r="51" spans="1:14" outlineLevel="2">
      <c r="A51" s="5" t="str">
        <f t="shared" si="2"/>
        <v>O&amp;M Mobilization BudgetOperating ExpensesOutside Services</v>
      </c>
      <c r="B51" s="5" t="s">
        <v>1385</v>
      </c>
      <c r="C51" s="5" t="s">
        <v>1386</v>
      </c>
      <c r="D51" s="5" t="s">
        <v>79</v>
      </c>
      <c r="E51" s="50" t="s">
        <v>1432</v>
      </c>
      <c r="F51" s="16" t="s">
        <v>113</v>
      </c>
      <c r="G51" s="16"/>
      <c r="H51" s="275">
        <v>3200</v>
      </c>
      <c r="I51" s="316">
        <v>1</v>
      </c>
      <c r="J51" s="274">
        <f t="shared" si="3"/>
        <v>3200</v>
      </c>
      <c r="K51" s="274">
        <f t="shared" si="4"/>
        <v>0</v>
      </c>
      <c r="M51" s="5"/>
      <c r="N51" s="5"/>
    </row>
    <row r="52" spans="1:14" outlineLevel="2">
      <c r="E52" s="50" t="s">
        <v>114</v>
      </c>
      <c r="F52" s="16" t="s">
        <v>113</v>
      </c>
      <c r="G52" s="16"/>
      <c r="H52" s="275">
        <v>3200</v>
      </c>
      <c r="I52" s="316">
        <v>1</v>
      </c>
      <c r="J52" s="274">
        <f t="shared" si="3"/>
        <v>3200</v>
      </c>
      <c r="K52" s="274">
        <f t="shared" si="4"/>
        <v>0</v>
      </c>
      <c r="M52" s="5"/>
      <c r="N52" s="5"/>
    </row>
    <row r="53" spans="1:14" outlineLevel="2">
      <c r="E53" s="50" t="s">
        <v>1437</v>
      </c>
      <c r="F53" s="16" t="s">
        <v>115</v>
      </c>
      <c r="G53" s="16"/>
      <c r="H53" s="275">
        <v>7200</v>
      </c>
      <c r="I53" s="316">
        <v>1</v>
      </c>
      <c r="J53" s="274">
        <f t="shared" ref="J53:J61" si="5">I53*H53</f>
        <v>7200</v>
      </c>
      <c r="K53" s="274">
        <f t="shared" ref="K53:K61" si="6">H53-J53</f>
        <v>0</v>
      </c>
      <c r="M53" s="5"/>
      <c r="N53" s="5"/>
    </row>
    <row r="54" spans="1:14" outlineLevel="2">
      <c r="A54" s="5" t="str">
        <f t="shared" si="2"/>
        <v>O&amp;M Mobilization BudgetOperating ExpensesOutside Services</v>
      </c>
      <c r="B54" s="5" t="s">
        <v>1385</v>
      </c>
      <c r="C54" s="5" t="s">
        <v>1386</v>
      </c>
      <c r="D54" s="5" t="s">
        <v>79</v>
      </c>
      <c r="E54" s="50" t="s">
        <v>1435</v>
      </c>
      <c r="F54" s="16" t="s">
        <v>1425</v>
      </c>
      <c r="G54" s="16"/>
      <c r="H54" s="275"/>
      <c r="I54" s="316">
        <v>1</v>
      </c>
      <c r="J54" s="274">
        <f t="shared" si="5"/>
        <v>0</v>
      </c>
      <c r="K54" s="274">
        <f t="shared" si="6"/>
        <v>0</v>
      </c>
      <c r="M54" s="5"/>
      <c r="N54" s="5"/>
    </row>
    <row r="55" spans="1:14" outlineLevel="2">
      <c r="E55" s="50" t="s">
        <v>1436</v>
      </c>
      <c r="F55" s="16" t="s">
        <v>1425</v>
      </c>
      <c r="G55" s="16"/>
      <c r="H55" s="275"/>
      <c r="I55" s="316">
        <v>1</v>
      </c>
      <c r="J55" s="274">
        <f t="shared" si="5"/>
        <v>0</v>
      </c>
      <c r="K55" s="274">
        <f t="shared" si="6"/>
        <v>0</v>
      </c>
      <c r="M55" s="5"/>
      <c r="N55" s="5"/>
    </row>
    <row r="56" spans="1:14" outlineLevel="2">
      <c r="A56" s="5" t="str">
        <f t="shared" si="2"/>
        <v>O&amp;M Mobilization BudgetOperating ExpensesOutside Services</v>
      </c>
      <c r="B56" s="5" t="s">
        <v>1385</v>
      </c>
      <c r="C56" s="5" t="s">
        <v>1386</v>
      </c>
      <c r="D56" s="5" t="s">
        <v>79</v>
      </c>
      <c r="E56" s="50" t="s">
        <v>116</v>
      </c>
      <c r="F56" s="16" t="s">
        <v>117</v>
      </c>
      <c r="G56" s="16"/>
      <c r="H56" s="275">
        <v>20000</v>
      </c>
      <c r="I56" s="316">
        <v>1</v>
      </c>
      <c r="J56" s="274">
        <f t="shared" si="5"/>
        <v>20000</v>
      </c>
      <c r="K56" s="274">
        <f t="shared" si="6"/>
        <v>0</v>
      </c>
      <c r="M56" s="5"/>
      <c r="N56" s="5"/>
    </row>
    <row r="57" spans="1:14" outlineLevel="2">
      <c r="A57" s="5" t="str">
        <f t="shared" si="2"/>
        <v>O&amp;M Mobilization BudgetOperating ExpensesOutside Services</v>
      </c>
      <c r="B57" s="5" t="s">
        <v>1385</v>
      </c>
      <c r="C57" s="5" t="s">
        <v>1386</v>
      </c>
      <c r="D57" s="5" t="s">
        <v>79</v>
      </c>
      <c r="E57" s="50" t="s">
        <v>118</v>
      </c>
      <c r="F57" s="16"/>
      <c r="G57" s="16"/>
      <c r="H57" s="275">
        <v>3250</v>
      </c>
      <c r="I57" s="316">
        <v>1</v>
      </c>
      <c r="J57" s="274">
        <f t="shared" si="5"/>
        <v>3250</v>
      </c>
      <c r="K57" s="274">
        <f t="shared" si="6"/>
        <v>0</v>
      </c>
      <c r="M57" s="5"/>
      <c r="N57" s="5"/>
    </row>
    <row r="58" spans="1:14" outlineLevel="2">
      <c r="A58" s="5" t="str">
        <f t="shared" si="2"/>
        <v>O&amp;M Mobilization BudgetOperating ExpensesOutside Services</v>
      </c>
      <c r="B58" s="5" t="s">
        <v>1385</v>
      </c>
      <c r="C58" s="5" t="s">
        <v>1386</v>
      </c>
      <c r="D58" s="5" t="s">
        <v>79</v>
      </c>
      <c r="E58" s="50" t="s">
        <v>1438</v>
      </c>
      <c r="F58" s="16"/>
      <c r="G58" s="16"/>
      <c r="H58" s="275"/>
      <c r="I58" s="316">
        <v>1</v>
      </c>
      <c r="J58" s="274">
        <f t="shared" si="5"/>
        <v>0</v>
      </c>
      <c r="K58" s="274">
        <f t="shared" si="6"/>
        <v>0</v>
      </c>
      <c r="M58" s="5"/>
      <c r="N58" s="5"/>
    </row>
    <row r="59" spans="1:14" hidden="1" outlineLevel="2">
      <c r="E59" s="50"/>
      <c r="F59" s="16"/>
      <c r="G59" s="16"/>
      <c r="H59" s="275">
        <v>3200</v>
      </c>
      <c r="I59" s="316">
        <v>1</v>
      </c>
      <c r="J59" s="274">
        <f t="shared" si="5"/>
        <v>3200</v>
      </c>
      <c r="K59" s="274">
        <f t="shared" si="6"/>
        <v>0</v>
      </c>
      <c r="M59" s="5"/>
      <c r="N59" s="5"/>
    </row>
    <row r="60" spans="1:14" hidden="1" outlineLevel="2">
      <c r="A60" s="5" t="str">
        <f t="shared" si="2"/>
        <v>O&amp;M Mobilization BudgetOperating ExpensesOutside Services</v>
      </c>
      <c r="B60" s="5" t="s">
        <v>1385</v>
      </c>
      <c r="C60" s="5" t="s">
        <v>1386</v>
      </c>
      <c r="D60" s="5" t="s">
        <v>79</v>
      </c>
      <c r="E60" s="50"/>
      <c r="F60" s="16"/>
      <c r="G60" s="16"/>
      <c r="H60" s="275"/>
      <c r="I60" s="316">
        <v>1</v>
      </c>
      <c r="J60" s="274">
        <f t="shared" si="5"/>
        <v>0</v>
      </c>
      <c r="K60" s="274">
        <f t="shared" si="6"/>
        <v>0</v>
      </c>
      <c r="M60" s="5"/>
      <c r="N60" s="5"/>
    </row>
    <row r="61" spans="1:14" hidden="1" outlineLevel="2">
      <c r="E61" s="50"/>
      <c r="F61" s="16"/>
      <c r="G61" s="16"/>
      <c r="H61" s="275"/>
      <c r="I61" s="316">
        <v>1</v>
      </c>
      <c r="J61" s="274">
        <f t="shared" si="5"/>
        <v>0</v>
      </c>
      <c r="K61" s="274">
        <f t="shared" si="6"/>
        <v>0</v>
      </c>
      <c r="M61" s="5"/>
      <c r="N61" s="5"/>
    </row>
    <row r="62" spans="1:14" hidden="1" outlineLevel="2">
      <c r="E62" s="50"/>
      <c r="F62" s="16"/>
      <c r="G62" s="16"/>
      <c r="H62" s="275"/>
      <c r="I62" s="316">
        <v>1</v>
      </c>
      <c r="J62" s="274">
        <f>I62*H62</f>
        <v>0</v>
      </c>
      <c r="K62" s="274">
        <f>H62-J62</f>
        <v>0</v>
      </c>
      <c r="M62" s="5"/>
      <c r="N62" s="5"/>
    </row>
    <row r="63" spans="1:14" hidden="1" outlineLevel="2">
      <c r="E63" s="50"/>
      <c r="F63" s="16"/>
      <c r="G63" s="16"/>
      <c r="H63" s="275"/>
      <c r="I63" s="316">
        <v>1</v>
      </c>
      <c r="J63" s="274">
        <f>I63*H63</f>
        <v>0</v>
      </c>
      <c r="K63" s="274">
        <f>H63-J63</f>
        <v>0</v>
      </c>
      <c r="M63" s="5"/>
      <c r="N63" s="5"/>
    </row>
    <row r="64" spans="1:14" hidden="1" outlineLevel="2">
      <c r="E64" s="50"/>
      <c r="F64" s="16"/>
      <c r="G64" s="16"/>
      <c r="H64" s="275"/>
      <c r="I64" s="316">
        <v>1</v>
      </c>
      <c r="J64" s="274">
        <f>I64*H64</f>
        <v>0</v>
      </c>
      <c r="K64" s="274">
        <f>H64-J64</f>
        <v>0</v>
      </c>
      <c r="M64" s="5"/>
      <c r="N64" s="5"/>
    </row>
    <row r="65" spans="1:14" hidden="1" outlineLevel="2">
      <c r="A65" s="5" t="str">
        <f>B65&amp;C65&amp;D65</f>
        <v>O&amp;M Mobilization BudgetOperating ExpensesOutside Services</v>
      </c>
      <c r="B65" s="5" t="s">
        <v>1385</v>
      </c>
      <c r="C65" s="5" t="s">
        <v>1386</v>
      </c>
      <c r="D65" s="5" t="s">
        <v>79</v>
      </c>
      <c r="E65" s="50"/>
      <c r="F65" s="16"/>
      <c r="G65" s="16"/>
      <c r="H65" s="275"/>
      <c r="I65" s="316">
        <v>1</v>
      </c>
      <c r="J65" s="274">
        <f>I65*H65</f>
        <v>0</v>
      </c>
      <c r="K65" s="274">
        <f>H65-J65</f>
        <v>0</v>
      </c>
      <c r="M65" s="5"/>
      <c r="N65" s="5"/>
    </row>
    <row r="66" spans="1:14" outlineLevel="2">
      <c r="E66" s="50"/>
      <c r="F66" s="16"/>
      <c r="G66" s="16"/>
      <c r="H66" s="274"/>
      <c r="I66" s="313"/>
      <c r="J66" s="274"/>
      <c r="K66" s="274"/>
      <c r="M66" s="5"/>
      <c r="N66" s="5"/>
    </row>
    <row r="67" spans="1:14" s="13" customFormat="1" outlineLevel="1">
      <c r="A67" s="13" t="s">
        <v>1439</v>
      </c>
      <c r="B67" s="13" t="s">
        <v>1385</v>
      </c>
      <c r="C67" s="13" t="s">
        <v>1386</v>
      </c>
      <c r="D67" s="13" t="s">
        <v>79</v>
      </c>
      <c r="E67" s="50" t="s">
        <v>1440</v>
      </c>
      <c r="F67" s="16"/>
      <c r="G67" s="276" t="s">
        <v>1401</v>
      </c>
      <c r="H67" s="279">
        <f>SUBTOTAL(9,H44:H66)</f>
        <v>47250</v>
      </c>
      <c r="I67" s="309"/>
      <c r="J67" s="279">
        <f>SUBTOTAL(9,J44:J66)</f>
        <v>47250</v>
      </c>
      <c r="K67" s="279">
        <f>SUBTOTAL(9,K44:K66)</f>
        <v>0</v>
      </c>
    </row>
    <row r="68" spans="1:14" s="13" customFormat="1" outlineLevel="1">
      <c r="A68" s="5" t="s">
        <v>1441</v>
      </c>
      <c r="B68" s="5" t="s">
        <v>1385</v>
      </c>
      <c r="C68" s="5" t="s">
        <v>1386</v>
      </c>
      <c r="D68" s="5" t="s">
        <v>80</v>
      </c>
      <c r="E68" s="98" t="s">
        <v>80</v>
      </c>
      <c r="F68" s="87"/>
      <c r="G68" s="281"/>
      <c r="H68" s="289"/>
      <c r="I68" s="307"/>
      <c r="J68" s="289"/>
      <c r="K68" s="289"/>
    </row>
    <row r="69" spans="1:14" outlineLevel="2">
      <c r="E69" s="50" t="s">
        <v>119</v>
      </c>
      <c r="F69" s="16" t="s">
        <v>120</v>
      </c>
      <c r="G69" s="16"/>
      <c r="H69" s="275">
        <v>600</v>
      </c>
      <c r="I69" s="316">
        <v>1</v>
      </c>
      <c r="J69" s="274">
        <f>I69*H69</f>
        <v>600</v>
      </c>
      <c r="K69" s="274">
        <f>H69-J69</f>
        <v>0</v>
      </c>
      <c r="M69" s="5"/>
      <c r="N69" s="5"/>
    </row>
    <row r="70" spans="1:14" outlineLevel="2">
      <c r="A70" s="5" t="str">
        <f>B70&amp;C70&amp;D70</f>
        <v>O&amp;M Mobilization BudgetOperating ExpensesOther Supplies &amp; Expenses</v>
      </c>
      <c r="B70" s="5" t="s">
        <v>1385</v>
      </c>
      <c r="C70" s="5" t="s">
        <v>1386</v>
      </c>
      <c r="D70" s="5" t="s">
        <v>80</v>
      </c>
      <c r="E70" s="50" t="s">
        <v>1442</v>
      </c>
      <c r="F70" s="16" t="s">
        <v>121</v>
      </c>
      <c r="G70" s="16"/>
      <c r="H70" s="275">
        <v>2500</v>
      </c>
      <c r="I70" s="316">
        <v>1</v>
      </c>
      <c r="J70" s="274">
        <f t="shared" ref="J70:J76" si="7">I70*H70</f>
        <v>2500</v>
      </c>
      <c r="K70" s="274">
        <f t="shared" ref="K70:K76" si="8">H70-J70</f>
        <v>0</v>
      </c>
      <c r="M70" s="5"/>
      <c r="N70" s="5"/>
    </row>
    <row r="71" spans="1:14" outlineLevel="2">
      <c r="A71" s="5" t="str">
        <f>B71&amp;C71&amp;D71</f>
        <v>O&amp;M Mobilization BudgetOperating ExpensesOther Supplies &amp; Expenses</v>
      </c>
      <c r="B71" s="5" t="s">
        <v>1385</v>
      </c>
      <c r="C71" s="5" t="s">
        <v>1386</v>
      </c>
      <c r="D71" s="5" t="s">
        <v>80</v>
      </c>
      <c r="E71" s="50" t="s">
        <v>122</v>
      </c>
      <c r="F71" s="16" t="s">
        <v>123</v>
      </c>
      <c r="G71" s="16"/>
      <c r="H71" s="275">
        <v>1035.7142857142858</v>
      </c>
      <c r="I71" s="316">
        <v>1</v>
      </c>
      <c r="J71" s="274">
        <f t="shared" si="7"/>
        <v>1035.7142857142858</v>
      </c>
      <c r="K71" s="274">
        <f t="shared" si="8"/>
        <v>0</v>
      </c>
      <c r="M71" s="5"/>
      <c r="N71" s="5"/>
    </row>
    <row r="72" spans="1:14" outlineLevel="2">
      <c r="A72" s="5" t="str">
        <f>B72&amp;C72&amp;D72</f>
        <v>O&amp;M Mobilization BudgetOperating ExpensesOther Supplies &amp; Expenses</v>
      </c>
      <c r="B72" s="5" t="s">
        <v>1385</v>
      </c>
      <c r="C72" s="5" t="s">
        <v>1386</v>
      </c>
      <c r="D72" s="5" t="s">
        <v>80</v>
      </c>
      <c r="E72" s="50" t="s">
        <v>1443</v>
      </c>
      <c r="F72" s="16"/>
      <c r="G72" s="16"/>
      <c r="H72" s="275">
        <v>2000</v>
      </c>
      <c r="I72" s="316">
        <v>1</v>
      </c>
      <c r="J72" s="274">
        <f t="shared" si="7"/>
        <v>2000</v>
      </c>
      <c r="K72" s="274">
        <f t="shared" si="8"/>
        <v>0</v>
      </c>
      <c r="M72" s="5"/>
      <c r="N72" s="5"/>
    </row>
    <row r="73" spans="1:14" outlineLevel="2">
      <c r="A73" s="5" t="str">
        <f>B73&amp;C73&amp;D73</f>
        <v>O&amp;M Mobilization BudgetOperating ExpensesOther Supplies &amp; Expenses</v>
      </c>
      <c r="B73" s="5" t="s">
        <v>1385</v>
      </c>
      <c r="C73" s="5" t="s">
        <v>1386</v>
      </c>
      <c r="D73" s="5" t="s">
        <v>80</v>
      </c>
      <c r="E73" s="50" t="s">
        <v>1444</v>
      </c>
      <c r="F73" s="16" t="s">
        <v>124</v>
      </c>
      <c r="G73" s="16"/>
      <c r="H73" s="275">
        <v>2500</v>
      </c>
      <c r="I73" s="316">
        <v>1</v>
      </c>
      <c r="J73" s="274">
        <f t="shared" si="7"/>
        <v>2500</v>
      </c>
      <c r="K73" s="274">
        <f t="shared" si="8"/>
        <v>0</v>
      </c>
      <c r="M73" s="5"/>
      <c r="N73" s="5"/>
    </row>
    <row r="74" spans="1:14" hidden="1" outlineLevel="2">
      <c r="A74" s="5" t="str">
        <f>B74&amp;C74&amp;D74</f>
        <v>O&amp;M Mobilization BudgetOperating ExpensesOther Supplies &amp; Expenses</v>
      </c>
      <c r="B74" s="5" t="s">
        <v>1385</v>
      </c>
      <c r="C74" s="5" t="s">
        <v>1386</v>
      </c>
      <c r="D74" s="5" t="s">
        <v>80</v>
      </c>
      <c r="E74" s="50"/>
      <c r="F74" s="16"/>
      <c r="G74" s="16"/>
      <c r="H74" s="275"/>
      <c r="I74" s="316">
        <v>1</v>
      </c>
      <c r="J74" s="274">
        <f t="shared" si="7"/>
        <v>0</v>
      </c>
      <c r="K74" s="274">
        <f t="shared" si="8"/>
        <v>0</v>
      </c>
      <c r="M74" s="5"/>
      <c r="N74" s="5"/>
    </row>
    <row r="75" spans="1:14" hidden="1" outlineLevel="2">
      <c r="E75" s="50"/>
      <c r="F75" s="16"/>
      <c r="G75" s="16"/>
      <c r="H75" s="275"/>
      <c r="I75" s="316">
        <v>1</v>
      </c>
      <c r="J75" s="274">
        <f t="shared" si="7"/>
        <v>0</v>
      </c>
      <c r="K75" s="274">
        <f t="shared" si="8"/>
        <v>0</v>
      </c>
      <c r="M75" s="5"/>
      <c r="N75" s="5"/>
    </row>
    <row r="76" spans="1:14" hidden="1" outlineLevel="2">
      <c r="E76" s="50"/>
      <c r="F76" s="16"/>
      <c r="G76" s="16"/>
      <c r="H76" s="275"/>
      <c r="I76" s="316">
        <v>1</v>
      </c>
      <c r="J76" s="274">
        <f t="shared" si="7"/>
        <v>0</v>
      </c>
      <c r="K76" s="274">
        <f t="shared" si="8"/>
        <v>0</v>
      </c>
      <c r="M76" s="5"/>
      <c r="N76" s="5"/>
    </row>
    <row r="77" spans="1:14" outlineLevel="2">
      <c r="E77" s="50"/>
      <c r="F77" s="16"/>
      <c r="G77" s="16"/>
      <c r="H77" s="275"/>
      <c r="I77" s="308"/>
      <c r="J77" s="274"/>
      <c r="K77" s="274"/>
      <c r="M77" s="5"/>
      <c r="N77" s="5"/>
    </row>
    <row r="78" spans="1:14" s="13" customFormat="1" outlineLevel="1">
      <c r="A78" s="13" t="s">
        <v>1450</v>
      </c>
      <c r="B78" s="13" t="s">
        <v>1385</v>
      </c>
      <c r="C78" s="13" t="s">
        <v>1386</v>
      </c>
      <c r="D78" s="13" t="s">
        <v>80</v>
      </c>
      <c r="E78" s="50"/>
      <c r="F78" s="16"/>
      <c r="G78" s="276" t="s">
        <v>1401</v>
      </c>
      <c r="H78" s="279">
        <f>SUBTOTAL(9,H69:H77)</f>
        <v>8635.7142857142862</v>
      </c>
      <c r="I78" s="309"/>
      <c r="J78" s="279">
        <f>SUBTOTAL(9,J69:J77)</f>
        <v>8635.7142857142862</v>
      </c>
      <c r="K78" s="279">
        <f>SUBTOTAL(9,K69:K77)</f>
        <v>0</v>
      </c>
    </row>
    <row r="79" spans="1:14" s="13" customFormat="1" outlineLevel="1">
      <c r="A79" s="5" t="s">
        <v>1451</v>
      </c>
      <c r="B79" s="5" t="s">
        <v>1385</v>
      </c>
      <c r="C79" s="5" t="s">
        <v>1386</v>
      </c>
      <c r="D79" s="5" t="s">
        <v>81</v>
      </c>
      <c r="E79" s="98" t="s">
        <v>81</v>
      </c>
      <c r="F79" s="87"/>
      <c r="G79" s="281"/>
      <c r="H79" s="289"/>
      <c r="I79" s="307"/>
      <c r="J79" s="289"/>
      <c r="K79" s="289"/>
    </row>
    <row r="80" spans="1:14" outlineLevel="2">
      <c r="A80" s="5" t="str">
        <f>B80&amp;C80&amp;D80</f>
        <v>O&amp;M Mobilization BudgetOperating ExpensesCommunications</v>
      </c>
      <c r="B80" s="5" t="s">
        <v>1385</v>
      </c>
      <c r="C80" s="5" t="s">
        <v>1386</v>
      </c>
      <c r="D80" s="5" t="s">
        <v>81</v>
      </c>
      <c r="E80" s="50" t="s">
        <v>125</v>
      </c>
      <c r="F80" s="16" t="s">
        <v>126</v>
      </c>
      <c r="G80" s="16"/>
      <c r="H80" s="275">
        <v>2500</v>
      </c>
      <c r="I80" s="316">
        <v>1</v>
      </c>
      <c r="J80" s="274">
        <f>I80*H80</f>
        <v>2500</v>
      </c>
      <c r="K80" s="274">
        <f>H80-J80</f>
        <v>0</v>
      </c>
      <c r="M80" s="5"/>
      <c r="N80" s="5"/>
    </row>
    <row r="81" spans="1:14" outlineLevel="2">
      <c r="A81" s="5" t="str">
        <f>B81&amp;C81&amp;D81</f>
        <v>O&amp;M Mobilization BudgetOperating ExpensesCommunications</v>
      </c>
      <c r="B81" s="5" t="s">
        <v>1385</v>
      </c>
      <c r="C81" s="5" t="s">
        <v>1386</v>
      </c>
      <c r="D81" s="5" t="s">
        <v>81</v>
      </c>
      <c r="E81" s="50" t="s">
        <v>1046</v>
      </c>
      <c r="F81" s="16" t="s">
        <v>127</v>
      </c>
      <c r="G81" s="16"/>
      <c r="H81" s="275">
        <v>3600</v>
      </c>
      <c r="I81" s="316">
        <v>1</v>
      </c>
      <c r="J81" s="274">
        <f>I81*H81</f>
        <v>3600</v>
      </c>
      <c r="K81" s="274">
        <f>H81-J81</f>
        <v>0</v>
      </c>
      <c r="M81" s="5"/>
      <c r="N81" s="5"/>
    </row>
    <row r="82" spans="1:14" outlineLevel="2">
      <c r="A82" s="5" t="str">
        <f>B82&amp;C82&amp;D82</f>
        <v>O&amp;M Mobilization BudgetOperating ExpensesCommunications</v>
      </c>
      <c r="B82" s="5" t="s">
        <v>1385</v>
      </c>
      <c r="C82" s="5" t="s">
        <v>1386</v>
      </c>
      <c r="D82" s="5" t="s">
        <v>81</v>
      </c>
      <c r="E82" s="50"/>
      <c r="F82" s="16" t="s">
        <v>128</v>
      </c>
      <c r="G82" s="16"/>
      <c r="H82" s="275">
        <v>200</v>
      </c>
      <c r="I82" s="316">
        <v>1</v>
      </c>
      <c r="J82" s="274">
        <f>I82*H82</f>
        <v>200</v>
      </c>
      <c r="K82" s="274">
        <f>H82-J82</f>
        <v>0</v>
      </c>
      <c r="M82" s="5"/>
      <c r="N82" s="5"/>
    </row>
    <row r="83" spans="1:14" outlineLevel="2">
      <c r="E83" s="50"/>
      <c r="F83" s="16"/>
      <c r="G83" s="16"/>
      <c r="H83" s="274"/>
      <c r="I83" s="313"/>
      <c r="J83" s="274"/>
      <c r="K83" s="274"/>
      <c r="M83" s="5"/>
      <c r="N83" s="5"/>
    </row>
    <row r="84" spans="1:14" s="13" customFormat="1" outlineLevel="1">
      <c r="A84" s="13" t="s">
        <v>1047</v>
      </c>
      <c r="B84" s="13" t="s">
        <v>1385</v>
      </c>
      <c r="C84" s="13" t="s">
        <v>1386</v>
      </c>
      <c r="D84" s="13" t="s">
        <v>81</v>
      </c>
      <c r="E84" s="50"/>
      <c r="F84" s="16"/>
      <c r="G84" s="276" t="s">
        <v>1401</v>
      </c>
      <c r="H84" s="279">
        <f>SUBTOTAL(9,H80:H82)</f>
        <v>6300</v>
      </c>
      <c r="I84" s="309"/>
      <c r="J84" s="279">
        <f>SUBTOTAL(9,J80:J82)</f>
        <v>6300</v>
      </c>
      <c r="K84" s="279">
        <f>SUBTOTAL(9,K80:K82)</f>
        <v>0</v>
      </c>
    </row>
    <row r="85" spans="1:14" s="13" customFormat="1" outlineLevel="1">
      <c r="A85" s="5" t="s">
        <v>1048</v>
      </c>
      <c r="B85" s="5" t="s">
        <v>1385</v>
      </c>
      <c r="C85" s="5" t="s">
        <v>1386</v>
      </c>
      <c r="D85" s="5" t="s">
        <v>1049</v>
      </c>
      <c r="E85" s="98" t="s">
        <v>82</v>
      </c>
      <c r="F85" s="87"/>
      <c r="G85" s="281"/>
      <c r="H85" s="289"/>
      <c r="I85" s="307"/>
      <c r="J85" s="289"/>
      <c r="K85" s="289"/>
    </row>
    <row r="86" spans="1:14" outlineLevel="2">
      <c r="A86" s="5" t="str">
        <f>B86&amp;C86&amp;D86</f>
        <v>O&amp;M Mobilization BudgetOperating ExpensesMiscellaneous Office Expenses</v>
      </c>
      <c r="B86" s="5" t="s">
        <v>1385</v>
      </c>
      <c r="C86" s="5" t="s">
        <v>1386</v>
      </c>
      <c r="D86" s="5" t="s">
        <v>1049</v>
      </c>
      <c r="E86" s="50" t="s">
        <v>1050</v>
      </c>
      <c r="F86" s="16"/>
      <c r="G86" s="16"/>
      <c r="H86" s="275"/>
      <c r="I86" s="316">
        <v>1</v>
      </c>
      <c r="J86" s="274">
        <f>I86*H86</f>
        <v>0</v>
      </c>
      <c r="K86" s="274">
        <f>H86-J86</f>
        <v>0</v>
      </c>
      <c r="M86" s="5"/>
      <c r="N86" s="5"/>
    </row>
    <row r="87" spans="1:14" outlineLevel="2">
      <c r="A87" s="5" t="str">
        <f>B87&amp;C87&amp;D87</f>
        <v>O&amp;M Mobilization BudgetOperating ExpensesMiscellaneous Office Expenses</v>
      </c>
      <c r="B87" s="5" t="s">
        <v>1385</v>
      </c>
      <c r="C87" s="5" t="s">
        <v>1386</v>
      </c>
      <c r="D87" s="5" t="s">
        <v>1049</v>
      </c>
      <c r="E87" s="50" t="s">
        <v>1051</v>
      </c>
      <c r="F87" s="16" t="s">
        <v>129</v>
      </c>
      <c r="G87" s="16"/>
      <c r="H87" s="275">
        <v>2000</v>
      </c>
      <c r="I87" s="316">
        <v>1</v>
      </c>
      <c r="J87" s="274">
        <f>I87*H87</f>
        <v>2000</v>
      </c>
      <c r="K87" s="274">
        <f>H87-J87</f>
        <v>0</v>
      </c>
      <c r="M87" s="5"/>
      <c r="N87" s="5"/>
    </row>
    <row r="88" spans="1:14" outlineLevel="2">
      <c r="A88" s="5" t="str">
        <f>B88&amp;C88&amp;D88</f>
        <v>O&amp;M Mobilization BudgetOperating ExpensesMiscellaneous Office Expenses</v>
      </c>
      <c r="B88" s="5" t="s">
        <v>1385</v>
      </c>
      <c r="C88" s="5" t="s">
        <v>1386</v>
      </c>
      <c r="D88" s="5" t="s">
        <v>1049</v>
      </c>
      <c r="E88" s="50" t="s">
        <v>1052</v>
      </c>
      <c r="F88" s="16" t="s">
        <v>130</v>
      </c>
      <c r="G88" s="16"/>
      <c r="H88" s="275">
        <v>800</v>
      </c>
      <c r="I88" s="316">
        <v>1</v>
      </c>
      <c r="J88" s="274">
        <f>I88*H88</f>
        <v>800</v>
      </c>
      <c r="K88" s="274">
        <f>H88-J88</f>
        <v>0</v>
      </c>
      <c r="M88" s="5"/>
      <c r="N88" s="5"/>
    </row>
    <row r="89" spans="1:14" outlineLevel="2">
      <c r="A89" s="5" t="str">
        <f>B89&amp;C89&amp;D89</f>
        <v>O&amp;M Mobilization BudgetOperating ExpensesMiscellaneous Office Expenses</v>
      </c>
      <c r="B89" s="5" t="s">
        <v>1385</v>
      </c>
      <c r="C89" s="5" t="s">
        <v>1386</v>
      </c>
      <c r="D89" s="5" t="s">
        <v>1049</v>
      </c>
      <c r="E89" s="50" t="s">
        <v>1053</v>
      </c>
      <c r="G89" s="16"/>
      <c r="H89" s="275"/>
      <c r="I89" s="316">
        <v>1</v>
      </c>
      <c r="J89" s="274">
        <f>I89*H89</f>
        <v>0</v>
      </c>
      <c r="K89" s="274">
        <f>H89-J89</f>
        <v>0</v>
      </c>
      <c r="M89" s="5"/>
      <c r="N89" s="5"/>
    </row>
    <row r="90" spans="1:14" hidden="1" outlineLevel="2">
      <c r="E90" s="50" t="s">
        <v>1054</v>
      </c>
      <c r="G90" s="16"/>
      <c r="H90" s="275"/>
      <c r="I90" s="316">
        <v>1</v>
      </c>
      <c r="J90" s="274">
        <f>I90*H90</f>
        <v>0</v>
      </c>
      <c r="K90" s="274">
        <f>H90-J90</f>
        <v>0</v>
      </c>
      <c r="M90" s="5"/>
      <c r="N90" s="5"/>
    </row>
    <row r="91" spans="1:14" outlineLevel="2">
      <c r="E91" s="50"/>
      <c r="F91" s="16" t="s">
        <v>131</v>
      </c>
      <c r="G91" s="16"/>
      <c r="H91" s="275"/>
      <c r="I91" s="308"/>
      <c r="J91" s="274"/>
      <c r="K91" s="274"/>
      <c r="M91" s="5"/>
      <c r="N91" s="5"/>
    </row>
    <row r="92" spans="1:14" s="13" customFormat="1" outlineLevel="1">
      <c r="A92" s="13" t="s">
        <v>718</v>
      </c>
      <c r="B92" s="13" t="s">
        <v>1385</v>
      </c>
      <c r="C92" s="13" t="s">
        <v>1386</v>
      </c>
      <c r="D92" s="13" t="s">
        <v>1049</v>
      </c>
      <c r="E92" s="50"/>
      <c r="F92" s="16"/>
      <c r="G92" s="276" t="s">
        <v>1401</v>
      </c>
      <c r="H92" s="279">
        <f>SUBTOTAL(9,H86:H90)</f>
        <v>2800</v>
      </c>
      <c r="I92" s="309"/>
      <c r="J92" s="279">
        <f>SUBTOTAL(9,J86:J90)</f>
        <v>2800</v>
      </c>
      <c r="K92" s="279">
        <f>SUBTOTAL(9,K86:K90)</f>
        <v>0</v>
      </c>
    </row>
    <row r="93" spans="1:14" s="13" customFormat="1" outlineLevel="1">
      <c r="A93" s="5" t="s">
        <v>456</v>
      </c>
      <c r="B93" s="5" t="s">
        <v>1385</v>
      </c>
      <c r="C93" s="5" t="s">
        <v>1386</v>
      </c>
      <c r="D93" s="5" t="s">
        <v>83</v>
      </c>
      <c r="E93" s="98" t="s">
        <v>83</v>
      </c>
      <c r="F93" s="87"/>
      <c r="G93" s="281"/>
      <c r="H93" s="289"/>
      <c r="I93" s="307"/>
      <c r="J93" s="289"/>
      <c r="K93" s="289"/>
    </row>
    <row r="94" spans="1:14" outlineLevel="2">
      <c r="A94" s="5" t="str">
        <f t="shared" ref="A94:A107" si="9">B94&amp;C94&amp;D94</f>
        <v>O&amp;M Mobilization BudgetOperating ExpensesTraining</v>
      </c>
      <c r="B94" s="5" t="s">
        <v>1385</v>
      </c>
      <c r="C94" s="5" t="s">
        <v>1386</v>
      </c>
      <c r="D94" s="5" t="s">
        <v>83</v>
      </c>
      <c r="E94" s="50" t="s">
        <v>457</v>
      </c>
      <c r="F94" s="16" t="s">
        <v>458</v>
      </c>
      <c r="G94" s="16"/>
      <c r="H94" s="277">
        <f>Training!I51*1000</f>
        <v>156579.99999999997</v>
      </c>
      <c r="I94" s="316">
        <v>1</v>
      </c>
      <c r="J94" s="274">
        <f>I94*H94</f>
        <v>156579.99999999997</v>
      </c>
      <c r="K94" s="274">
        <f>H94-J94</f>
        <v>0</v>
      </c>
      <c r="M94" s="5"/>
      <c r="N94" s="5"/>
    </row>
    <row r="95" spans="1:14" hidden="1" outlineLevel="2">
      <c r="A95" s="5" t="str">
        <f t="shared" si="9"/>
        <v>O&amp;M Mobilization BudgetOperating ExpensesTraining</v>
      </c>
      <c r="B95" s="5" t="s">
        <v>1385</v>
      </c>
      <c r="C95" s="5" t="s">
        <v>1386</v>
      </c>
      <c r="D95" s="5" t="s">
        <v>83</v>
      </c>
      <c r="E95" s="50" t="s">
        <v>459</v>
      </c>
      <c r="F95" s="16"/>
      <c r="G95" s="16"/>
      <c r="H95" s="275"/>
      <c r="I95" s="316">
        <v>0</v>
      </c>
      <c r="J95" s="274">
        <f>I95*H95</f>
        <v>0</v>
      </c>
      <c r="K95" s="274">
        <f>H95-J95</f>
        <v>0</v>
      </c>
      <c r="M95" s="5"/>
      <c r="N95" s="5"/>
    </row>
    <row r="96" spans="1:14" hidden="1" outlineLevel="2">
      <c r="A96" s="5" t="str">
        <f t="shared" si="9"/>
        <v>O&amp;M Mobilization BudgetOperating ExpensesTraining</v>
      </c>
      <c r="B96" s="5" t="s">
        <v>1385</v>
      </c>
      <c r="C96" s="5" t="s">
        <v>1386</v>
      </c>
      <c r="D96" s="5" t="s">
        <v>83</v>
      </c>
      <c r="E96" s="50" t="s">
        <v>460</v>
      </c>
      <c r="F96" s="16"/>
      <c r="G96" s="16"/>
      <c r="H96" s="275"/>
      <c r="I96" s="316">
        <v>0</v>
      </c>
      <c r="J96" s="274">
        <f>I96*H96</f>
        <v>0</v>
      </c>
      <c r="K96" s="274">
        <f>H96-J96</f>
        <v>0</v>
      </c>
      <c r="M96" s="5"/>
      <c r="N96" s="5"/>
    </row>
    <row r="97" spans="1:14" hidden="1" outlineLevel="2">
      <c r="A97" s="5" t="str">
        <f t="shared" si="9"/>
        <v>O&amp;M Mobilization BudgetOperating ExpensesTraining</v>
      </c>
      <c r="B97" s="5" t="s">
        <v>1385</v>
      </c>
      <c r="C97" s="5" t="s">
        <v>1386</v>
      </c>
      <c r="D97" s="5" t="s">
        <v>83</v>
      </c>
      <c r="E97" s="50" t="s">
        <v>461</v>
      </c>
      <c r="F97" s="16"/>
      <c r="G97" s="16"/>
      <c r="H97" s="275"/>
      <c r="I97" s="316">
        <v>0</v>
      </c>
      <c r="J97" s="274">
        <f t="shared" ref="J97:J108" si="10">I97*H97</f>
        <v>0</v>
      </c>
      <c r="K97" s="274">
        <f t="shared" ref="K97:K108" si="11">H97-J97</f>
        <v>0</v>
      </c>
      <c r="M97" s="5"/>
      <c r="N97" s="5"/>
    </row>
    <row r="98" spans="1:14" hidden="1" outlineLevel="2">
      <c r="A98" s="5" t="str">
        <f t="shared" si="9"/>
        <v>O&amp;M Mobilization BudgetOperating ExpensesTraining</v>
      </c>
      <c r="B98" s="5" t="s">
        <v>1385</v>
      </c>
      <c r="C98" s="5" t="s">
        <v>1386</v>
      </c>
      <c r="D98" s="5" t="s">
        <v>83</v>
      </c>
      <c r="E98" s="50" t="s">
        <v>462</v>
      </c>
      <c r="F98" s="16"/>
      <c r="G98" s="16"/>
      <c r="H98" s="275"/>
      <c r="I98" s="316">
        <v>0</v>
      </c>
      <c r="J98" s="274">
        <f t="shared" si="10"/>
        <v>0</v>
      </c>
      <c r="K98" s="274">
        <f t="shared" si="11"/>
        <v>0</v>
      </c>
      <c r="M98" s="5"/>
      <c r="N98" s="5"/>
    </row>
    <row r="99" spans="1:14" hidden="1" outlineLevel="2">
      <c r="A99" s="5" t="str">
        <f t="shared" si="9"/>
        <v>O&amp;M Mobilization BudgetOperating ExpensesTraining</v>
      </c>
      <c r="B99" s="5" t="s">
        <v>1385</v>
      </c>
      <c r="C99" s="5" t="s">
        <v>1386</v>
      </c>
      <c r="D99" s="5" t="s">
        <v>83</v>
      </c>
      <c r="E99" s="50" t="s">
        <v>463</v>
      </c>
      <c r="F99" s="16"/>
      <c r="G99" s="16"/>
      <c r="H99" s="275"/>
      <c r="I99" s="316">
        <v>0</v>
      </c>
      <c r="J99" s="274">
        <f t="shared" si="10"/>
        <v>0</v>
      </c>
      <c r="K99" s="274">
        <f t="shared" si="11"/>
        <v>0</v>
      </c>
      <c r="M99" s="5"/>
      <c r="N99" s="5"/>
    </row>
    <row r="100" spans="1:14" hidden="1" outlineLevel="2">
      <c r="A100" s="5" t="str">
        <f t="shared" si="9"/>
        <v>O&amp;M Mobilization BudgetOperating ExpensesTraining</v>
      </c>
      <c r="B100" s="5" t="s">
        <v>1385</v>
      </c>
      <c r="C100" s="5" t="s">
        <v>1386</v>
      </c>
      <c r="D100" s="5" t="s">
        <v>83</v>
      </c>
      <c r="E100" s="50" t="s">
        <v>464</v>
      </c>
      <c r="F100" s="16"/>
      <c r="G100" s="16"/>
      <c r="H100" s="275"/>
      <c r="I100" s="316">
        <v>0</v>
      </c>
      <c r="J100" s="274">
        <f t="shared" si="10"/>
        <v>0</v>
      </c>
      <c r="K100" s="274">
        <f t="shared" si="11"/>
        <v>0</v>
      </c>
      <c r="M100" s="5"/>
      <c r="N100" s="5"/>
    </row>
    <row r="101" spans="1:14" hidden="1" outlineLevel="2">
      <c r="A101" s="5" t="str">
        <f t="shared" si="9"/>
        <v>O&amp;M Mobilization BudgetOperating ExpensesTraining</v>
      </c>
      <c r="B101" s="5" t="s">
        <v>1385</v>
      </c>
      <c r="C101" s="5" t="s">
        <v>1386</v>
      </c>
      <c r="D101" s="5" t="s">
        <v>83</v>
      </c>
      <c r="E101" s="50" t="s">
        <v>465</v>
      </c>
      <c r="F101" s="16"/>
      <c r="G101" s="16"/>
      <c r="H101" s="275"/>
      <c r="I101" s="316">
        <v>0</v>
      </c>
      <c r="J101" s="274">
        <f t="shared" si="10"/>
        <v>0</v>
      </c>
      <c r="K101" s="274">
        <f t="shared" si="11"/>
        <v>0</v>
      </c>
      <c r="M101" s="5"/>
      <c r="N101" s="5"/>
    </row>
    <row r="102" spans="1:14" hidden="1" outlineLevel="2">
      <c r="A102" s="5" t="str">
        <f t="shared" si="9"/>
        <v>O&amp;M Mobilization BudgetOperating ExpensesTraining</v>
      </c>
      <c r="B102" s="5" t="s">
        <v>1385</v>
      </c>
      <c r="C102" s="5" t="s">
        <v>1386</v>
      </c>
      <c r="D102" s="5" t="s">
        <v>83</v>
      </c>
      <c r="E102" s="50" t="s">
        <v>466</v>
      </c>
      <c r="F102" s="16"/>
      <c r="G102" s="16"/>
      <c r="H102" s="275"/>
      <c r="I102" s="316">
        <v>0</v>
      </c>
      <c r="J102" s="274">
        <f t="shared" si="10"/>
        <v>0</v>
      </c>
      <c r="K102" s="274">
        <f t="shared" si="11"/>
        <v>0</v>
      </c>
      <c r="M102" s="5"/>
      <c r="N102" s="5"/>
    </row>
    <row r="103" spans="1:14" hidden="1" outlineLevel="2">
      <c r="A103" s="5" t="str">
        <f t="shared" si="9"/>
        <v>O&amp;M Mobilization BudgetOperating ExpensesTraining</v>
      </c>
      <c r="B103" s="5" t="s">
        <v>1385</v>
      </c>
      <c r="C103" s="5" t="s">
        <v>1386</v>
      </c>
      <c r="D103" s="5" t="s">
        <v>83</v>
      </c>
      <c r="E103" s="50" t="s">
        <v>467</v>
      </c>
      <c r="F103" s="16"/>
      <c r="G103" s="16"/>
      <c r="H103" s="275"/>
      <c r="I103" s="316">
        <v>0</v>
      </c>
      <c r="J103" s="274">
        <f t="shared" si="10"/>
        <v>0</v>
      </c>
      <c r="K103" s="274">
        <f t="shared" si="11"/>
        <v>0</v>
      </c>
      <c r="M103" s="5"/>
      <c r="N103" s="5"/>
    </row>
    <row r="104" spans="1:14" hidden="1" outlineLevel="2">
      <c r="A104" s="5" t="str">
        <f t="shared" si="9"/>
        <v>O&amp;M Mobilization BudgetOperating ExpensesTraining</v>
      </c>
      <c r="B104" s="5" t="s">
        <v>1385</v>
      </c>
      <c r="C104" s="5" t="s">
        <v>1386</v>
      </c>
      <c r="D104" s="5" t="s">
        <v>83</v>
      </c>
      <c r="E104" s="50" t="s">
        <v>468</v>
      </c>
      <c r="F104" s="16"/>
      <c r="G104" s="16"/>
      <c r="H104" s="275"/>
      <c r="I104" s="316">
        <v>0</v>
      </c>
      <c r="J104" s="274">
        <f t="shared" si="10"/>
        <v>0</v>
      </c>
      <c r="K104" s="274">
        <f t="shared" si="11"/>
        <v>0</v>
      </c>
      <c r="M104" s="5"/>
      <c r="N104" s="5"/>
    </row>
    <row r="105" spans="1:14" hidden="1" outlineLevel="2">
      <c r="A105" s="5" t="str">
        <f t="shared" si="9"/>
        <v>O&amp;M Mobilization BudgetOperating ExpensesTraining</v>
      </c>
      <c r="B105" s="5" t="s">
        <v>1385</v>
      </c>
      <c r="C105" s="5" t="s">
        <v>1386</v>
      </c>
      <c r="D105" s="5" t="s">
        <v>83</v>
      </c>
      <c r="E105" s="50" t="s">
        <v>469</v>
      </c>
      <c r="F105" s="16"/>
      <c r="G105" s="16"/>
      <c r="H105" s="275"/>
      <c r="I105" s="316">
        <v>0</v>
      </c>
      <c r="J105" s="274">
        <f t="shared" si="10"/>
        <v>0</v>
      </c>
      <c r="K105" s="274">
        <f t="shared" si="11"/>
        <v>0</v>
      </c>
      <c r="M105" s="5"/>
      <c r="N105" s="5"/>
    </row>
    <row r="106" spans="1:14" ht="13.5" hidden="1" customHeight="1" outlineLevel="2">
      <c r="A106" s="5" t="str">
        <f t="shared" si="9"/>
        <v>O&amp;M Mobilization BudgetOperating ExpensesTraining</v>
      </c>
      <c r="B106" s="5" t="s">
        <v>1385</v>
      </c>
      <c r="C106" s="5" t="s">
        <v>1386</v>
      </c>
      <c r="D106" s="5" t="s">
        <v>83</v>
      </c>
      <c r="E106" s="50" t="s">
        <v>470</v>
      </c>
      <c r="F106" s="16"/>
      <c r="G106" s="16"/>
      <c r="H106" s="275"/>
      <c r="I106" s="316">
        <v>0</v>
      </c>
      <c r="J106" s="274">
        <f t="shared" si="10"/>
        <v>0</v>
      </c>
      <c r="K106" s="274">
        <f t="shared" si="11"/>
        <v>0</v>
      </c>
      <c r="M106" s="5"/>
      <c r="N106" s="5"/>
    </row>
    <row r="107" spans="1:14" hidden="1" outlineLevel="2">
      <c r="A107" s="5" t="str">
        <f t="shared" si="9"/>
        <v>O&amp;M Mobilization BudgetOperating ExpensesTraining</v>
      </c>
      <c r="B107" s="5" t="s">
        <v>1385</v>
      </c>
      <c r="C107" s="5" t="s">
        <v>1386</v>
      </c>
      <c r="D107" s="5" t="s">
        <v>83</v>
      </c>
      <c r="E107" s="50" t="s">
        <v>471</v>
      </c>
      <c r="F107" s="16"/>
      <c r="G107" s="16"/>
      <c r="H107" s="275"/>
      <c r="I107" s="316">
        <v>0</v>
      </c>
      <c r="J107" s="274">
        <f t="shared" si="10"/>
        <v>0</v>
      </c>
      <c r="K107" s="274">
        <f t="shared" si="11"/>
        <v>0</v>
      </c>
      <c r="M107" s="5"/>
      <c r="N107" s="5"/>
    </row>
    <row r="108" spans="1:14" outlineLevel="2">
      <c r="E108" s="50"/>
      <c r="F108" s="16"/>
      <c r="G108" s="16"/>
      <c r="H108" s="275"/>
      <c r="I108" s="316">
        <v>0</v>
      </c>
      <c r="J108" s="274">
        <f t="shared" si="10"/>
        <v>0</v>
      </c>
      <c r="K108" s="274">
        <f t="shared" si="11"/>
        <v>0</v>
      </c>
      <c r="M108" s="5"/>
      <c r="N108" s="5"/>
    </row>
    <row r="109" spans="1:14" s="13" customFormat="1" outlineLevel="1">
      <c r="A109" s="13" t="s">
        <v>472</v>
      </c>
      <c r="B109" s="13" t="s">
        <v>1385</v>
      </c>
      <c r="C109" s="13" t="s">
        <v>1386</v>
      </c>
      <c r="D109" s="13" t="s">
        <v>83</v>
      </c>
      <c r="E109" s="50"/>
      <c r="F109" s="16"/>
      <c r="G109" s="276" t="s">
        <v>1401</v>
      </c>
      <c r="H109" s="279">
        <f>SUBTOTAL(9,H94:H107)</f>
        <v>156579.99999999997</v>
      </c>
      <c r="I109" s="309"/>
      <c r="J109" s="279">
        <f>SUBTOTAL(9,J94:J107)</f>
        <v>156579.99999999997</v>
      </c>
      <c r="K109" s="279">
        <f>SUBTOTAL(9,K94:K107)</f>
        <v>0</v>
      </c>
    </row>
    <row r="110" spans="1:14" s="13" customFormat="1" outlineLevel="1">
      <c r="A110" s="5" t="s">
        <v>473</v>
      </c>
      <c r="B110" s="5" t="s">
        <v>1385</v>
      </c>
      <c r="C110" s="5" t="s">
        <v>1386</v>
      </c>
      <c r="D110" s="5" t="s">
        <v>474</v>
      </c>
      <c r="E110" s="99" t="s">
        <v>474</v>
      </c>
      <c r="F110" s="88"/>
      <c r="G110" s="282"/>
      <c r="H110" s="848"/>
      <c r="I110" s="307"/>
      <c r="J110" s="289"/>
      <c r="K110" s="289"/>
    </row>
    <row r="111" spans="1:14" outlineLevel="2">
      <c r="A111" s="5" t="str">
        <f t="shared" ref="A111:A119" si="12">B111&amp;C111&amp;D111</f>
        <v>O&amp;M Mobilization BudgetOperating ExpensesManuals/Operating Procedures</v>
      </c>
      <c r="B111" s="5" t="s">
        <v>1385</v>
      </c>
      <c r="C111" s="5" t="s">
        <v>1386</v>
      </c>
      <c r="D111" s="5" t="s">
        <v>474</v>
      </c>
      <c r="E111" s="50" t="s">
        <v>475</v>
      </c>
      <c r="F111" s="16" t="s">
        <v>476</v>
      </c>
      <c r="G111" s="16"/>
      <c r="H111" s="275">
        <f>5*400</f>
        <v>2000</v>
      </c>
      <c r="I111" s="847">
        <v>1</v>
      </c>
      <c r="J111" s="274">
        <f t="shared" ref="J111:J125" si="13">I111*H111</f>
        <v>2000</v>
      </c>
      <c r="K111" s="274">
        <f t="shared" ref="K111:K125" si="14">H111-J111</f>
        <v>0</v>
      </c>
      <c r="M111" s="5"/>
      <c r="N111" s="5"/>
    </row>
    <row r="112" spans="1:14" outlineLevel="2">
      <c r="A112" s="5" t="str">
        <f t="shared" si="12"/>
        <v>O&amp;M Mobilization BudgetOperating ExpensesManuals/Operating Procedures</v>
      </c>
      <c r="B112" s="5" t="s">
        <v>1385</v>
      </c>
      <c r="C112" s="5" t="s">
        <v>1386</v>
      </c>
      <c r="D112" s="5" t="s">
        <v>474</v>
      </c>
      <c r="E112" s="50" t="s">
        <v>477</v>
      </c>
      <c r="F112" s="16" t="s">
        <v>132</v>
      </c>
      <c r="G112" s="16"/>
      <c r="H112" s="275">
        <f>5*2*400</f>
        <v>4000</v>
      </c>
      <c r="I112" s="847">
        <v>1</v>
      </c>
      <c r="J112" s="274">
        <f t="shared" si="13"/>
        <v>4000</v>
      </c>
      <c r="K112" s="274">
        <f t="shared" si="14"/>
        <v>0</v>
      </c>
      <c r="M112" s="5"/>
      <c r="N112" s="5"/>
    </row>
    <row r="113" spans="1:14" outlineLevel="2">
      <c r="E113" s="50" t="s">
        <v>478</v>
      </c>
      <c r="F113" s="16" t="s">
        <v>479</v>
      </c>
      <c r="G113" s="16"/>
      <c r="H113" s="275">
        <f>H112/2</f>
        <v>2000</v>
      </c>
      <c r="I113" s="847">
        <v>1</v>
      </c>
      <c r="J113" s="274">
        <f t="shared" si="13"/>
        <v>2000</v>
      </c>
      <c r="K113" s="274">
        <f t="shared" si="14"/>
        <v>0</v>
      </c>
      <c r="M113" s="5"/>
      <c r="N113" s="5"/>
    </row>
    <row r="114" spans="1:14" outlineLevel="2">
      <c r="A114" s="5" t="str">
        <f t="shared" si="12"/>
        <v>O&amp;M Mobilization BudgetOperating ExpensesManuals/Operating Procedures</v>
      </c>
      <c r="B114" s="5" t="s">
        <v>1385</v>
      </c>
      <c r="C114" s="5" t="s">
        <v>1386</v>
      </c>
      <c r="D114" s="5" t="s">
        <v>474</v>
      </c>
      <c r="E114" s="50" t="s">
        <v>480</v>
      </c>
      <c r="F114" s="16" t="s">
        <v>481</v>
      </c>
      <c r="G114" s="16"/>
      <c r="H114" s="275">
        <v>2000</v>
      </c>
      <c r="I114" s="847">
        <v>1</v>
      </c>
      <c r="J114" s="274">
        <f t="shared" si="13"/>
        <v>2000</v>
      </c>
      <c r="K114" s="274">
        <f t="shared" si="14"/>
        <v>0</v>
      </c>
      <c r="M114" s="5"/>
      <c r="N114" s="5"/>
    </row>
    <row r="115" spans="1:14" outlineLevel="2">
      <c r="A115" s="5" t="str">
        <f t="shared" si="12"/>
        <v>O&amp;M Mobilization BudgetOperating ExpensesManuals/Operating Procedures</v>
      </c>
      <c r="B115" s="5" t="s">
        <v>1385</v>
      </c>
      <c r="C115" s="5" t="s">
        <v>1386</v>
      </c>
      <c r="D115" s="5" t="s">
        <v>474</v>
      </c>
      <c r="E115" s="50" t="s">
        <v>482</v>
      </c>
      <c r="F115" s="16" t="s">
        <v>481</v>
      </c>
      <c r="G115" s="16"/>
      <c r="H115" s="275">
        <v>2000</v>
      </c>
      <c r="I115" s="847">
        <v>1</v>
      </c>
      <c r="J115" s="274">
        <f t="shared" si="13"/>
        <v>2000</v>
      </c>
      <c r="K115" s="274">
        <f t="shared" si="14"/>
        <v>0</v>
      </c>
      <c r="M115" s="5"/>
      <c r="N115" s="5"/>
    </row>
    <row r="116" spans="1:14" outlineLevel="2">
      <c r="A116" s="5" t="str">
        <f t="shared" si="12"/>
        <v>O&amp;M Mobilization BudgetOperating ExpensesManuals/Operating Procedures</v>
      </c>
      <c r="B116" s="5" t="s">
        <v>1385</v>
      </c>
      <c r="C116" s="5" t="s">
        <v>1386</v>
      </c>
      <c r="D116" s="5" t="s">
        <v>474</v>
      </c>
      <c r="E116" s="50" t="s">
        <v>483</v>
      </c>
      <c r="F116" s="16" t="s">
        <v>484</v>
      </c>
      <c r="G116" s="16"/>
      <c r="H116" s="275">
        <f>40*400</f>
        <v>16000</v>
      </c>
      <c r="I116" s="847">
        <v>1</v>
      </c>
      <c r="J116" s="274">
        <f t="shared" si="13"/>
        <v>16000</v>
      </c>
      <c r="K116" s="274">
        <f t="shared" si="14"/>
        <v>0</v>
      </c>
      <c r="M116" s="5"/>
      <c r="N116" s="5"/>
    </row>
    <row r="117" spans="1:14" outlineLevel="2">
      <c r="A117" s="5" t="str">
        <f t="shared" si="12"/>
        <v>O&amp;M Mobilization BudgetOperating ExpensesManuals/Operating Procedures</v>
      </c>
      <c r="B117" s="5" t="s">
        <v>1385</v>
      </c>
      <c r="C117" s="5" t="s">
        <v>1386</v>
      </c>
      <c r="D117" s="5" t="s">
        <v>474</v>
      </c>
      <c r="E117" s="50" t="s">
        <v>485</v>
      </c>
      <c r="F117" s="16" t="s">
        <v>481</v>
      </c>
      <c r="G117" s="16"/>
      <c r="H117" s="275">
        <v>2000</v>
      </c>
      <c r="I117" s="847">
        <v>1</v>
      </c>
      <c r="J117" s="274">
        <f t="shared" si="13"/>
        <v>2000</v>
      </c>
      <c r="K117" s="274">
        <f t="shared" si="14"/>
        <v>0</v>
      </c>
      <c r="M117" s="5"/>
      <c r="N117" s="5"/>
    </row>
    <row r="118" spans="1:14" outlineLevel="2">
      <c r="A118" s="5" t="str">
        <f t="shared" si="12"/>
        <v>O&amp;M Mobilization BudgetOperating ExpensesManuals/Operating Procedures</v>
      </c>
      <c r="B118" s="5" t="s">
        <v>1385</v>
      </c>
      <c r="C118" s="5" t="s">
        <v>1386</v>
      </c>
      <c r="D118" s="5" t="s">
        <v>474</v>
      </c>
      <c r="E118" s="50" t="s">
        <v>486</v>
      </c>
      <c r="F118" s="16" t="s">
        <v>487</v>
      </c>
      <c r="G118" s="16"/>
      <c r="H118" s="275">
        <v>8000</v>
      </c>
      <c r="I118" s="847">
        <v>1</v>
      </c>
      <c r="J118" s="274">
        <f t="shared" si="13"/>
        <v>8000</v>
      </c>
      <c r="K118" s="274">
        <f t="shared" si="14"/>
        <v>0</v>
      </c>
      <c r="M118" s="5"/>
      <c r="N118" s="5"/>
    </row>
    <row r="119" spans="1:14" outlineLevel="2">
      <c r="A119" s="5" t="str">
        <f t="shared" si="12"/>
        <v>O&amp;M Mobilization BudgetOperating ExpensesManuals/Operating Procedures</v>
      </c>
      <c r="B119" s="5" t="s">
        <v>1385</v>
      </c>
      <c r="C119" s="5" t="s">
        <v>1386</v>
      </c>
      <c r="D119" s="5" t="s">
        <v>474</v>
      </c>
      <c r="E119" s="50" t="s">
        <v>488</v>
      </c>
      <c r="F119" s="16" t="s">
        <v>489</v>
      </c>
      <c r="G119" s="16"/>
      <c r="H119" s="275">
        <f>10*400</f>
        <v>4000</v>
      </c>
      <c r="I119" s="847">
        <v>1</v>
      </c>
      <c r="J119" s="274">
        <f t="shared" si="13"/>
        <v>4000</v>
      </c>
      <c r="K119" s="274">
        <f t="shared" si="14"/>
        <v>0</v>
      </c>
      <c r="M119" s="5"/>
      <c r="N119" s="5"/>
    </row>
    <row r="120" spans="1:14" outlineLevel="2">
      <c r="A120" s="5" t="str">
        <f t="shared" ref="A120:A126" si="15">B120&amp;C120&amp;D120</f>
        <v>O&amp;M Mobilization BudgetOperating ExpensesManuals/Operating Procedures</v>
      </c>
      <c r="B120" s="5" t="s">
        <v>1385</v>
      </c>
      <c r="C120" s="5" t="s">
        <v>1386</v>
      </c>
      <c r="D120" s="5" t="s">
        <v>474</v>
      </c>
      <c r="E120" s="50" t="s">
        <v>490</v>
      </c>
      <c r="F120" s="16" t="s">
        <v>489</v>
      </c>
      <c r="G120" s="16"/>
      <c r="H120" s="275">
        <f>10*400</f>
        <v>4000</v>
      </c>
      <c r="I120" s="847">
        <v>1</v>
      </c>
      <c r="J120" s="274">
        <f t="shared" si="13"/>
        <v>4000</v>
      </c>
      <c r="K120" s="274">
        <f t="shared" si="14"/>
        <v>0</v>
      </c>
      <c r="M120" s="5"/>
      <c r="N120" s="5"/>
    </row>
    <row r="121" spans="1:14" outlineLevel="2">
      <c r="A121" s="5" t="str">
        <f t="shared" si="15"/>
        <v>O&amp;M Mobilization BudgetOperating ExpensesManuals/Operating Procedures</v>
      </c>
      <c r="B121" s="5" t="s">
        <v>1385</v>
      </c>
      <c r="C121" s="5" t="s">
        <v>1386</v>
      </c>
      <c r="D121" s="5" t="s">
        <v>474</v>
      </c>
      <c r="E121" s="50" t="s">
        <v>491</v>
      </c>
      <c r="F121" s="16" t="s">
        <v>481</v>
      </c>
      <c r="G121" s="16"/>
      <c r="H121" s="275">
        <f>5*400</f>
        <v>2000</v>
      </c>
      <c r="I121" s="847">
        <v>1</v>
      </c>
      <c r="J121" s="274">
        <f t="shared" si="13"/>
        <v>2000</v>
      </c>
      <c r="K121" s="274">
        <f t="shared" si="14"/>
        <v>0</v>
      </c>
      <c r="M121" s="5"/>
      <c r="N121" s="5"/>
    </row>
    <row r="122" spans="1:14" outlineLevel="2">
      <c r="A122" s="5" t="str">
        <f t="shared" si="15"/>
        <v>O&amp;M Mobilization BudgetOperating ExpensesManuals/Operating Procedures</v>
      </c>
      <c r="B122" s="5" t="s">
        <v>1385</v>
      </c>
      <c r="C122" s="5" t="s">
        <v>1386</v>
      </c>
      <c r="D122" s="5" t="s">
        <v>474</v>
      </c>
      <c r="E122" s="50" t="s">
        <v>492</v>
      </c>
      <c r="F122" s="16" t="s">
        <v>481</v>
      </c>
      <c r="G122" s="16"/>
      <c r="H122" s="275">
        <f>5*400</f>
        <v>2000</v>
      </c>
      <c r="I122" s="847">
        <v>1</v>
      </c>
      <c r="J122" s="274">
        <f t="shared" si="13"/>
        <v>2000</v>
      </c>
      <c r="K122" s="274">
        <f t="shared" si="14"/>
        <v>0</v>
      </c>
      <c r="M122" s="5"/>
      <c r="N122" s="5"/>
    </row>
    <row r="123" spans="1:14" outlineLevel="2">
      <c r="E123" s="50" t="s">
        <v>1430</v>
      </c>
      <c r="F123" s="16" t="s">
        <v>489</v>
      </c>
      <c r="G123" s="16"/>
      <c r="H123" s="275">
        <f>10*400</f>
        <v>4000</v>
      </c>
      <c r="I123" s="847">
        <v>1</v>
      </c>
      <c r="J123" s="274">
        <f t="shared" si="13"/>
        <v>4000</v>
      </c>
      <c r="K123" s="274">
        <f t="shared" si="14"/>
        <v>0</v>
      </c>
      <c r="M123" s="5"/>
      <c r="N123" s="5"/>
    </row>
    <row r="124" spans="1:14" outlineLevel="2">
      <c r="E124" s="50" t="s">
        <v>1135</v>
      </c>
      <c r="F124" s="16" t="s">
        <v>489</v>
      </c>
      <c r="G124" s="16"/>
      <c r="H124" s="275">
        <v>4000</v>
      </c>
      <c r="I124" s="847">
        <v>1</v>
      </c>
      <c r="J124" s="274">
        <f t="shared" si="13"/>
        <v>4000</v>
      </c>
      <c r="K124" s="274">
        <f t="shared" si="14"/>
        <v>0</v>
      </c>
      <c r="M124" s="5"/>
      <c r="N124" s="5"/>
    </row>
    <row r="125" spans="1:14" outlineLevel="2">
      <c r="A125" s="5" t="str">
        <f t="shared" si="15"/>
        <v>O&amp;M Mobilization BudgetOperating ExpensesManuals/Operating Procedures</v>
      </c>
      <c r="B125" s="5" t="s">
        <v>1385</v>
      </c>
      <c r="C125" s="5" t="s">
        <v>1386</v>
      </c>
      <c r="D125" s="5" t="s">
        <v>474</v>
      </c>
      <c r="E125" s="50"/>
      <c r="F125" s="16"/>
      <c r="G125" s="16"/>
      <c r="H125" s="275"/>
      <c r="I125" s="847">
        <v>1</v>
      </c>
      <c r="J125" s="274">
        <f t="shared" si="13"/>
        <v>0</v>
      </c>
      <c r="K125" s="274">
        <f t="shared" si="14"/>
        <v>0</v>
      </c>
      <c r="M125" s="5"/>
      <c r="N125" s="5"/>
    </row>
    <row r="126" spans="1:14" outlineLevel="2">
      <c r="A126" s="5" t="str">
        <f t="shared" si="15"/>
        <v>O&amp;M Mobilization BudgetOperating ExpensesManuals/Operating Procedures</v>
      </c>
      <c r="B126" s="5" t="s">
        <v>1385</v>
      </c>
      <c r="C126" s="5" t="s">
        <v>1386</v>
      </c>
      <c r="D126" s="5" t="s">
        <v>474</v>
      </c>
      <c r="E126" s="50" t="s">
        <v>493</v>
      </c>
      <c r="F126" s="16"/>
      <c r="G126" s="16"/>
      <c r="H126" s="275">
        <v>3000</v>
      </c>
      <c r="I126" s="847">
        <v>1</v>
      </c>
      <c r="J126" s="274">
        <f>I126*H126</f>
        <v>3000</v>
      </c>
      <c r="K126" s="274">
        <f>H126-J126</f>
        <v>0</v>
      </c>
      <c r="M126" s="5"/>
      <c r="N126" s="5"/>
    </row>
    <row r="127" spans="1:14" outlineLevel="2">
      <c r="E127" s="50" t="s">
        <v>494</v>
      </c>
      <c r="F127" s="16" t="s">
        <v>495</v>
      </c>
      <c r="G127" s="16"/>
      <c r="H127" s="275">
        <f>0.05*H126</f>
        <v>150</v>
      </c>
      <c r="I127" s="847">
        <v>1</v>
      </c>
      <c r="J127" s="274">
        <f>I127*H127</f>
        <v>150</v>
      </c>
      <c r="K127" s="274">
        <f>H127-J127</f>
        <v>0</v>
      </c>
      <c r="M127" s="5"/>
      <c r="N127" s="5"/>
    </row>
    <row r="128" spans="1:14" outlineLevel="2">
      <c r="A128" s="5" t="str">
        <f>B128&amp;C128&amp;D128</f>
        <v>O&amp;M Mobilization BudgetOperating ExpensesManuals/Operating Procedures</v>
      </c>
      <c r="B128" s="5" t="s">
        <v>1385</v>
      </c>
      <c r="C128" s="5" t="s">
        <v>1386</v>
      </c>
      <c r="D128" s="5" t="s">
        <v>474</v>
      </c>
      <c r="E128" s="50"/>
      <c r="F128" s="16"/>
      <c r="G128" s="16"/>
      <c r="H128" s="849"/>
      <c r="I128" s="313"/>
      <c r="J128" s="274"/>
      <c r="K128" s="274"/>
      <c r="M128" s="5"/>
      <c r="N128" s="5"/>
    </row>
    <row r="129" spans="1:14" s="13" customFormat="1" outlineLevel="1">
      <c r="A129" s="13" t="s">
        <v>496</v>
      </c>
      <c r="B129" s="13" t="s">
        <v>1385</v>
      </c>
      <c r="C129" s="13" t="s">
        <v>1386</v>
      </c>
      <c r="D129" s="13" t="s">
        <v>474</v>
      </c>
      <c r="E129" s="50"/>
      <c r="F129" s="16"/>
      <c r="G129" s="276" t="s">
        <v>1401</v>
      </c>
      <c r="H129" s="279">
        <f>SUBTOTAL(9,H111:H128)</f>
        <v>61150</v>
      </c>
      <c r="I129" s="309"/>
      <c r="J129" s="279">
        <f>SUBTOTAL(9,J111:J128)</f>
        <v>61150</v>
      </c>
      <c r="K129" s="279">
        <f>SUBTOTAL(9,K111:K128)</f>
        <v>0</v>
      </c>
    </row>
    <row r="130" spans="1:14" s="13" customFormat="1" outlineLevel="1">
      <c r="A130" s="5" t="s">
        <v>1114</v>
      </c>
      <c r="B130" s="5" t="s">
        <v>1385</v>
      </c>
      <c r="C130" s="5" t="s">
        <v>1386</v>
      </c>
      <c r="D130" s="5" t="s">
        <v>85</v>
      </c>
      <c r="E130" s="99" t="s">
        <v>85</v>
      </c>
      <c r="F130" s="88"/>
      <c r="G130" s="282"/>
      <c r="H130" s="289"/>
      <c r="I130" s="307"/>
      <c r="J130" s="289"/>
      <c r="K130" s="289"/>
    </row>
    <row r="131" spans="1:14" outlineLevel="2">
      <c r="A131" s="5" t="str">
        <f>B131&amp;C131&amp;D131</f>
        <v>O&amp;M Mobilization BudgetOperating ExpensesPermits</v>
      </c>
      <c r="B131" s="5" t="s">
        <v>1385</v>
      </c>
      <c r="C131" s="5" t="s">
        <v>1386</v>
      </c>
      <c r="D131" s="5" t="s">
        <v>85</v>
      </c>
      <c r="E131" s="50" t="s">
        <v>133</v>
      </c>
      <c r="F131" s="16"/>
      <c r="G131" s="16"/>
      <c r="H131" s="275">
        <v>0</v>
      </c>
      <c r="I131" s="316">
        <v>1</v>
      </c>
      <c r="J131" s="274">
        <f>I131*H131</f>
        <v>0</v>
      </c>
      <c r="K131" s="274">
        <f>H131-J131</f>
        <v>0</v>
      </c>
      <c r="M131" s="5"/>
      <c r="N131" s="5"/>
    </row>
    <row r="132" spans="1:14" s="13" customFormat="1" outlineLevel="1">
      <c r="A132" s="13" t="s">
        <v>1115</v>
      </c>
      <c r="B132" s="13" t="s">
        <v>1385</v>
      </c>
      <c r="C132" s="13" t="s">
        <v>1386</v>
      </c>
      <c r="D132" s="13" t="s">
        <v>85</v>
      </c>
      <c r="E132" s="50"/>
      <c r="F132" s="16"/>
      <c r="G132" s="276" t="s">
        <v>1401</v>
      </c>
      <c r="H132" s="279">
        <f>SUBTOTAL(9,H131:H131)</f>
        <v>0</v>
      </c>
      <c r="I132" s="309"/>
      <c r="J132" s="279">
        <f>SUBTOTAL(9,J131:J131)</f>
        <v>0</v>
      </c>
      <c r="K132" s="279">
        <f>SUBTOTAL(9,K131:K131)</f>
        <v>0</v>
      </c>
    </row>
    <row r="133" spans="1:14" s="13" customFormat="1" outlineLevel="1">
      <c r="A133" s="5" t="s">
        <v>1116</v>
      </c>
      <c r="B133" s="5" t="s">
        <v>1385</v>
      </c>
      <c r="C133" s="5" t="s">
        <v>1386</v>
      </c>
      <c r="D133" s="5" t="s">
        <v>86</v>
      </c>
      <c r="E133" s="99" t="s">
        <v>1117</v>
      </c>
      <c r="F133" s="88"/>
      <c r="G133" s="282"/>
      <c r="H133" s="289"/>
      <c r="I133" s="307"/>
      <c r="J133" s="289"/>
      <c r="K133" s="289"/>
    </row>
    <row r="134" spans="1:14" outlineLevel="2">
      <c r="A134" s="5" t="str">
        <f>B134&amp;C134&amp;D134</f>
        <v>O&amp;M Mobilization BudgetOperating ExpensesInsurance</v>
      </c>
      <c r="B134" s="5" t="s">
        <v>1385</v>
      </c>
      <c r="C134" s="5" t="s">
        <v>1386</v>
      </c>
      <c r="D134" s="5" t="s">
        <v>86</v>
      </c>
      <c r="E134" s="50"/>
      <c r="F134" s="16"/>
      <c r="G134" s="16"/>
      <c r="H134" s="275">
        <v>5000</v>
      </c>
      <c r="I134" s="316">
        <v>1</v>
      </c>
      <c r="J134" s="274">
        <f>I134*H134</f>
        <v>5000</v>
      </c>
      <c r="K134" s="274">
        <f>H134-J134</f>
        <v>0</v>
      </c>
      <c r="M134" s="5"/>
      <c r="N134" s="5"/>
    </row>
    <row r="135" spans="1:14" outlineLevel="2">
      <c r="A135" s="5" t="str">
        <f>B135&amp;C135&amp;D135</f>
        <v>O&amp;M Mobilization BudgetOperating ExpensesInsurance</v>
      </c>
      <c r="B135" s="5" t="s">
        <v>1385</v>
      </c>
      <c r="C135" s="5" t="s">
        <v>1386</v>
      </c>
      <c r="D135" s="5" t="s">
        <v>86</v>
      </c>
      <c r="E135" s="50"/>
      <c r="F135" s="16"/>
      <c r="G135" s="16"/>
      <c r="H135" s="274"/>
      <c r="I135" s="313"/>
      <c r="J135" s="274"/>
      <c r="K135" s="274"/>
      <c r="M135" s="5"/>
      <c r="N135" s="5"/>
    </row>
    <row r="136" spans="1:14" s="13" customFormat="1" outlineLevel="1">
      <c r="A136" s="13" t="s">
        <v>1118</v>
      </c>
      <c r="B136" s="13" t="s">
        <v>1385</v>
      </c>
      <c r="C136" s="13" t="s">
        <v>1386</v>
      </c>
      <c r="D136" s="13" t="s">
        <v>86</v>
      </c>
      <c r="E136" s="50"/>
      <c r="F136" s="16"/>
      <c r="G136" s="276" t="s">
        <v>1401</v>
      </c>
      <c r="H136" s="279">
        <f>SUBTOTAL(9,H134:H135)</f>
        <v>5000</v>
      </c>
      <c r="I136" s="309"/>
      <c r="J136" s="279">
        <f>SUBTOTAL(9,J134:J135)</f>
        <v>5000</v>
      </c>
      <c r="K136" s="279">
        <f>SUBTOTAL(9,K134:K135)</f>
        <v>0</v>
      </c>
    </row>
    <row r="137" spans="1:14" s="13" customFormat="1" outlineLevel="1">
      <c r="E137" s="99" t="s">
        <v>87</v>
      </c>
      <c r="F137" s="88"/>
      <c r="G137" s="282"/>
      <c r="H137" s="289"/>
      <c r="I137" s="307"/>
      <c r="J137" s="289"/>
      <c r="K137" s="289"/>
    </row>
    <row r="138" spans="1:14" s="13" customFormat="1" outlineLevel="1">
      <c r="E138" s="68" t="s">
        <v>87</v>
      </c>
      <c r="F138" s="54" t="s">
        <v>134</v>
      </c>
      <c r="G138" s="54"/>
      <c r="H138" s="275">
        <f>350*30</f>
        <v>10500</v>
      </c>
      <c r="I138" s="316">
        <v>1</v>
      </c>
      <c r="J138" s="274">
        <f>I138*H138</f>
        <v>10500</v>
      </c>
      <c r="K138" s="274">
        <f>H138-J138</f>
        <v>0</v>
      </c>
    </row>
    <row r="139" spans="1:14" s="13" customFormat="1" outlineLevel="1">
      <c r="E139" s="68" t="s">
        <v>1119</v>
      </c>
      <c r="F139" s="54" t="s">
        <v>135</v>
      </c>
      <c r="G139" s="54"/>
      <c r="H139" s="275">
        <f>125*30</f>
        <v>3750</v>
      </c>
      <c r="I139" s="316">
        <v>1</v>
      </c>
      <c r="J139" s="274">
        <f>I139*H139</f>
        <v>3750</v>
      </c>
      <c r="K139" s="274">
        <f>H139-J139</f>
        <v>0</v>
      </c>
    </row>
    <row r="140" spans="1:14" s="13" customFormat="1" outlineLevel="1">
      <c r="E140" s="68" t="s">
        <v>1121</v>
      </c>
      <c r="F140" s="54" t="s">
        <v>136</v>
      </c>
      <c r="G140" s="54"/>
      <c r="H140" s="275">
        <v>1000</v>
      </c>
      <c r="I140" s="316">
        <v>1</v>
      </c>
      <c r="J140" s="274">
        <f>I140*H140</f>
        <v>1000</v>
      </c>
      <c r="K140" s="274">
        <f>H140-J140</f>
        <v>0</v>
      </c>
    </row>
    <row r="141" spans="1:14" s="13" customFormat="1" outlineLevel="1">
      <c r="E141" s="68"/>
      <c r="F141" s="54"/>
      <c r="G141" s="54"/>
      <c r="H141" s="275"/>
      <c r="I141" s="316">
        <v>1</v>
      </c>
      <c r="J141" s="274">
        <f>I141*H141</f>
        <v>0</v>
      </c>
      <c r="K141" s="274">
        <f>H141-J141</f>
        <v>0</v>
      </c>
    </row>
    <row r="142" spans="1:14" s="13" customFormat="1" outlineLevel="1">
      <c r="E142" s="68"/>
      <c r="F142" s="54"/>
      <c r="G142" s="54"/>
      <c r="H142" s="293"/>
      <c r="I142" s="314"/>
      <c r="J142" s="294"/>
      <c r="K142" s="294"/>
    </row>
    <row r="143" spans="1:14" s="13" customFormat="1" outlineLevel="1">
      <c r="E143" s="68"/>
      <c r="F143" s="54"/>
      <c r="G143" s="283" t="s">
        <v>1401</v>
      </c>
      <c r="H143" s="295">
        <f>SUBTOTAL(9,H138:H141)</f>
        <v>15250</v>
      </c>
      <c r="I143" s="315"/>
      <c r="J143" s="295">
        <f>SUBTOTAL(9,J138:J141)</f>
        <v>15250</v>
      </c>
      <c r="K143" s="295">
        <f>SUBTOTAL(9,K138:K141)</f>
        <v>0</v>
      </c>
    </row>
    <row r="144" spans="1:14" s="13" customFormat="1" outlineLevel="1">
      <c r="A144" s="5" t="s">
        <v>1137</v>
      </c>
      <c r="B144" s="5" t="s">
        <v>1385</v>
      </c>
      <c r="C144" s="5" t="s">
        <v>1138</v>
      </c>
      <c r="D144" s="5" t="s">
        <v>1139</v>
      </c>
      <c r="E144" s="99" t="s">
        <v>1139</v>
      </c>
      <c r="F144" s="88"/>
      <c r="G144" s="282"/>
      <c r="H144" s="848"/>
      <c r="I144" s="307"/>
      <c r="J144" s="289"/>
      <c r="K144" s="289"/>
    </row>
    <row r="145" spans="1:14" outlineLevel="2">
      <c r="A145" s="5" t="str">
        <f t="shared" ref="A145:A157" si="16">B145&amp;C145&amp;D145</f>
        <v>O&amp;M Mobilization BudgetProcurement ExpensesOffice Furnishings, Equipment, Supplies</v>
      </c>
      <c r="B145" s="5" t="s">
        <v>1385</v>
      </c>
      <c r="C145" s="5" t="s">
        <v>1138</v>
      </c>
      <c r="D145" s="5" t="s">
        <v>1139</v>
      </c>
      <c r="E145" s="50" t="s">
        <v>1140</v>
      </c>
      <c r="F145" s="16" t="s">
        <v>137</v>
      </c>
      <c r="G145" s="16"/>
      <c r="H145" s="275">
        <v>3200</v>
      </c>
      <c r="I145" s="847">
        <v>1</v>
      </c>
      <c r="J145" s="274">
        <f>I145*H145</f>
        <v>3200</v>
      </c>
      <c r="K145" s="274">
        <f>H145-J145</f>
        <v>0</v>
      </c>
      <c r="M145" s="5"/>
      <c r="N145" s="5"/>
    </row>
    <row r="146" spans="1:14" outlineLevel="2">
      <c r="A146" s="5" t="str">
        <f t="shared" si="16"/>
        <v>O&amp;M Mobilization BudgetProcurement ExpensesOffice Furnishings, Equipment, Supplies</v>
      </c>
      <c r="B146" s="5" t="s">
        <v>1385</v>
      </c>
      <c r="C146" s="5" t="s">
        <v>1138</v>
      </c>
      <c r="D146" s="5" t="s">
        <v>1139</v>
      </c>
      <c r="E146" s="50" t="s">
        <v>1141</v>
      </c>
      <c r="F146" s="16" t="s">
        <v>138</v>
      </c>
      <c r="G146" s="16"/>
      <c r="H146" s="275">
        <v>1500</v>
      </c>
      <c r="I146" s="847">
        <v>1</v>
      </c>
      <c r="J146" s="274">
        <f t="shared" ref="J146:J159" si="17">I146*H146</f>
        <v>1500</v>
      </c>
      <c r="K146" s="274">
        <f t="shared" ref="K146:K159" si="18">H146-J146</f>
        <v>0</v>
      </c>
      <c r="M146" s="5"/>
      <c r="N146" s="5"/>
    </row>
    <row r="147" spans="1:14" outlineLevel="2">
      <c r="A147" s="5" t="str">
        <f t="shared" si="16"/>
        <v>O&amp;M Mobilization BudgetProcurement ExpensesOffice Furnishings, Equipment, Supplies</v>
      </c>
      <c r="B147" s="5" t="s">
        <v>1385</v>
      </c>
      <c r="C147" s="5" t="s">
        <v>1138</v>
      </c>
      <c r="D147" s="5" t="s">
        <v>1139</v>
      </c>
      <c r="E147" s="50" t="s">
        <v>1142</v>
      </c>
      <c r="F147" s="16" t="s">
        <v>139</v>
      </c>
      <c r="G147" s="16"/>
      <c r="H147" s="275">
        <v>750</v>
      </c>
      <c r="I147" s="847">
        <v>1</v>
      </c>
      <c r="J147" s="274">
        <f t="shared" si="17"/>
        <v>750</v>
      </c>
      <c r="K147" s="274">
        <f t="shared" si="18"/>
        <v>0</v>
      </c>
      <c r="M147" s="5"/>
      <c r="N147" s="5"/>
    </row>
    <row r="148" spans="1:14" outlineLevel="2">
      <c r="A148" s="5" t="str">
        <f t="shared" si="16"/>
        <v>O&amp;M Mobilization BudgetProcurement ExpensesOffice Furnishings, Equipment, Supplies</v>
      </c>
      <c r="B148" s="5" t="s">
        <v>1385</v>
      </c>
      <c r="C148" s="5" t="s">
        <v>1138</v>
      </c>
      <c r="D148" s="5" t="s">
        <v>1139</v>
      </c>
      <c r="E148" s="50" t="s">
        <v>1160</v>
      </c>
      <c r="F148" s="16" t="s">
        <v>140</v>
      </c>
      <c r="G148" s="16"/>
      <c r="H148" s="275">
        <f>4*200</f>
        <v>800</v>
      </c>
      <c r="I148" s="847">
        <v>1</v>
      </c>
      <c r="J148" s="274">
        <f t="shared" si="17"/>
        <v>800</v>
      </c>
      <c r="K148" s="274">
        <f t="shared" si="18"/>
        <v>0</v>
      </c>
      <c r="M148" s="5"/>
      <c r="N148" s="5"/>
    </row>
    <row r="149" spans="1:14" outlineLevel="2">
      <c r="A149" s="5" t="str">
        <f t="shared" si="16"/>
        <v>O&amp;M Mobilization BudgetProcurement ExpensesOffice Furnishings, Equipment, Supplies</v>
      </c>
      <c r="B149" s="5" t="s">
        <v>1385</v>
      </c>
      <c r="C149" s="5" t="s">
        <v>1138</v>
      </c>
      <c r="D149" s="5" t="s">
        <v>1139</v>
      </c>
      <c r="E149" s="50" t="s">
        <v>1161</v>
      </c>
      <c r="F149" s="16" t="s">
        <v>1162</v>
      </c>
      <c r="G149" s="16"/>
      <c r="H149" s="275">
        <v>500</v>
      </c>
      <c r="I149" s="847">
        <v>1</v>
      </c>
      <c r="J149" s="274">
        <f t="shared" si="17"/>
        <v>500</v>
      </c>
      <c r="K149" s="274">
        <f t="shared" si="18"/>
        <v>0</v>
      </c>
      <c r="M149" s="5"/>
      <c r="N149" s="5"/>
    </row>
    <row r="150" spans="1:14" outlineLevel="2">
      <c r="A150" s="5" t="str">
        <f t="shared" si="16"/>
        <v>O&amp;M Mobilization BudgetProcurement ExpensesOffice Furnishings, Equipment, Supplies</v>
      </c>
      <c r="B150" s="5" t="s">
        <v>1385</v>
      </c>
      <c r="C150" s="5" t="s">
        <v>1138</v>
      </c>
      <c r="D150" s="5" t="s">
        <v>1139</v>
      </c>
      <c r="E150" s="50" t="s">
        <v>1163</v>
      </c>
      <c r="F150" s="16" t="s">
        <v>141</v>
      </c>
      <c r="G150" s="16"/>
      <c r="H150" s="275">
        <f>1*150+1500</f>
        <v>1650</v>
      </c>
      <c r="I150" s="847">
        <v>1</v>
      </c>
      <c r="J150" s="274">
        <f t="shared" si="17"/>
        <v>1650</v>
      </c>
      <c r="K150" s="274">
        <f t="shared" si="18"/>
        <v>0</v>
      </c>
      <c r="M150" s="5"/>
      <c r="N150" s="5"/>
    </row>
    <row r="151" spans="1:14" outlineLevel="2">
      <c r="A151" s="5" t="str">
        <f t="shared" si="16"/>
        <v>O&amp;M Mobilization BudgetProcurement ExpensesOffice Furnishings, Equipment, Supplies</v>
      </c>
      <c r="B151" s="5" t="s">
        <v>1385</v>
      </c>
      <c r="C151" s="5" t="s">
        <v>1138</v>
      </c>
      <c r="D151" s="5" t="s">
        <v>1139</v>
      </c>
      <c r="E151" s="50" t="s">
        <v>1164</v>
      </c>
      <c r="F151" s="16" t="s">
        <v>142</v>
      </c>
      <c r="G151" s="16"/>
      <c r="H151" s="275">
        <f>1*150</f>
        <v>150</v>
      </c>
      <c r="I151" s="847">
        <v>1</v>
      </c>
      <c r="J151" s="274">
        <f t="shared" si="17"/>
        <v>150</v>
      </c>
      <c r="K151" s="274">
        <f t="shared" si="18"/>
        <v>0</v>
      </c>
      <c r="M151" s="5"/>
      <c r="N151" s="5"/>
    </row>
    <row r="152" spans="1:14" outlineLevel="2">
      <c r="A152" s="5" t="str">
        <f t="shared" si="16"/>
        <v>O&amp;M Mobilization BudgetProcurement ExpensesOffice Furnishings, Equipment, Supplies</v>
      </c>
      <c r="B152" s="5" t="s">
        <v>1385</v>
      </c>
      <c r="C152" s="5" t="s">
        <v>1138</v>
      </c>
      <c r="D152" s="5" t="s">
        <v>1139</v>
      </c>
      <c r="E152" s="50" t="s">
        <v>1165</v>
      </c>
      <c r="F152" s="16" t="s">
        <v>143</v>
      </c>
      <c r="G152" s="16"/>
      <c r="H152" s="275">
        <f>6*75</f>
        <v>450</v>
      </c>
      <c r="I152" s="847">
        <v>1</v>
      </c>
      <c r="J152" s="274">
        <f t="shared" si="17"/>
        <v>450</v>
      </c>
      <c r="K152" s="274">
        <f t="shared" si="18"/>
        <v>0</v>
      </c>
      <c r="M152" s="5"/>
      <c r="N152" s="5"/>
    </row>
    <row r="153" spans="1:14" outlineLevel="2">
      <c r="A153" s="5" t="str">
        <f t="shared" si="16"/>
        <v>O&amp;M Mobilization BudgetProcurement ExpensesOffice Furnishings, Equipment, Supplies</v>
      </c>
      <c r="B153" s="5" t="s">
        <v>1385</v>
      </c>
      <c r="C153" s="5" t="s">
        <v>1138</v>
      </c>
      <c r="D153" s="5" t="s">
        <v>1139</v>
      </c>
      <c r="E153" s="50" t="s">
        <v>1166</v>
      </c>
      <c r="F153" s="16" t="s">
        <v>144</v>
      </c>
      <c r="G153" s="16"/>
      <c r="H153" s="275">
        <f>1*300</f>
        <v>300</v>
      </c>
      <c r="I153" s="847">
        <v>1</v>
      </c>
      <c r="J153" s="274">
        <f t="shared" si="17"/>
        <v>300</v>
      </c>
      <c r="K153" s="274">
        <f t="shared" si="18"/>
        <v>0</v>
      </c>
      <c r="M153" s="5"/>
      <c r="N153" s="5"/>
    </row>
    <row r="154" spans="1:14" outlineLevel="2">
      <c r="A154" s="5" t="str">
        <f t="shared" si="16"/>
        <v>O&amp;M Mobilization BudgetProcurement ExpensesOffice Furnishings, Equipment, Supplies</v>
      </c>
      <c r="B154" s="5" t="s">
        <v>1385</v>
      </c>
      <c r="C154" s="5" t="s">
        <v>1138</v>
      </c>
      <c r="D154" s="5" t="s">
        <v>1139</v>
      </c>
      <c r="E154" s="50" t="s">
        <v>1167</v>
      </c>
      <c r="F154" s="16" t="s">
        <v>145</v>
      </c>
      <c r="G154" s="16"/>
      <c r="H154" s="275">
        <v>150</v>
      </c>
      <c r="I154" s="847">
        <v>1</v>
      </c>
      <c r="J154" s="274">
        <f t="shared" si="17"/>
        <v>150</v>
      </c>
      <c r="K154" s="274">
        <f t="shared" si="18"/>
        <v>0</v>
      </c>
      <c r="M154" s="5"/>
      <c r="N154" s="5"/>
    </row>
    <row r="155" spans="1:14" outlineLevel="2">
      <c r="A155" s="5" t="str">
        <f t="shared" si="16"/>
        <v>O&amp;M Mobilization BudgetProcurement ExpensesOffice Furnishings, Equipment, Supplies</v>
      </c>
      <c r="B155" s="5" t="s">
        <v>1385</v>
      </c>
      <c r="C155" s="5" t="s">
        <v>1138</v>
      </c>
      <c r="D155" s="5" t="s">
        <v>1139</v>
      </c>
      <c r="E155" s="50" t="s">
        <v>1168</v>
      </c>
      <c r="F155" s="16" t="s">
        <v>146</v>
      </c>
      <c r="G155" s="16"/>
      <c r="H155" s="275">
        <f>1*750</f>
        <v>750</v>
      </c>
      <c r="I155" s="847">
        <v>1</v>
      </c>
      <c r="J155" s="274">
        <f t="shared" si="17"/>
        <v>750</v>
      </c>
      <c r="K155" s="274">
        <f t="shared" si="18"/>
        <v>0</v>
      </c>
      <c r="M155" s="5"/>
      <c r="N155" s="5"/>
    </row>
    <row r="156" spans="1:14" outlineLevel="2">
      <c r="A156" s="5" t="str">
        <f t="shared" si="16"/>
        <v>O&amp;M Mobilization BudgetProcurement ExpensesOffice Furnishings, Equipment, Supplies</v>
      </c>
      <c r="B156" s="5" t="s">
        <v>1385</v>
      </c>
      <c r="C156" s="5" t="s">
        <v>1138</v>
      </c>
      <c r="D156" s="5" t="s">
        <v>1139</v>
      </c>
      <c r="E156" s="50" t="s">
        <v>147</v>
      </c>
      <c r="F156" s="16"/>
      <c r="G156" s="16"/>
      <c r="H156" s="275">
        <v>500</v>
      </c>
      <c r="I156" s="847">
        <v>1</v>
      </c>
      <c r="J156" s="274">
        <f t="shared" si="17"/>
        <v>500</v>
      </c>
      <c r="K156" s="274">
        <f t="shared" si="18"/>
        <v>0</v>
      </c>
      <c r="M156" s="5"/>
      <c r="N156" s="5"/>
    </row>
    <row r="157" spans="1:14" outlineLevel="2">
      <c r="A157" s="5" t="str">
        <f t="shared" si="16"/>
        <v>O&amp;M Mobilization BudgetProcurement ExpensesOffice Furnishings, Equipment, Supplies</v>
      </c>
      <c r="B157" s="5" t="s">
        <v>1385</v>
      </c>
      <c r="C157" s="5" t="s">
        <v>1138</v>
      </c>
      <c r="D157" s="5" t="s">
        <v>1139</v>
      </c>
      <c r="E157" s="50" t="s">
        <v>1169</v>
      </c>
      <c r="F157" s="16" t="s">
        <v>1007</v>
      </c>
      <c r="G157" s="16"/>
      <c r="H157" s="275">
        <v>1000</v>
      </c>
      <c r="I157" s="847">
        <v>1</v>
      </c>
      <c r="J157" s="274">
        <f t="shared" si="17"/>
        <v>1000</v>
      </c>
      <c r="K157" s="274">
        <f t="shared" si="18"/>
        <v>0</v>
      </c>
      <c r="M157" s="5"/>
      <c r="N157" s="5"/>
    </row>
    <row r="158" spans="1:14" outlineLevel="2">
      <c r="A158" s="5" t="str">
        <f>B158&amp;C158&amp;D158</f>
        <v>O&amp;M Mobilization BudgetProcurement ExpensesOffice Furnishings, Equipment, Supplies</v>
      </c>
      <c r="B158" s="5" t="s">
        <v>1385</v>
      </c>
      <c r="C158" s="5" t="s">
        <v>1138</v>
      </c>
      <c r="D158" s="5" t="s">
        <v>1139</v>
      </c>
      <c r="E158" s="50" t="s">
        <v>1170</v>
      </c>
      <c r="F158" s="16" t="s">
        <v>148</v>
      </c>
      <c r="G158" s="16"/>
      <c r="H158" s="275">
        <v>15000</v>
      </c>
      <c r="I158" s="847">
        <v>1</v>
      </c>
      <c r="J158" s="274">
        <f t="shared" si="17"/>
        <v>15000</v>
      </c>
      <c r="K158" s="274">
        <f t="shared" si="18"/>
        <v>0</v>
      </c>
      <c r="M158" s="5"/>
      <c r="N158" s="5"/>
    </row>
    <row r="159" spans="1:14" outlineLevel="2">
      <c r="A159" s="5" t="str">
        <f>B159&amp;C159&amp;D159</f>
        <v>O&amp;M Mobilization BudgetProcurement ExpensesOffice Furnishings, Equipment, Supplies</v>
      </c>
      <c r="B159" s="5" t="s">
        <v>1385</v>
      </c>
      <c r="C159" s="5" t="s">
        <v>1138</v>
      </c>
      <c r="D159" s="5" t="s">
        <v>1139</v>
      </c>
      <c r="E159" s="50" t="s">
        <v>1171</v>
      </c>
      <c r="F159" s="16" t="s">
        <v>149</v>
      </c>
      <c r="G159" s="16"/>
      <c r="H159" s="275">
        <v>2500</v>
      </c>
      <c r="I159" s="847">
        <v>1</v>
      </c>
      <c r="J159" s="274">
        <f t="shared" si="17"/>
        <v>2500</v>
      </c>
      <c r="K159" s="274">
        <f t="shared" si="18"/>
        <v>0</v>
      </c>
      <c r="M159" s="5"/>
      <c r="N159" s="5"/>
    </row>
    <row r="160" spans="1:14" outlineLevel="2">
      <c r="E160" s="50" t="s">
        <v>1172</v>
      </c>
      <c r="F160" s="16" t="s">
        <v>150</v>
      </c>
      <c r="G160" s="16"/>
      <c r="H160" s="275">
        <v>20000</v>
      </c>
      <c r="I160" s="847">
        <v>1</v>
      </c>
      <c r="J160" s="274">
        <f t="shared" ref="J160:J168" si="19">I160*H160</f>
        <v>20000</v>
      </c>
      <c r="K160" s="274">
        <f t="shared" ref="K160:K168" si="20">H160-J160</f>
        <v>0</v>
      </c>
      <c r="M160" s="5"/>
      <c r="N160" s="5"/>
    </row>
    <row r="161" spans="1:14" outlineLevel="2">
      <c r="E161" s="50" t="s">
        <v>1173</v>
      </c>
      <c r="F161" s="16" t="s">
        <v>151</v>
      </c>
      <c r="G161" s="16"/>
      <c r="H161" s="275">
        <f>1*2500</f>
        <v>2500</v>
      </c>
      <c r="I161" s="847">
        <v>1</v>
      </c>
      <c r="J161" s="274">
        <f t="shared" si="19"/>
        <v>2500</v>
      </c>
      <c r="K161" s="274">
        <f t="shared" si="20"/>
        <v>0</v>
      </c>
      <c r="M161" s="5"/>
      <c r="N161" s="5"/>
    </row>
    <row r="162" spans="1:14" outlineLevel="2">
      <c r="E162" s="50" t="s">
        <v>1005</v>
      </c>
      <c r="F162" s="16" t="s">
        <v>1174</v>
      </c>
      <c r="G162" s="16"/>
      <c r="H162" s="275">
        <v>0</v>
      </c>
      <c r="I162" s="847">
        <v>1</v>
      </c>
      <c r="J162" s="274">
        <f t="shared" si="19"/>
        <v>0</v>
      </c>
      <c r="K162" s="274">
        <f t="shared" si="20"/>
        <v>0</v>
      </c>
      <c r="M162" s="5"/>
      <c r="N162" s="5"/>
    </row>
    <row r="163" spans="1:14" outlineLevel="2">
      <c r="E163" s="50" t="s">
        <v>1005</v>
      </c>
      <c r="F163" s="16" t="s">
        <v>1175</v>
      </c>
      <c r="G163" s="16"/>
      <c r="H163" s="275">
        <v>10000</v>
      </c>
      <c r="I163" s="847">
        <v>1</v>
      </c>
      <c r="J163" s="274">
        <f t="shared" si="19"/>
        <v>10000</v>
      </c>
      <c r="K163" s="274">
        <f t="shared" si="20"/>
        <v>0</v>
      </c>
      <c r="M163" s="5"/>
      <c r="N163" s="5"/>
    </row>
    <row r="164" spans="1:14" outlineLevel="2">
      <c r="A164" s="5" t="str">
        <f t="shared" ref="A164:A174" si="21">B164&amp;C164&amp;D164</f>
        <v>O&amp;M Mobilization BudgetProcurement ExpensesOffice Furnishings, Equipment, Supplies</v>
      </c>
      <c r="B164" s="5" t="s">
        <v>1385</v>
      </c>
      <c r="C164" s="5" t="s">
        <v>1138</v>
      </c>
      <c r="D164" s="5" t="s">
        <v>1139</v>
      </c>
      <c r="E164" s="50" t="s">
        <v>1176</v>
      </c>
      <c r="F164" s="16" t="s">
        <v>1177</v>
      </c>
      <c r="G164" s="16"/>
      <c r="H164" s="275">
        <v>8000</v>
      </c>
      <c r="I164" s="847">
        <v>1</v>
      </c>
      <c r="J164" s="274">
        <f t="shared" si="19"/>
        <v>8000</v>
      </c>
      <c r="K164" s="274">
        <f t="shared" si="20"/>
        <v>0</v>
      </c>
      <c r="M164" s="5"/>
      <c r="N164" s="5"/>
    </row>
    <row r="165" spans="1:14" outlineLevel="2">
      <c r="A165" s="5" t="str">
        <f t="shared" si="21"/>
        <v>O&amp;M Mobilization BudgetProcurement ExpensesOffice Furnishings, Equipment, Supplies</v>
      </c>
      <c r="B165" s="5" t="s">
        <v>1385</v>
      </c>
      <c r="C165" s="5" t="s">
        <v>1138</v>
      </c>
      <c r="D165" s="5" t="s">
        <v>1139</v>
      </c>
      <c r="E165" s="50" t="s">
        <v>1178</v>
      </c>
      <c r="F165" s="16" t="s">
        <v>152</v>
      </c>
      <c r="G165" s="16"/>
      <c r="H165" s="275">
        <v>250</v>
      </c>
      <c r="I165" s="847">
        <v>1</v>
      </c>
      <c r="J165" s="274">
        <f t="shared" si="19"/>
        <v>250</v>
      </c>
      <c r="K165" s="274">
        <f t="shared" si="20"/>
        <v>0</v>
      </c>
      <c r="M165" s="5"/>
      <c r="N165" s="5"/>
    </row>
    <row r="166" spans="1:14" outlineLevel="2">
      <c r="A166" s="5" t="str">
        <f t="shared" si="21"/>
        <v>O&amp;M Mobilization BudgetProcurement ExpensesOffice Furnishings, Equipment, Supplies</v>
      </c>
      <c r="B166" s="5" t="s">
        <v>1385</v>
      </c>
      <c r="C166" s="5" t="s">
        <v>1138</v>
      </c>
      <c r="D166" s="5" t="s">
        <v>1139</v>
      </c>
      <c r="E166" s="50" t="s">
        <v>1179</v>
      </c>
      <c r="F166" s="16" t="s">
        <v>153</v>
      </c>
      <c r="G166" s="16"/>
      <c r="H166" s="275">
        <v>3000</v>
      </c>
      <c r="I166" s="847">
        <v>1</v>
      </c>
      <c r="J166" s="274">
        <f t="shared" si="19"/>
        <v>3000</v>
      </c>
      <c r="K166" s="274">
        <f t="shared" si="20"/>
        <v>0</v>
      </c>
      <c r="M166" s="5"/>
      <c r="N166" s="5"/>
    </row>
    <row r="167" spans="1:14" outlineLevel="2">
      <c r="A167" s="5" t="str">
        <f t="shared" si="21"/>
        <v>O&amp;M Mobilization BudgetProcurement ExpensesOffice Furnishings, Equipment, Supplies</v>
      </c>
      <c r="B167" s="5" t="s">
        <v>1385</v>
      </c>
      <c r="C167" s="5" t="s">
        <v>1138</v>
      </c>
      <c r="D167" s="5" t="s">
        <v>1139</v>
      </c>
      <c r="E167" s="50" t="s">
        <v>1180</v>
      </c>
      <c r="F167" s="16" t="s">
        <v>1006</v>
      </c>
      <c r="G167" s="16"/>
      <c r="H167" s="275">
        <v>100</v>
      </c>
      <c r="I167" s="847">
        <v>1</v>
      </c>
      <c r="J167" s="274">
        <f t="shared" si="19"/>
        <v>100</v>
      </c>
      <c r="K167" s="274">
        <f t="shared" si="20"/>
        <v>0</v>
      </c>
      <c r="M167" s="5"/>
      <c r="N167" s="5"/>
    </row>
    <row r="168" spans="1:14" outlineLevel="2">
      <c r="A168" s="5" t="str">
        <f t="shared" si="21"/>
        <v>O&amp;M Mobilization BudgetProcurement ExpensesOffice Furnishings, Equipment, Supplies</v>
      </c>
      <c r="B168" s="5" t="s">
        <v>1385</v>
      </c>
      <c r="C168" s="5" t="s">
        <v>1138</v>
      </c>
      <c r="D168" s="5" t="s">
        <v>1139</v>
      </c>
      <c r="E168" s="50" t="s">
        <v>154</v>
      </c>
      <c r="F168" s="16" t="s">
        <v>155</v>
      </c>
      <c r="G168" s="16"/>
      <c r="H168" s="275">
        <f>400</f>
        <v>400</v>
      </c>
      <c r="I168" s="847">
        <v>1</v>
      </c>
      <c r="J168" s="274">
        <f t="shared" si="19"/>
        <v>400</v>
      </c>
      <c r="K168" s="274">
        <f t="shared" si="20"/>
        <v>0</v>
      </c>
      <c r="M168" s="5"/>
      <c r="N168" s="5"/>
    </row>
    <row r="169" spans="1:14" outlineLevel="2">
      <c r="A169" s="5" t="str">
        <f t="shared" si="21"/>
        <v>O&amp;M Mobilization BudgetProcurement ExpensesOffice Furnishings, Equipment, Supplies</v>
      </c>
      <c r="B169" s="5" t="s">
        <v>1385</v>
      </c>
      <c r="C169" s="5" t="s">
        <v>1138</v>
      </c>
      <c r="D169" s="5" t="s">
        <v>1139</v>
      </c>
      <c r="E169" s="50" t="s">
        <v>1181</v>
      </c>
      <c r="F169" s="16" t="s">
        <v>1182</v>
      </c>
      <c r="G169" s="16"/>
      <c r="H169" s="275">
        <v>2000</v>
      </c>
      <c r="I169" s="847">
        <v>1</v>
      </c>
      <c r="J169" s="274">
        <f t="shared" ref="J169:J177" si="22">I169*H169</f>
        <v>2000</v>
      </c>
      <c r="K169" s="274">
        <f t="shared" ref="K169:K177" si="23">H169-J169</f>
        <v>0</v>
      </c>
      <c r="M169" s="5"/>
      <c r="N169" s="5"/>
    </row>
    <row r="170" spans="1:14" outlineLevel="2">
      <c r="A170" s="5" t="str">
        <f t="shared" si="21"/>
        <v>O&amp;M Mobilization BudgetProcurement ExpensesOffice Furnishings, Equipment, Supplies</v>
      </c>
      <c r="B170" s="5" t="s">
        <v>1385</v>
      </c>
      <c r="C170" s="5" t="s">
        <v>1138</v>
      </c>
      <c r="D170" s="5" t="s">
        <v>1139</v>
      </c>
      <c r="E170" s="50"/>
      <c r="F170" s="16"/>
      <c r="G170" s="16"/>
      <c r="H170" s="275"/>
      <c r="I170" s="847">
        <v>1</v>
      </c>
      <c r="J170" s="274">
        <f t="shared" si="22"/>
        <v>0</v>
      </c>
      <c r="K170" s="274">
        <f t="shared" si="23"/>
        <v>0</v>
      </c>
      <c r="M170" s="5"/>
      <c r="N170" s="5"/>
    </row>
    <row r="171" spans="1:14" outlineLevel="2">
      <c r="A171" s="5" t="str">
        <f t="shared" si="21"/>
        <v>O&amp;M Mobilization BudgetProcurement ExpensesOffice Furnishings, Equipment, Supplies</v>
      </c>
      <c r="B171" s="5" t="s">
        <v>1385</v>
      </c>
      <c r="C171" s="5" t="s">
        <v>1138</v>
      </c>
      <c r="D171" s="5" t="s">
        <v>1139</v>
      </c>
      <c r="E171" s="50" t="s">
        <v>28</v>
      </c>
      <c r="F171" s="16" t="s">
        <v>156</v>
      </c>
      <c r="G171" s="16"/>
      <c r="H171" s="275">
        <v>400</v>
      </c>
      <c r="I171" s="847">
        <v>1</v>
      </c>
      <c r="J171" s="274">
        <f t="shared" si="22"/>
        <v>400</v>
      </c>
      <c r="K171" s="274">
        <f t="shared" si="23"/>
        <v>0</v>
      </c>
      <c r="M171" s="5"/>
      <c r="N171" s="5"/>
    </row>
    <row r="172" spans="1:14" outlineLevel="2">
      <c r="A172" s="5" t="str">
        <f t="shared" si="21"/>
        <v>O&amp;M Mobilization BudgetProcurement ExpensesOffice Furnishings, Equipment, Supplies</v>
      </c>
      <c r="B172" s="5" t="s">
        <v>1385</v>
      </c>
      <c r="C172" s="5" t="s">
        <v>1138</v>
      </c>
      <c r="D172" s="5" t="s">
        <v>1139</v>
      </c>
      <c r="E172" s="50" t="s">
        <v>29</v>
      </c>
      <c r="F172" s="16" t="s">
        <v>157</v>
      </c>
      <c r="G172" s="16"/>
      <c r="H172" s="275">
        <v>800</v>
      </c>
      <c r="I172" s="847">
        <v>1</v>
      </c>
      <c r="J172" s="274">
        <f t="shared" si="22"/>
        <v>800</v>
      </c>
      <c r="K172" s="274">
        <f t="shared" si="23"/>
        <v>0</v>
      </c>
      <c r="M172" s="5"/>
      <c r="N172" s="5"/>
    </row>
    <row r="173" spans="1:14" outlineLevel="2">
      <c r="E173" s="50" t="s">
        <v>30</v>
      </c>
      <c r="F173" s="16" t="s">
        <v>50</v>
      </c>
      <c r="G173" s="16"/>
      <c r="H173" s="275">
        <v>1000</v>
      </c>
      <c r="I173" s="847">
        <v>1</v>
      </c>
      <c r="J173" s="274">
        <f t="shared" si="22"/>
        <v>1000</v>
      </c>
      <c r="K173" s="274">
        <f t="shared" si="23"/>
        <v>0</v>
      </c>
      <c r="M173" s="5"/>
      <c r="N173" s="5"/>
    </row>
    <row r="174" spans="1:14" outlineLevel="2">
      <c r="A174" s="5" t="str">
        <f t="shared" si="21"/>
        <v>O&amp;M Mobilization BudgetProcurement ExpensesOffice Furnishings, Equipment, Supplies</v>
      </c>
      <c r="B174" s="5" t="s">
        <v>1385</v>
      </c>
      <c r="C174" s="5" t="s">
        <v>1138</v>
      </c>
      <c r="D174" s="5" t="s">
        <v>1139</v>
      </c>
      <c r="E174" s="50" t="s">
        <v>51</v>
      </c>
      <c r="F174" s="16" t="s">
        <v>1008</v>
      </c>
      <c r="G174" s="16"/>
      <c r="H174" s="275">
        <v>1200</v>
      </c>
      <c r="I174" s="847">
        <v>1</v>
      </c>
      <c r="J174" s="274">
        <f t="shared" si="22"/>
        <v>1200</v>
      </c>
      <c r="K174" s="274">
        <f t="shared" si="23"/>
        <v>0</v>
      </c>
      <c r="M174" s="5"/>
      <c r="N174" s="5"/>
    </row>
    <row r="175" spans="1:14" outlineLevel="2">
      <c r="E175" s="50" t="s">
        <v>158</v>
      </c>
      <c r="F175" s="16"/>
      <c r="G175" s="16"/>
      <c r="H175" s="275">
        <v>5000</v>
      </c>
      <c r="I175" s="847">
        <v>1</v>
      </c>
      <c r="J175" s="274">
        <f t="shared" si="22"/>
        <v>5000</v>
      </c>
      <c r="K175" s="274">
        <f t="shared" si="23"/>
        <v>0</v>
      </c>
      <c r="M175" s="5"/>
      <c r="N175" s="5"/>
    </row>
    <row r="176" spans="1:14" outlineLevel="2">
      <c r="E176" s="50" t="s">
        <v>52</v>
      </c>
      <c r="F176" s="16"/>
      <c r="G176" s="16"/>
      <c r="H176" s="275">
        <v>1000</v>
      </c>
      <c r="I176" s="847">
        <v>1</v>
      </c>
      <c r="J176" s="274">
        <f t="shared" si="22"/>
        <v>1000</v>
      </c>
      <c r="K176" s="274">
        <f t="shared" si="23"/>
        <v>0</v>
      </c>
      <c r="M176" s="5"/>
      <c r="N176" s="5"/>
    </row>
    <row r="177" spans="1:14" outlineLevel="2">
      <c r="E177" s="50" t="s">
        <v>494</v>
      </c>
      <c r="F177" s="16" t="s">
        <v>53</v>
      </c>
      <c r="G177" s="16"/>
      <c r="H177" s="275">
        <f>SUM(H145:H176)*0.05</f>
        <v>4242.5</v>
      </c>
      <c r="I177" s="847">
        <v>1</v>
      </c>
      <c r="J177" s="274">
        <f t="shared" si="22"/>
        <v>4242.5</v>
      </c>
      <c r="K177" s="274">
        <f t="shared" si="23"/>
        <v>0</v>
      </c>
      <c r="M177" s="5"/>
      <c r="N177" s="5"/>
    </row>
    <row r="178" spans="1:14" outlineLevel="2">
      <c r="E178" s="50"/>
      <c r="F178" s="16"/>
      <c r="G178" s="16"/>
      <c r="H178" s="850"/>
      <c r="I178" s="308"/>
      <c r="J178" s="274"/>
      <c r="K178" s="274"/>
      <c r="M178" s="5"/>
      <c r="N178" s="5"/>
    </row>
    <row r="179" spans="1:14" s="13" customFormat="1" outlineLevel="1">
      <c r="A179" s="13" t="s">
        <v>54</v>
      </c>
      <c r="B179" s="13" t="s">
        <v>1385</v>
      </c>
      <c r="C179" s="13" t="s">
        <v>1138</v>
      </c>
      <c r="D179" s="13" t="s">
        <v>1139</v>
      </c>
      <c r="E179" s="50"/>
      <c r="F179" s="16"/>
      <c r="G179" s="276" t="s">
        <v>1401</v>
      </c>
      <c r="H179" s="279">
        <f>SUBTOTAL(9,H145:H178)</f>
        <v>89092.5</v>
      </c>
      <c r="I179" s="309"/>
      <c r="J179" s="279">
        <f>SUBTOTAL(9,J145:J178)</f>
        <v>89092.5</v>
      </c>
      <c r="K179" s="279">
        <f>SUBTOTAL(9,K145:K178)</f>
        <v>0</v>
      </c>
    </row>
    <row r="180" spans="1:14" s="13" customFormat="1" outlineLevel="1">
      <c r="A180" s="5" t="s">
        <v>55</v>
      </c>
      <c r="B180" s="5" t="s">
        <v>1385</v>
      </c>
      <c r="C180" s="5" t="s">
        <v>1138</v>
      </c>
      <c r="D180" s="5" t="s">
        <v>720</v>
      </c>
      <c r="E180" s="99" t="s">
        <v>721</v>
      </c>
      <c r="F180" s="88"/>
      <c r="G180" s="282"/>
      <c r="H180" s="848"/>
      <c r="I180" s="307"/>
      <c r="J180" s="289"/>
      <c r="K180" s="289"/>
    </row>
    <row r="181" spans="1:14" outlineLevel="2">
      <c r="A181" s="5" t="str">
        <f>B181&amp;C181&amp;D181</f>
        <v>O&amp;M Mobilization BudgetProcurement ExpensesSafety Equipment &amp; Supplies</v>
      </c>
      <c r="B181" s="5" t="s">
        <v>1385</v>
      </c>
      <c r="C181" s="5" t="s">
        <v>1138</v>
      </c>
      <c r="D181" s="5" t="s">
        <v>720</v>
      </c>
      <c r="E181" s="50" t="s">
        <v>722</v>
      </c>
      <c r="F181" s="16" t="s">
        <v>723</v>
      </c>
      <c r="G181" s="16"/>
      <c r="H181" s="275"/>
      <c r="I181" s="847"/>
      <c r="J181" s="274"/>
      <c r="K181" s="274"/>
      <c r="M181" s="5"/>
      <c r="N181" s="5"/>
    </row>
    <row r="182" spans="1:14" outlineLevel="2">
      <c r="E182" s="50"/>
      <c r="F182" s="16" t="s">
        <v>724</v>
      </c>
      <c r="G182" s="16"/>
      <c r="H182" s="275">
        <v>3000</v>
      </c>
      <c r="I182" s="847">
        <v>1</v>
      </c>
      <c r="J182" s="274">
        <f t="shared" ref="J182:J187" si="24">I182*H182</f>
        <v>3000</v>
      </c>
      <c r="K182" s="274">
        <f t="shared" ref="K182:K187" si="25">H182-J182</f>
        <v>0</v>
      </c>
      <c r="M182" s="5"/>
      <c r="N182" s="5"/>
    </row>
    <row r="183" spans="1:14" outlineLevel="2">
      <c r="E183" s="50" t="s">
        <v>725</v>
      </c>
      <c r="F183" s="16" t="s">
        <v>159</v>
      </c>
      <c r="G183" s="16"/>
      <c r="H183" s="275">
        <f>10*120</f>
        <v>1200</v>
      </c>
      <c r="I183" s="847">
        <v>1</v>
      </c>
      <c r="J183" s="274">
        <f t="shared" si="24"/>
        <v>1200</v>
      </c>
      <c r="K183" s="274">
        <f t="shared" si="25"/>
        <v>0</v>
      </c>
      <c r="M183" s="5"/>
      <c r="N183" s="5"/>
    </row>
    <row r="184" spans="1:14" outlineLevel="2">
      <c r="E184" s="50" t="s">
        <v>726</v>
      </c>
      <c r="F184" s="16"/>
      <c r="G184" s="16"/>
      <c r="H184" s="275">
        <v>7700</v>
      </c>
      <c r="I184" s="847">
        <v>1</v>
      </c>
      <c r="J184" s="274">
        <f t="shared" si="24"/>
        <v>7700</v>
      </c>
      <c r="K184" s="274">
        <f t="shared" si="25"/>
        <v>0</v>
      </c>
      <c r="M184" s="5"/>
      <c r="N184" s="5"/>
    </row>
    <row r="185" spans="1:14" outlineLevel="2">
      <c r="E185" s="50" t="s">
        <v>727</v>
      </c>
      <c r="F185" s="16" t="s">
        <v>728</v>
      </c>
      <c r="G185" s="16"/>
      <c r="H185" s="275">
        <v>6000</v>
      </c>
      <c r="I185" s="847">
        <v>1</v>
      </c>
      <c r="J185" s="274">
        <f t="shared" si="24"/>
        <v>6000</v>
      </c>
      <c r="K185" s="274">
        <f t="shared" si="25"/>
        <v>0</v>
      </c>
      <c r="M185" s="5"/>
      <c r="N185" s="5"/>
    </row>
    <row r="186" spans="1:14" outlineLevel="2">
      <c r="E186" s="50" t="s">
        <v>729</v>
      </c>
      <c r="F186" s="16" t="s">
        <v>730</v>
      </c>
      <c r="G186" s="16"/>
      <c r="H186" s="275">
        <v>2500</v>
      </c>
      <c r="I186" s="847">
        <v>1</v>
      </c>
      <c r="J186" s="274">
        <f t="shared" si="24"/>
        <v>2500</v>
      </c>
      <c r="K186" s="274">
        <f t="shared" si="25"/>
        <v>0</v>
      </c>
      <c r="M186" s="5"/>
      <c r="N186" s="5"/>
    </row>
    <row r="187" spans="1:14" outlineLevel="2">
      <c r="E187" s="50" t="s">
        <v>731</v>
      </c>
      <c r="F187" s="16" t="s">
        <v>732</v>
      </c>
      <c r="G187" s="16"/>
      <c r="H187" s="275"/>
      <c r="I187" s="847">
        <v>1</v>
      </c>
      <c r="J187" s="274">
        <f t="shared" si="24"/>
        <v>0</v>
      </c>
      <c r="K187" s="274">
        <f t="shared" si="25"/>
        <v>0</v>
      </c>
      <c r="M187" s="5"/>
      <c r="N187" s="5"/>
    </row>
    <row r="188" spans="1:14" outlineLevel="2">
      <c r="E188" s="50" t="s">
        <v>573</v>
      </c>
      <c r="F188" s="16"/>
      <c r="G188" s="16">
        <v>44700</v>
      </c>
      <c r="H188" s="275"/>
      <c r="I188" s="847"/>
      <c r="J188" s="274"/>
      <c r="K188" s="274"/>
      <c r="M188" s="5"/>
      <c r="N188" s="5"/>
    </row>
    <row r="189" spans="1:14" outlineLevel="2">
      <c r="E189" s="50" t="s">
        <v>574</v>
      </c>
      <c r="F189" s="16"/>
      <c r="G189" s="16">
        <v>21000</v>
      </c>
      <c r="H189" s="275"/>
      <c r="I189" s="851"/>
      <c r="J189" s="274"/>
      <c r="K189" s="274"/>
      <c r="M189" s="5"/>
      <c r="N189" s="5"/>
    </row>
    <row r="190" spans="1:14" outlineLevel="2">
      <c r="E190" s="50" t="s">
        <v>575</v>
      </c>
      <c r="F190" s="16"/>
      <c r="G190" s="16">
        <v>17600</v>
      </c>
      <c r="H190" s="275"/>
      <c r="I190" s="851"/>
      <c r="J190" s="274"/>
      <c r="K190" s="274"/>
      <c r="M190" s="5"/>
      <c r="N190" s="5"/>
    </row>
    <row r="191" spans="1:14" outlineLevel="2">
      <c r="E191" s="50" t="s">
        <v>494</v>
      </c>
      <c r="F191" s="16" t="s">
        <v>53</v>
      </c>
      <c r="G191" s="16"/>
      <c r="H191" s="275">
        <f>0.05*SUM(H181:H187)</f>
        <v>1020</v>
      </c>
      <c r="I191" s="847">
        <v>1</v>
      </c>
      <c r="J191" s="274">
        <f>I191*H191</f>
        <v>1020</v>
      </c>
      <c r="K191" s="274">
        <f>H191-J191</f>
        <v>0</v>
      </c>
      <c r="M191" s="5"/>
      <c r="N191" s="5"/>
    </row>
    <row r="192" spans="1:14" outlineLevel="2">
      <c r="E192" s="50"/>
      <c r="F192" s="16"/>
      <c r="G192" s="16"/>
      <c r="H192" s="849"/>
      <c r="I192" s="313"/>
      <c r="J192" s="274"/>
      <c r="K192" s="274"/>
      <c r="M192" s="5"/>
      <c r="N192" s="5"/>
    </row>
    <row r="193" spans="1:14" s="13" customFormat="1" outlineLevel="1">
      <c r="A193" s="13" t="s">
        <v>576</v>
      </c>
      <c r="B193" s="13" t="s">
        <v>1385</v>
      </c>
      <c r="C193" s="13" t="s">
        <v>1138</v>
      </c>
      <c r="D193" s="13" t="s">
        <v>720</v>
      </c>
      <c r="E193" s="50"/>
      <c r="F193" s="16"/>
      <c r="G193" s="276" t="s">
        <v>1401</v>
      </c>
      <c r="H193" s="279">
        <f>SUBTOTAL(9,H181:H192)</f>
        <v>21420</v>
      </c>
      <c r="I193" s="309"/>
      <c r="J193" s="279">
        <f>SUBTOTAL(9,J181:J192)</f>
        <v>21420</v>
      </c>
      <c r="K193" s="279">
        <f>SUBTOTAL(9,K181:K192)</f>
        <v>0</v>
      </c>
    </row>
    <row r="194" spans="1:14" s="13" customFormat="1" outlineLevel="1">
      <c r="A194" s="5" t="s">
        <v>201</v>
      </c>
      <c r="B194" s="5" t="s">
        <v>1385</v>
      </c>
      <c r="C194" s="5" t="s">
        <v>1138</v>
      </c>
      <c r="D194" s="5" t="s">
        <v>422</v>
      </c>
      <c r="E194" s="99" t="s">
        <v>422</v>
      </c>
      <c r="F194" s="88"/>
      <c r="G194" s="282"/>
      <c r="H194" s="848"/>
      <c r="I194" s="307"/>
      <c r="J194" s="289"/>
      <c r="K194" s="289"/>
    </row>
    <row r="195" spans="1:14" outlineLevel="2">
      <c r="A195" s="5" t="str">
        <f t="shared" ref="A195:A201" si="26">B195&amp;C195&amp;D195</f>
        <v>O&amp;M Mobilization BudgetProcurement ExpensesVehicles &amp; Mobile Equipment</v>
      </c>
      <c r="B195" s="5" t="s">
        <v>1385</v>
      </c>
      <c r="C195" s="5" t="s">
        <v>1138</v>
      </c>
      <c r="D195" s="5" t="s">
        <v>422</v>
      </c>
      <c r="E195" s="50" t="s">
        <v>202</v>
      </c>
      <c r="F195" s="16"/>
      <c r="G195" s="16" t="s">
        <v>203</v>
      </c>
      <c r="H195" s="275"/>
      <c r="I195" s="847">
        <v>1</v>
      </c>
      <c r="J195" s="274">
        <f>I195*H195</f>
        <v>0</v>
      </c>
      <c r="K195" s="274">
        <f>H195-J195</f>
        <v>0</v>
      </c>
      <c r="M195" s="5"/>
      <c r="N195" s="5"/>
    </row>
    <row r="196" spans="1:14" outlineLevel="2">
      <c r="A196" s="5" t="str">
        <f t="shared" si="26"/>
        <v>O&amp;M Mobilization BudgetProcurement ExpensesVehicles &amp; Mobile Equipment</v>
      </c>
      <c r="B196" s="5" t="s">
        <v>1385</v>
      </c>
      <c r="C196" s="5" t="s">
        <v>1138</v>
      </c>
      <c r="D196" s="5" t="s">
        <v>422</v>
      </c>
      <c r="E196" s="50" t="s">
        <v>204</v>
      </c>
      <c r="F196" s="16" t="s">
        <v>160</v>
      </c>
      <c r="G196" s="16" t="s">
        <v>161</v>
      </c>
      <c r="H196" s="275">
        <f>2000+6*700</f>
        <v>6200</v>
      </c>
      <c r="I196" s="847">
        <v>1</v>
      </c>
      <c r="J196" s="274">
        <f t="shared" ref="J196:J201" si="27">I196*H196</f>
        <v>6200</v>
      </c>
      <c r="K196" s="274">
        <f t="shared" ref="K196:K201" si="28">H196-J196</f>
        <v>0</v>
      </c>
      <c r="M196" s="5"/>
      <c r="N196" s="5"/>
    </row>
    <row r="197" spans="1:14" outlineLevel="2">
      <c r="E197" s="50" t="s">
        <v>205</v>
      </c>
      <c r="F197" s="16"/>
      <c r="G197" s="16" t="s">
        <v>206</v>
      </c>
      <c r="H197" s="275"/>
      <c r="I197" s="847">
        <v>1</v>
      </c>
      <c r="J197" s="274">
        <f t="shared" si="27"/>
        <v>0</v>
      </c>
      <c r="K197" s="274">
        <f t="shared" si="28"/>
        <v>0</v>
      </c>
      <c r="M197" s="5"/>
      <c r="N197" s="5"/>
    </row>
    <row r="198" spans="1:14" outlineLevel="2">
      <c r="A198" s="5" t="str">
        <f t="shared" si="26"/>
        <v>O&amp;M Mobilization BudgetProcurement ExpensesVehicles &amp; Mobile Equipment</v>
      </c>
      <c r="B198" s="5" t="s">
        <v>1385</v>
      </c>
      <c r="C198" s="5" t="s">
        <v>1138</v>
      </c>
      <c r="D198" s="5" t="s">
        <v>422</v>
      </c>
      <c r="E198" s="50" t="s">
        <v>207</v>
      </c>
      <c r="F198" s="16"/>
      <c r="G198" s="16" t="s">
        <v>208</v>
      </c>
      <c r="H198" s="275"/>
      <c r="I198" s="847">
        <v>1</v>
      </c>
      <c r="J198" s="274">
        <f t="shared" si="27"/>
        <v>0</v>
      </c>
      <c r="K198" s="274">
        <f t="shared" si="28"/>
        <v>0</v>
      </c>
      <c r="M198" s="5"/>
      <c r="N198" s="5"/>
    </row>
    <row r="199" spans="1:14" outlineLevel="2">
      <c r="E199" s="50" t="s">
        <v>209</v>
      </c>
      <c r="F199" s="16" t="s">
        <v>162</v>
      </c>
      <c r="G199" s="16" t="s">
        <v>163</v>
      </c>
      <c r="H199" s="275">
        <f>1000+500*4</f>
        <v>3000</v>
      </c>
      <c r="I199" s="847">
        <v>1</v>
      </c>
      <c r="J199" s="274">
        <f t="shared" si="27"/>
        <v>3000</v>
      </c>
      <c r="K199" s="274">
        <f t="shared" si="28"/>
        <v>0</v>
      </c>
      <c r="M199" s="5"/>
      <c r="N199" s="5"/>
    </row>
    <row r="200" spans="1:14" outlineLevel="2">
      <c r="E200" s="50" t="s">
        <v>210</v>
      </c>
      <c r="F200" s="16"/>
      <c r="G200" s="16" t="s">
        <v>211</v>
      </c>
      <c r="H200" s="275"/>
      <c r="I200" s="847">
        <v>1</v>
      </c>
      <c r="J200" s="274">
        <f t="shared" si="27"/>
        <v>0</v>
      </c>
      <c r="K200" s="274">
        <f t="shared" si="28"/>
        <v>0</v>
      </c>
      <c r="M200" s="5"/>
      <c r="N200" s="5"/>
    </row>
    <row r="201" spans="1:14" outlineLevel="2">
      <c r="A201" s="5" t="str">
        <f t="shared" si="26"/>
        <v>O&amp;M Mobilization BudgetProcurement ExpensesVehicles &amp; Mobile Equipment</v>
      </c>
      <c r="B201" s="5" t="s">
        <v>1385</v>
      </c>
      <c r="C201" s="5" t="s">
        <v>1138</v>
      </c>
      <c r="D201" s="5" t="s">
        <v>422</v>
      </c>
      <c r="E201" s="50" t="s">
        <v>212</v>
      </c>
      <c r="F201" s="16"/>
      <c r="G201" s="16" t="s">
        <v>213</v>
      </c>
      <c r="H201" s="275">
        <v>0</v>
      </c>
      <c r="I201" s="847">
        <v>1</v>
      </c>
      <c r="J201" s="274">
        <f t="shared" si="27"/>
        <v>0</v>
      </c>
      <c r="K201" s="274">
        <f t="shared" si="28"/>
        <v>0</v>
      </c>
      <c r="M201" s="5"/>
      <c r="N201" s="5"/>
    </row>
    <row r="202" spans="1:14" outlineLevel="2">
      <c r="E202" s="50" t="s">
        <v>214</v>
      </c>
      <c r="F202" s="16" t="s">
        <v>164</v>
      </c>
      <c r="G202" s="16" t="s">
        <v>215</v>
      </c>
      <c r="H202" s="275">
        <v>1000</v>
      </c>
      <c r="I202" s="847">
        <v>1</v>
      </c>
      <c r="J202" s="274">
        <f>I202*H202</f>
        <v>1000</v>
      </c>
      <c r="K202" s="274">
        <f>H202-J202</f>
        <v>0</v>
      </c>
      <c r="M202" s="5"/>
      <c r="N202" s="5"/>
    </row>
    <row r="203" spans="1:14" outlineLevel="2">
      <c r="E203" s="50" t="s">
        <v>216</v>
      </c>
      <c r="F203" s="16"/>
      <c r="G203" s="16"/>
      <c r="H203" s="275">
        <v>0</v>
      </c>
      <c r="I203" s="847">
        <v>1</v>
      </c>
      <c r="J203" s="274">
        <f>I203*H203</f>
        <v>0</v>
      </c>
      <c r="K203" s="274">
        <f>H203-J203</f>
        <v>0</v>
      </c>
      <c r="M203" s="5"/>
      <c r="N203" s="5"/>
    </row>
    <row r="204" spans="1:14" outlineLevel="2">
      <c r="E204" s="50" t="s">
        <v>217</v>
      </c>
      <c r="F204" s="16"/>
      <c r="G204" s="16" t="s">
        <v>218</v>
      </c>
      <c r="H204" s="275"/>
      <c r="I204" s="847">
        <v>1</v>
      </c>
      <c r="J204" s="274">
        <f t="shared" ref="J204:J209" si="29">I204*H204</f>
        <v>0</v>
      </c>
      <c r="K204" s="274">
        <f t="shared" ref="K204:K209" si="30">H204-J204</f>
        <v>0</v>
      </c>
      <c r="M204" s="5"/>
      <c r="N204" s="5"/>
    </row>
    <row r="205" spans="1:14" outlineLevel="2">
      <c r="E205" s="50" t="s">
        <v>219</v>
      </c>
      <c r="F205" s="16"/>
      <c r="G205" s="16" t="s">
        <v>220</v>
      </c>
      <c r="H205" s="275"/>
      <c r="I205" s="847">
        <v>1</v>
      </c>
      <c r="J205" s="274">
        <f t="shared" si="29"/>
        <v>0</v>
      </c>
      <c r="K205" s="274">
        <f t="shared" si="30"/>
        <v>0</v>
      </c>
      <c r="M205" s="5"/>
      <c r="N205" s="5"/>
    </row>
    <row r="206" spans="1:14" outlineLevel="2">
      <c r="E206" s="50" t="s">
        <v>221</v>
      </c>
      <c r="F206" s="16"/>
      <c r="G206" s="16" t="s">
        <v>222</v>
      </c>
      <c r="H206" s="275"/>
      <c r="I206" s="847">
        <v>1</v>
      </c>
      <c r="J206" s="274">
        <f t="shared" si="29"/>
        <v>0</v>
      </c>
      <c r="K206" s="274">
        <f t="shared" si="30"/>
        <v>0</v>
      </c>
      <c r="M206" s="5"/>
      <c r="N206" s="5"/>
    </row>
    <row r="207" spans="1:14" outlineLevel="2">
      <c r="A207" s="5" t="str">
        <f>B207&amp;C207&amp;D207</f>
        <v>O&amp;M Mobilization BudgetProcurement ExpensesVehicles &amp; Mobile Equipment</v>
      </c>
      <c r="B207" s="5" t="s">
        <v>1385</v>
      </c>
      <c r="C207" s="5" t="s">
        <v>1138</v>
      </c>
      <c r="D207" s="5" t="s">
        <v>422</v>
      </c>
      <c r="E207" s="50" t="s">
        <v>223</v>
      </c>
      <c r="F207" s="16"/>
      <c r="G207" s="16" t="s">
        <v>224</v>
      </c>
      <c r="H207" s="275"/>
      <c r="I207" s="847">
        <v>1</v>
      </c>
      <c r="J207" s="274">
        <f t="shared" si="29"/>
        <v>0</v>
      </c>
      <c r="K207" s="274">
        <f t="shared" si="30"/>
        <v>0</v>
      </c>
      <c r="M207" s="5"/>
      <c r="N207" s="5"/>
    </row>
    <row r="208" spans="1:14" outlineLevel="2">
      <c r="E208" s="50" t="s">
        <v>225</v>
      </c>
      <c r="F208" s="16"/>
      <c r="G208" s="16" t="s">
        <v>226</v>
      </c>
      <c r="H208" s="275">
        <v>0</v>
      </c>
      <c r="I208" s="847">
        <v>1</v>
      </c>
      <c r="J208" s="274">
        <f t="shared" si="29"/>
        <v>0</v>
      </c>
      <c r="K208" s="274">
        <f t="shared" si="30"/>
        <v>0</v>
      </c>
      <c r="M208" s="5"/>
      <c r="N208" s="5"/>
    </row>
    <row r="209" spans="1:14" outlineLevel="2">
      <c r="E209" s="50" t="s">
        <v>227</v>
      </c>
      <c r="F209" s="16"/>
      <c r="G209" s="16" t="s">
        <v>228</v>
      </c>
      <c r="H209" s="275">
        <v>0</v>
      </c>
      <c r="I209" s="847">
        <v>1</v>
      </c>
      <c r="J209" s="274">
        <f t="shared" si="29"/>
        <v>0</v>
      </c>
      <c r="K209" s="274">
        <f t="shared" si="30"/>
        <v>0</v>
      </c>
      <c r="M209" s="5"/>
      <c r="N209" s="5"/>
    </row>
    <row r="210" spans="1:14" outlineLevel="2">
      <c r="E210" s="50" t="s">
        <v>165</v>
      </c>
      <c r="F210" s="16"/>
      <c r="G210" s="16"/>
      <c r="H210" s="275">
        <v>2500</v>
      </c>
      <c r="I210" s="847">
        <v>1</v>
      </c>
      <c r="J210" s="274">
        <f>I210*H210</f>
        <v>2500</v>
      </c>
      <c r="K210" s="274">
        <f>H210-J210</f>
        <v>0</v>
      </c>
      <c r="M210" s="5"/>
      <c r="N210" s="5"/>
    </row>
    <row r="211" spans="1:14" outlineLevel="2">
      <c r="E211" s="50" t="s">
        <v>494</v>
      </c>
      <c r="F211" s="16" t="s">
        <v>53</v>
      </c>
      <c r="G211" s="16"/>
      <c r="H211" s="275">
        <f>0.05*SUM(H195:H208)</f>
        <v>510</v>
      </c>
      <c r="I211" s="847">
        <v>1</v>
      </c>
      <c r="J211" s="274">
        <f>I211*H211</f>
        <v>510</v>
      </c>
      <c r="K211" s="274"/>
      <c r="M211" s="5"/>
      <c r="N211" s="5"/>
    </row>
    <row r="212" spans="1:14" outlineLevel="2">
      <c r="E212" s="50"/>
      <c r="F212" s="16"/>
      <c r="G212" s="16"/>
      <c r="H212" s="275"/>
      <c r="I212" s="851"/>
      <c r="J212" s="274"/>
      <c r="K212" s="274"/>
      <c r="M212" s="5"/>
      <c r="N212" s="5"/>
    </row>
    <row r="213" spans="1:14" s="13" customFormat="1" outlineLevel="1">
      <c r="A213" s="13" t="s">
        <v>229</v>
      </c>
      <c r="B213" s="13" t="s">
        <v>1385</v>
      </c>
      <c r="C213" s="13" t="s">
        <v>1138</v>
      </c>
      <c r="D213" s="13" t="s">
        <v>422</v>
      </c>
      <c r="E213" s="50" t="s">
        <v>230</v>
      </c>
      <c r="F213" s="16"/>
      <c r="G213" s="276" t="s">
        <v>1401</v>
      </c>
      <c r="H213" s="279">
        <f>SUBTOTAL(9,H195:H211)</f>
        <v>13210</v>
      </c>
      <c r="I213" s="309"/>
      <c r="J213" s="279">
        <f>SUBTOTAL(9,J195:J211)</f>
        <v>13210</v>
      </c>
      <c r="K213" s="279">
        <f>SUBTOTAL(9,K195:K211)</f>
        <v>0</v>
      </c>
    </row>
    <row r="214" spans="1:14" s="13" customFormat="1" outlineLevel="1">
      <c r="A214" s="5" t="s">
        <v>231</v>
      </c>
      <c r="B214" s="5" t="s">
        <v>1385</v>
      </c>
      <c r="C214" s="5" t="s">
        <v>1138</v>
      </c>
      <c r="D214" s="5" t="s">
        <v>93</v>
      </c>
      <c r="E214" s="99" t="s">
        <v>93</v>
      </c>
      <c r="F214" s="88"/>
      <c r="G214" s="282"/>
      <c r="H214" s="848"/>
      <c r="I214" s="307"/>
      <c r="J214" s="289"/>
      <c r="K214" s="289"/>
    </row>
    <row r="215" spans="1:14" outlineLevel="2">
      <c r="A215" s="5" t="str">
        <f>B215&amp;C215&amp;D215</f>
        <v>O&amp;M Mobilization BudgetProcurement ExpensesWarehouse Furnishings &amp; Equipment</v>
      </c>
      <c r="B215" s="5" t="s">
        <v>1385</v>
      </c>
      <c r="C215" s="5" t="s">
        <v>1138</v>
      </c>
      <c r="D215" s="5" t="s">
        <v>93</v>
      </c>
      <c r="E215" s="50" t="s">
        <v>232</v>
      </c>
      <c r="F215" s="16" t="s">
        <v>233</v>
      </c>
      <c r="G215" s="16"/>
      <c r="H215" s="275">
        <v>9000</v>
      </c>
      <c r="I215" s="847">
        <v>1</v>
      </c>
      <c r="J215" s="274">
        <f>I215*H215</f>
        <v>9000</v>
      </c>
      <c r="K215" s="274">
        <f>H215-J215</f>
        <v>0</v>
      </c>
      <c r="M215" s="5"/>
      <c r="N215" s="5"/>
    </row>
    <row r="216" spans="1:14" outlineLevel="2">
      <c r="A216" s="5" t="str">
        <f>B216&amp;C216&amp;D216</f>
        <v>O&amp;M Mobilization BudgetProcurement ExpensesWarehouse Furnishings &amp; Equipment</v>
      </c>
      <c r="B216" s="5" t="s">
        <v>1385</v>
      </c>
      <c r="C216" s="5" t="s">
        <v>1138</v>
      </c>
      <c r="D216" s="5" t="s">
        <v>93</v>
      </c>
      <c r="E216" s="50" t="s">
        <v>234</v>
      </c>
      <c r="F216" s="16" t="s">
        <v>235</v>
      </c>
      <c r="G216" s="16"/>
      <c r="H216" s="275">
        <v>1500</v>
      </c>
      <c r="I216" s="847">
        <v>1</v>
      </c>
      <c r="J216" s="274">
        <f>I216*H216</f>
        <v>1500</v>
      </c>
      <c r="K216" s="274">
        <f>H216-J216</f>
        <v>0</v>
      </c>
      <c r="M216" s="5"/>
      <c r="N216" s="5"/>
    </row>
    <row r="217" spans="1:14" ht="14.25" customHeight="1" outlineLevel="2">
      <c r="A217" s="5" t="str">
        <f>B217&amp;C217&amp;D217</f>
        <v>O&amp;M Mobilization BudgetProcurement ExpensesWarehouse Furnishings &amp; Equipment</v>
      </c>
      <c r="B217" s="5" t="s">
        <v>1385</v>
      </c>
      <c r="C217" s="5" t="s">
        <v>1138</v>
      </c>
      <c r="D217" s="5" t="s">
        <v>93</v>
      </c>
      <c r="E217" s="50" t="s">
        <v>236</v>
      </c>
      <c r="F217" s="16" t="s">
        <v>237</v>
      </c>
      <c r="G217" s="16"/>
      <c r="H217" s="275"/>
      <c r="I217" s="847">
        <v>1</v>
      </c>
      <c r="J217" s="274">
        <f>I217*H217</f>
        <v>0</v>
      </c>
      <c r="K217" s="274">
        <f>H217-J217</f>
        <v>0</v>
      </c>
      <c r="M217" s="5"/>
      <c r="N217" s="5"/>
    </row>
    <row r="218" spans="1:14" outlineLevel="2">
      <c r="A218" s="5" t="str">
        <f>B218&amp;C218&amp;D218</f>
        <v>O&amp;M Mobilization BudgetProcurement ExpensesWarehouse Furnishings &amp; Equipment</v>
      </c>
      <c r="B218" s="5" t="s">
        <v>1385</v>
      </c>
      <c r="C218" s="5" t="s">
        <v>1138</v>
      </c>
      <c r="D218" s="5" t="s">
        <v>93</v>
      </c>
      <c r="E218" s="50" t="s">
        <v>238</v>
      </c>
      <c r="F218" s="16"/>
      <c r="G218" s="16"/>
      <c r="H218" s="275">
        <v>1000</v>
      </c>
      <c r="I218" s="847">
        <v>1</v>
      </c>
      <c r="J218" s="274">
        <f>I218*H218</f>
        <v>1000</v>
      </c>
      <c r="K218" s="274">
        <f>H218-J218</f>
        <v>0</v>
      </c>
      <c r="M218" s="5"/>
      <c r="N218" s="5"/>
    </row>
    <row r="219" spans="1:14" outlineLevel="2">
      <c r="E219" s="50" t="s">
        <v>494</v>
      </c>
      <c r="F219" s="16" t="s">
        <v>53</v>
      </c>
      <c r="G219" s="16"/>
      <c r="H219" s="275">
        <f>0.05*SUM(H215:H218)</f>
        <v>575</v>
      </c>
      <c r="I219" s="847">
        <v>1</v>
      </c>
      <c r="J219" s="274">
        <f>I219*H219</f>
        <v>575</v>
      </c>
      <c r="K219" s="274">
        <f>H219-J219</f>
        <v>0</v>
      </c>
      <c r="M219" s="5"/>
      <c r="N219" s="5"/>
    </row>
    <row r="220" spans="1:14" outlineLevel="2">
      <c r="E220" s="50"/>
      <c r="F220" s="16"/>
      <c r="G220" s="16"/>
      <c r="H220" s="275"/>
      <c r="I220" s="851"/>
      <c r="J220" s="274"/>
      <c r="K220" s="274"/>
      <c r="M220" s="5"/>
      <c r="N220" s="5"/>
    </row>
    <row r="221" spans="1:14" s="13" customFormat="1" outlineLevel="1">
      <c r="A221" s="13" t="s">
        <v>239</v>
      </c>
      <c r="B221" s="13" t="s">
        <v>1385</v>
      </c>
      <c r="C221" s="13" t="s">
        <v>1138</v>
      </c>
      <c r="D221" s="13" t="s">
        <v>93</v>
      </c>
      <c r="E221" s="50"/>
      <c r="F221" s="16"/>
      <c r="G221" s="276" t="s">
        <v>1401</v>
      </c>
      <c r="H221" s="279">
        <f>SUBTOTAL(9,H215:H220)</f>
        <v>12075</v>
      </c>
      <c r="I221" s="309"/>
      <c r="J221" s="279">
        <f>SUBTOTAL(9,J215:J220)</f>
        <v>12075</v>
      </c>
      <c r="K221" s="279">
        <f>SUBTOTAL(9,K215:K220)</f>
        <v>0</v>
      </c>
    </row>
    <row r="222" spans="1:14" s="13" customFormat="1" outlineLevel="1">
      <c r="A222" s="5" t="s">
        <v>240</v>
      </c>
      <c r="B222" s="5" t="s">
        <v>1385</v>
      </c>
      <c r="C222" s="5" t="s">
        <v>1138</v>
      </c>
      <c r="D222" s="5" t="s">
        <v>94</v>
      </c>
      <c r="E222" s="99" t="s">
        <v>94</v>
      </c>
      <c r="F222" s="88"/>
      <c r="G222" s="282"/>
      <c r="H222" s="848"/>
      <c r="I222" s="307"/>
      <c r="J222" s="289"/>
      <c r="K222" s="289"/>
    </row>
    <row r="223" spans="1:14" outlineLevel="2">
      <c r="A223" s="5" t="str">
        <f>B223&amp;C223&amp;D223</f>
        <v>O&amp;M Mobilization BudgetProcurement ExpensesLaboratory Equipment</v>
      </c>
      <c r="B223" s="5" t="s">
        <v>1385</v>
      </c>
      <c r="C223" s="5" t="s">
        <v>1138</v>
      </c>
      <c r="D223" s="5" t="s">
        <v>94</v>
      </c>
      <c r="E223" s="50" t="s">
        <v>241</v>
      </c>
      <c r="F223" s="16"/>
      <c r="G223" s="16"/>
      <c r="H223" s="275">
        <v>3000</v>
      </c>
      <c r="I223" s="847">
        <v>1</v>
      </c>
      <c r="J223" s="274">
        <f>I223*H223</f>
        <v>3000</v>
      </c>
      <c r="K223" s="274">
        <f>H223-J223</f>
        <v>0</v>
      </c>
      <c r="M223" s="5"/>
      <c r="N223" s="5"/>
    </row>
    <row r="224" spans="1:14" outlineLevel="2">
      <c r="E224" s="50" t="s">
        <v>242</v>
      </c>
      <c r="F224" s="16"/>
      <c r="G224" s="16"/>
      <c r="H224" s="275">
        <v>2000</v>
      </c>
      <c r="I224" s="847">
        <v>1</v>
      </c>
      <c r="J224" s="274">
        <f>I224*H224</f>
        <v>2000</v>
      </c>
      <c r="K224" s="274">
        <f>H224-J224</f>
        <v>0</v>
      </c>
      <c r="M224" s="5"/>
      <c r="N224" s="5"/>
    </row>
    <row r="225" spans="1:14" outlineLevel="2">
      <c r="E225" s="50" t="s">
        <v>243</v>
      </c>
      <c r="F225" s="16"/>
      <c r="G225" s="16"/>
      <c r="H225" s="275">
        <v>1000</v>
      </c>
      <c r="I225" s="847">
        <v>1</v>
      </c>
      <c r="J225" s="274">
        <f>I225*H225</f>
        <v>1000</v>
      </c>
      <c r="K225" s="274">
        <f>H225-J225</f>
        <v>0</v>
      </c>
      <c r="M225" s="5"/>
      <c r="N225" s="5"/>
    </row>
    <row r="226" spans="1:14" hidden="1" outlineLevel="2">
      <c r="E226" s="50" t="s">
        <v>244</v>
      </c>
      <c r="F226" s="16" t="s">
        <v>245</v>
      </c>
      <c r="G226" s="16"/>
      <c r="H226" s="275"/>
      <c r="I226" s="847">
        <v>1</v>
      </c>
      <c r="J226" s="274">
        <f>I226*H226</f>
        <v>0</v>
      </c>
      <c r="K226" s="274">
        <f>H226-J226</f>
        <v>0</v>
      </c>
      <c r="M226" s="5"/>
      <c r="N226" s="5"/>
    </row>
    <row r="227" spans="1:14" outlineLevel="2">
      <c r="E227" s="50" t="s">
        <v>494</v>
      </c>
      <c r="F227" s="16" t="s">
        <v>53</v>
      </c>
      <c r="G227" s="16"/>
      <c r="H227" s="275">
        <f>0.05*SUM(H223:H226)</f>
        <v>300</v>
      </c>
      <c r="I227" s="847">
        <v>1</v>
      </c>
      <c r="J227" s="274">
        <f>I227*H227</f>
        <v>300</v>
      </c>
      <c r="K227" s="274">
        <f>H227-J227</f>
        <v>0</v>
      </c>
      <c r="M227" s="5"/>
      <c r="N227" s="5"/>
    </row>
    <row r="228" spans="1:14" outlineLevel="2">
      <c r="E228" s="50"/>
      <c r="F228" s="16"/>
      <c r="G228" s="16"/>
      <c r="H228" s="850"/>
      <c r="I228" s="308"/>
      <c r="J228" s="274"/>
      <c r="K228" s="274"/>
      <c r="M228" s="5"/>
      <c r="N228" s="5"/>
    </row>
    <row r="229" spans="1:14" s="13" customFormat="1" outlineLevel="1">
      <c r="A229" s="13" t="s">
        <v>246</v>
      </c>
      <c r="B229" s="13" t="s">
        <v>1385</v>
      </c>
      <c r="C229" s="13" t="s">
        <v>1138</v>
      </c>
      <c r="D229" s="13" t="s">
        <v>94</v>
      </c>
      <c r="E229" s="50"/>
      <c r="F229" s="16"/>
      <c r="G229" s="276" t="s">
        <v>1401</v>
      </c>
      <c r="H229" s="279">
        <f>SUBTOTAL(9,H223:H228)</f>
        <v>6300</v>
      </c>
      <c r="I229" s="309"/>
      <c r="J229" s="279">
        <f>SUBTOTAL(9,J223:J228)</f>
        <v>6300</v>
      </c>
      <c r="K229" s="279">
        <f>SUBTOTAL(9,K223:K228)</f>
        <v>0</v>
      </c>
    </row>
    <row r="230" spans="1:14" s="13" customFormat="1" outlineLevel="1">
      <c r="A230" s="5" t="s">
        <v>770</v>
      </c>
      <c r="B230" s="5" t="s">
        <v>1385</v>
      </c>
      <c r="C230" s="5" t="s">
        <v>1138</v>
      </c>
      <c r="D230" s="5" t="s">
        <v>95</v>
      </c>
      <c r="E230" s="99" t="s">
        <v>95</v>
      </c>
      <c r="F230" s="88"/>
      <c r="G230" s="282"/>
      <c r="H230" s="848"/>
      <c r="I230" s="307"/>
      <c r="J230" s="289"/>
      <c r="K230" s="289"/>
    </row>
    <row r="231" spans="1:14" outlineLevel="2">
      <c r="A231" s="5" t="str">
        <f t="shared" ref="A231:A243" si="31">B231&amp;C231&amp;D231</f>
        <v>O&amp;M Mobilization BudgetProcurement ExpensesShop Tools &amp; Equipment</v>
      </c>
      <c r="B231" s="5" t="s">
        <v>1385</v>
      </c>
      <c r="C231" s="5" t="s">
        <v>1138</v>
      </c>
      <c r="D231" s="5" t="s">
        <v>95</v>
      </c>
      <c r="E231" s="202" t="s">
        <v>771</v>
      </c>
      <c r="F231" s="186" t="s">
        <v>772</v>
      </c>
      <c r="G231" s="186" t="s">
        <v>587</v>
      </c>
      <c r="H231" s="275">
        <f>2*1200</f>
        <v>2400</v>
      </c>
      <c r="I231" s="847">
        <v>1</v>
      </c>
      <c r="J231" s="274">
        <f>I231*H231</f>
        <v>2400</v>
      </c>
      <c r="K231" s="274">
        <f>H231-J231</f>
        <v>0</v>
      </c>
      <c r="L231"/>
      <c r="M231"/>
      <c r="N231" s="5"/>
    </row>
    <row r="232" spans="1:14" outlineLevel="2">
      <c r="A232" s="5" t="str">
        <f t="shared" si="31"/>
        <v>O&amp;M Mobilization BudgetProcurement ExpensesShop Tools &amp; Equipment</v>
      </c>
      <c r="B232" s="5" t="s">
        <v>1385</v>
      </c>
      <c r="C232" s="5" t="s">
        <v>1138</v>
      </c>
      <c r="D232" s="5" t="s">
        <v>95</v>
      </c>
      <c r="E232" s="202" t="s">
        <v>588</v>
      </c>
      <c r="F232" s="186" t="s">
        <v>772</v>
      </c>
      <c r="G232" s="284" t="s">
        <v>589</v>
      </c>
      <c r="H232" s="275">
        <v>3000</v>
      </c>
      <c r="I232" s="847">
        <v>1</v>
      </c>
      <c r="J232" s="274">
        <f t="shared" ref="J232:J275" si="32">I232*H232</f>
        <v>3000</v>
      </c>
      <c r="K232" s="274">
        <f t="shared" ref="K232:K275" si="33">H232-J232</f>
        <v>0</v>
      </c>
      <c r="L232"/>
      <c r="M232"/>
      <c r="N232" s="5"/>
    </row>
    <row r="233" spans="1:14" outlineLevel="2">
      <c r="A233" s="5" t="str">
        <f t="shared" si="31"/>
        <v>O&amp;M Mobilization BudgetProcurement ExpensesShop Tools &amp; Equipment</v>
      </c>
      <c r="B233" s="5" t="s">
        <v>1385</v>
      </c>
      <c r="C233" s="5" t="s">
        <v>1138</v>
      </c>
      <c r="D233" s="5" t="s">
        <v>95</v>
      </c>
      <c r="E233" s="202" t="s">
        <v>590</v>
      </c>
      <c r="F233" s="186"/>
      <c r="G233" s="285">
        <v>8000</v>
      </c>
      <c r="H233" s="275">
        <v>8000</v>
      </c>
      <c r="I233" s="847">
        <v>1</v>
      </c>
      <c r="J233" s="274">
        <f t="shared" si="32"/>
        <v>8000</v>
      </c>
      <c r="K233" s="274">
        <f t="shared" si="33"/>
        <v>0</v>
      </c>
      <c r="L233"/>
      <c r="M233"/>
      <c r="N233" s="5"/>
    </row>
    <row r="234" spans="1:14" outlineLevel="2">
      <c r="A234" s="5" t="str">
        <f t="shared" si="31"/>
        <v>O&amp;M Mobilization BudgetProcurement ExpensesShop Tools &amp; Equipment</v>
      </c>
      <c r="B234" s="5" t="s">
        <v>1385</v>
      </c>
      <c r="C234" s="5" t="s">
        <v>1138</v>
      </c>
      <c r="D234" s="5" t="s">
        <v>95</v>
      </c>
      <c r="E234" s="202" t="s">
        <v>591</v>
      </c>
      <c r="F234" s="186"/>
      <c r="G234" s="186" t="s">
        <v>592</v>
      </c>
      <c r="H234" s="275">
        <v>4000</v>
      </c>
      <c r="I234" s="847">
        <v>1</v>
      </c>
      <c r="J234" s="274">
        <f t="shared" si="32"/>
        <v>4000</v>
      </c>
      <c r="K234" s="274">
        <f t="shared" si="33"/>
        <v>0</v>
      </c>
      <c r="L234"/>
      <c r="M234"/>
      <c r="N234" s="5"/>
    </row>
    <row r="235" spans="1:14" outlineLevel="2">
      <c r="E235" s="202" t="s">
        <v>593</v>
      </c>
      <c r="F235" s="186"/>
      <c r="G235" s="186" t="s">
        <v>592</v>
      </c>
      <c r="H235" s="275">
        <v>1000</v>
      </c>
      <c r="I235" s="847">
        <v>1</v>
      </c>
      <c r="J235" s="274">
        <f t="shared" si="32"/>
        <v>1000</v>
      </c>
      <c r="K235" s="274">
        <f t="shared" si="33"/>
        <v>0</v>
      </c>
      <c r="L235"/>
      <c r="M235"/>
      <c r="N235" s="5"/>
    </row>
    <row r="236" spans="1:14" outlineLevel="2">
      <c r="A236" s="5" t="str">
        <f t="shared" si="31"/>
        <v>O&amp;M Mobilization BudgetProcurement ExpensesShop Tools &amp; Equipment</v>
      </c>
      <c r="B236" s="5" t="s">
        <v>1385</v>
      </c>
      <c r="C236" s="5" t="s">
        <v>1138</v>
      </c>
      <c r="D236" s="5" t="s">
        <v>95</v>
      </c>
      <c r="E236" s="202" t="s">
        <v>594</v>
      </c>
      <c r="F236" s="203" t="s">
        <v>595</v>
      </c>
      <c r="G236" s="204" t="s">
        <v>587</v>
      </c>
      <c r="H236" s="275"/>
      <c r="I236" s="847">
        <v>1</v>
      </c>
      <c r="J236" s="274">
        <f t="shared" si="32"/>
        <v>0</v>
      </c>
      <c r="K236" s="274">
        <f t="shared" si="33"/>
        <v>0</v>
      </c>
      <c r="L236"/>
      <c r="M236"/>
      <c r="N236" s="5"/>
    </row>
    <row r="237" spans="1:14" outlineLevel="2">
      <c r="A237" s="5" t="str">
        <f t="shared" si="31"/>
        <v>O&amp;M Mobilization BudgetProcurement ExpensesShop Tools &amp; Equipment</v>
      </c>
      <c r="B237" s="5" t="s">
        <v>1385</v>
      </c>
      <c r="C237" s="5" t="s">
        <v>1138</v>
      </c>
      <c r="D237" s="5" t="s">
        <v>95</v>
      </c>
      <c r="E237" s="202"/>
      <c r="F237" s="203" t="s">
        <v>596</v>
      </c>
      <c r="G237" s="204" t="s">
        <v>597</v>
      </c>
      <c r="H237" s="275"/>
      <c r="I237" s="847">
        <v>1</v>
      </c>
      <c r="J237" s="274">
        <f t="shared" si="32"/>
        <v>0</v>
      </c>
      <c r="K237" s="274">
        <f t="shared" si="33"/>
        <v>0</v>
      </c>
      <c r="L237"/>
      <c r="M237"/>
      <c r="N237" s="5"/>
    </row>
    <row r="238" spans="1:14" outlineLevel="2">
      <c r="A238" s="5" t="str">
        <f t="shared" si="31"/>
        <v>O&amp;M Mobilization BudgetProcurement ExpensesShop Tools &amp; Equipment</v>
      </c>
      <c r="B238" s="5" t="s">
        <v>1385</v>
      </c>
      <c r="C238" s="5" t="s">
        <v>1138</v>
      </c>
      <c r="D238" s="5" t="s">
        <v>95</v>
      </c>
      <c r="E238" s="202"/>
      <c r="F238" s="203" t="s">
        <v>598</v>
      </c>
      <c r="G238" s="204" t="s">
        <v>599</v>
      </c>
      <c r="H238" s="275">
        <v>960</v>
      </c>
      <c r="I238" s="847">
        <v>1</v>
      </c>
      <c r="J238" s="274">
        <f t="shared" si="32"/>
        <v>960</v>
      </c>
      <c r="K238" s="274">
        <f t="shared" si="33"/>
        <v>0</v>
      </c>
      <c r="L238"/>
      <c r="M238"/>
      <c r="N238" s="5"/>
    </row>
    <row r="239" spans="1:14" outlineLevel="2">
      <c r="E239" s="205"/>
      <c r="F239" s="206" t="s">
        <v>600</v>
      </c>
      <c r="G239" s="207" t="s">
        <v>601</v>
      </c>
      <c r="H239" s="275"/>
      <c r="I239" s="847">
        <v>1</v>
      </c>
      <c r="J239" s="274">
        <f t="shared" si="32"/>
        <v>0</v>
      </c>
      <c r="K239" s="274">
        <f t="shared" si="33"/>
        <v>0</v>
      </c>
      <c r="L239"/>
      <c r="M239"/>
      <c r="N239" s="5"/>
    </row>
    <row r="240" spans="1:14" outlineLevel="2">
      <c r="E240" s="208"/>
      <c r="F240" s="206" t="s">
        <v>602</v>
      </c>
      <c r="G240" s="207" t="s">
        <v>603</v>
      </c>
      <c r="H240" s="275">
        <v>2500</v>
      </c>
      <c r="I240" s="847">
        <v>1</v>
      </c>
      <c r="J240" s="274">
        <f t="shared" si="32"/>
        <v>2500</v>
      </c>
      <c r="K240" s="274">
        <f t="shared" si="33"/>
        <v>0</v>
      </c>
      <c r="L240"/>
      <c r="M240"/>
      <c r="N240" s="5"/>
    </row>
    <row r="241" spans="1:14" outlineLevel="2">
      <c r="E241" s="208"/>
      <c r="F241" s="206" t="s">
        <v>775</v>
      </c>
      <c r="G241" s="207" t="s">
        <v>592</v>
      </c>
      <c r="H241" s="275">
        <v>1000</v>
      </c>
      <c r="I241" s="847">
        <v>1</v>
      </c>
      <c r="J241" s="274">
        <f t="shared" si="32"/>
        <v>1000</v>
      </c>
      <c r="K241" s="274">
        <f t="shared" si="33"/>
        <v>0</v>
      </c>
      <c r="L241"/>
      <c r="M241"/>
      <c r="N241" s="5"/>
    </row>
    <row r="242" spans="1:14" outlineLevel="2">
      <c r="E242" s="202"/>
      <c r="F242" s="206" t="s">
        <v>776</v>
      </c>
      <c r="G242" s="207" t="s">
        <v>777</v>
      </c>
      <c r="H242" s="275"/>
      <c r="I242" s="847">
        <v>1</v>
      </c>
      <c r="J242" s="274">
        <f t="shared" si="32"/>
        <v>0</v>
      </c>
      <c r="K242" s="274">
        <f t="shared" si="33"/>
        <v>0</v>
      </c>
      <c r="L242"/>
      <c r="M242"/>
      <c r="N242" s="5"/>
    </row>
    <row r="243" spans="1:14" outlineLevel="2">
      <c r="A243" s="5" t="str">
        <f t="shared" si="31"/>
        <v>O&amp;M Mobilization BudgetProcurement ExpensesShop Tools &amp; Equipment</v>
      </c>
      <c r="B243" s="5" t="s">
        <v>1385</v>
      </c>
      <c r="C243" s="5" t="s">
        <v>1138</v>
      </c>
      <c r="D243" s="5" t="s">
        <v>95</v>
      </c>
      <c r="E243" s="202"/>
      <c r="F243" s="206" t="s">
        <v>778</v>
      </c>
      <c r="G243" s="207" t="s">
        <v>779</v>
      </c>
      <c r="H243" s="275">
        <v>900</v>
      </c>
      <c r="I243" s="847">
        <v>1</v>
      </c>
      <c r="J243" s="274">
        <f t="shared" si="32"/>
        <v>900</v>
      </c>
      <c r="K243" s="274">
        <f t="shared" si="33"/>
        <v>0</v>
      </c>
      <c r="L243"/>
      <c r="M243"/>
      <c r="N243" s="5"/>
    </row>
    <row r="244" spans="1:14" outlineLevel="2">
      <c r="E244" s="202"/>
      <c r="F244" s="206" t="s">
        <v>780</v>
      </c>
      <c r="G244" s="207" t="s">
        <v>781</v>
      </c>
      <c r="H244" s="275">
        <v>600</v>
      </c>
      <c r="I244" s="847">
        <v>1</v>
      </c>
      <c r="J244" s="274">
        <f t="shared" si="32"/>
        <v>600</v>
      </c>
      <c r="K244" s="274">
        <f t="shared" si="33"/>
        <v>0</v>
      </c>
      <c r="L244"/>
      <c r="M244"/>
      <c r="N244" s="5"/>
    </row>
    <row r="245" spans="1:14" outlineLevel="2">
      <c r="E245" s="208"/>
      <c r="F245" s="206" t="s">
        <v>782</v>
      </c>
      <c r="G245" s="207" t="s">
        <v>783</v>
      </c>
      <c r="H245" s="275">
        <v>1400</v>
      </c>
      <c r="I245" s="847">
        <v>1</v>
      </c>
      <c r="J245" s="274">
        <f t="shared" si="32"/>
        <v>1400</v>
      </c>
      <c r="K245" s="274">
        <f t="shared" si="33"/>
        <v>0</v>
      </c>
      <c r="L245"/>
      <c r="M245"/>
      <c r="N245" s="5"/>
    </row>
    <row r="246" spans="1:14" s="13" customFormat="1" outlineLevel="1">
      <c r="A246" s="13" t="s">
        <v>784</v>
      </c>
      <c r="B246" s="13" t="s">
        <v>1385</v>
      </c>
      <c r="C246" s="13" t="s">
        <v>1138</v>
      </c>
      <c r="D246" s="13" t="s">
        <v>95</v>
      </c>
      <c r="E246" s="208"/>
      <c r="F246" s="206" t="s">
        <v>785</v>
      </c>
      <c r="G246" s="207" t="s">
        <v>587</v>
      </c>
      <c r="H246" s="275"/>
      <c r="I246" s="847">
        <v>1</v>
      </c>
      <c r="J246" s="274">
        <f t="shared" si="32"/>
        <v>0</v>
      </c>
      <c r="K246" s="274">
        <f t="shared" si="33"/>
        <v>0</v>
      </c>
      <c r="L246"/>
      <c r="M246"/>
    </row>
    <row r="247" spans="1:14" s="13" customFormat="1" outlineLevel="1">
      <c r="A247" s="5" t="s">
        <v>790</v>
      </c>
      <c r="B247" s="5" t="s">
        <v>1385</v>
      </c>
      <c r="C247" s="5" t="s">
        <v>1138</v>
      </c>
      <c r="D247" s="5" t="s">
        <v>96</v>
      </c>
      <c r="E247" s="208"/>
      <c r="F247" s="206" t="s">
        <v>791</v>
      </c>
      <c r="G247" s="207" t="s">
        <v>792</v>
      </c>
      <c r="H247" s="275">
        <v>160</v>
      </c>
      <c r="I247" s="847">
        <v>1</v>
      </c>
      <c r="J247" s="274">
        <f t="shared" si="32"/>
        <v>160</v>
      </c>
      <c r="K247" s="274">
        <f t="shared" si="33"/>
        <v>0</v>
      </c>
      <c r="L247"/>
      <c r="M247"/>
    </row>
    <row r="248" spans="1:14" outlineLevel="2">
      <c r="A248" s="5" t="str">
        <f>B248&amp;C248&amp;D248</f>
        <v>O&amp;M Mobilization BudgetProcurement ExpensesChemicals, Lubricants, Hydraulic Fluids</v>
      </c>
      <c r="B248" s="5" t="s">
        <v>1385</v>
      </c>
      <c r="C248" s="5" t="s">
        <v>1138</v>
      </c>
      <c r="D248" s="5" t="s">
        <v>96</v>
      </c>
      <c r="E248" s="208"/>
      <c r="F248" s="206" t="s">
        <v>793</v>
      </c>
      <c r="G248" s="207" t="s">
        <v>794</v>
      </c>
      <c r="H248" s="275">
        <f>250*12</f>
        <v>3000</v>
      </c>
      <c r="I248" s="847">
        <v>1</v>
      </c>
      <c r="J248" s="274">
        <f t="shared" si="32"/>
        <v>3000</v>
      </c>
      <c r="K248" s="274">
        <f t="shared" si="33"/>
        <v>0</v>
      </c>
      <c r="L248"/>
      <c r="M248"/>
      <c r="N248" s="5"/>
    </row>
    <row r="249" spans="1:14" outlineLevel="2">
      <c r="A249" s="5" t="str">
        <f>B249&amp;C249&amp;D249</f>
        <v>O&amp;M Mobilization BudgetProcurement ExpensesChemicals, Lubricants, Hydraulic Fluids</v>
      </c>
      <c r="B249" s="5" t="s">
        <v>1385</v>
      </c>
      <c r="C249" s="5" t="s">
        <v>1138</v>
      </c>
      <c r="D249" s="5" t="s">
        <v>96</v>
      </c>
      <c r="E249" s="202"/>
      <c r="F249" s="206" t="s">
        <v>795</v>
      </c>
      <c r="G249" s="207" t="s">
        <v>796</v>
      </c>
      <c r="H249" s="275">
        <v>600</v>
      </c>
      <c r="I249" s="847">
        <v>1</v>
      </c>
      <c r="J249" s="274">
        <f t="shared" si="32"/>
        <v>600</v>
      </c>
      <c r="K249" s="274">
        <f t="shared" si="33"/>
        <v>0</v>
      </c>
      <c r="L249"/>
      <c r="M249"/>
      <c r="N249" s="5"/>
    </row>
    <row r="250" spans="1:14" outlineLevel="2">
      <c r="E250" s="202"/>
      <c r="F250" s="206" t="s">
        <v>797</v>
      </c>
      <c r="G250" s="207" t="s">
        <v>592</v>
      </c>
      <c r="H250" s="275">
        <v>1000</v>
      </c>
      <c r="I250" s="847">
        <v>1</v>
      </c>
      <c r="J250" s="274">
        <f t="shared" si="32"/>
        <v>1000</v>
      </c>
      <c r="K250" s="274">
        <f t="shared" si="33"/>
        <v>0</v>
      </c>
      <c r="L250"/>
      <c r="M250"/>
      <c r="N250" s="5"/>
    </row>
    <row r="251" spans="1:14" outlineLevel="2">
      <c r="E251" s="202"/>
      <c r="F251" s="206" t="s">
        <v>798</v>
      </c>
      <c r="G251" s="207" t="s">
        <v>799</v>
      </c>
      <c r="H251" s="275">
        <v>400</v>
      </c>
      <c r="I251" s="847">
        <v>1</v>
      </c>
      <c r="J251" s="274">
        <f t="shared" si="32"/>
        <v>400</v>
      </c>
      <c r="K251" s="274">
        <f t="shared" si="33"/>
        <v>0</v>
      </c>
      <c r="L251"/>
      <c r="M251"/>
      <c r="N251" s="5"/>
    </row>
    <row r="252" spans="1:14" s="13" customFormat="1" outlineLevel="1">
      <c r="A252" s="13" t="s">
        <v>800</v>
      </c>
      <c r="B252" s="13" t="s">
        <v>1385</v>
      </c>
      <c r="C252" s="13" t="s">
        <v>1138</v>
      </c>
      <c r="D252" s="13" t="s">
        <v>96</v>
      </c>
      <c r="E252" s="202"/>
      <c r="F252" s="206" t="s">
        <v>801</v>
      </c>
      <c r="G252" s="207" t="s">
        <v>802</v>
      </c>
      <c r="H252" s="275">
        <v>2375</v>
      </c>
      <c r="I252" s="847">
        <v>1</v>
      </c>
      <c r="J252" s="274">
        <f t="shared" si="32"/>
        <v>2375</v>
      </c>
      <c r="K252" s="274">
        <f t="shared" si="33"/>
        <v>0</v>
      </c>
      <c r="L252"/>
      <c r="M252"/>
    </row>
    <row r="253" spans="1:14" s="13" customFormat="1" outlineLevel="1">
      <c r="A253" s="5" t="s">
        <v>803</v>
      </c>
      <c r="B253" s="5" t="s">
        <v>1385</v>
      </c>
      <c r="C253" s="5" t="s">
        <v>608</v>
      </c>
      <c r="D253" s="5"/>
      <c r="E253" s="202"/>
      <c r="F253" s="206" t="s">
        <v>804</v>
      </c>
      <c r="G253" s="207" t="s">
        <v>805</v>
      </c>
      <c r="H253" s="275">
        <v>3100</v>
      </c>
      <c r="I253" s="847">
        <v>1</v>
      </c>
      <c r="J253" s="274">
        <f t="shared" si="32"/>
        <v>3100</v>
      </c>
      <c r="K253" s="274">
        <f t="shared" si="33"/>
        <v>0</v>
      </c>
      <c r="L253"/>
      <c r="M253"/>
    </row>
    <row r="254" spans="1:14" outlineLevel="2">
      <c r="A254" s="5" t="str">
        <f>B254&amp;C254&amp;D254</f>
        <v>O&amp;M Mobilization BudgetO&amp;M Mobilization Fee</v>
      </c>
      <c r="B254" s="5" t="s">
        <v>1385</v>
      </c>
      <c r="C254" s="5" t="s">
        <v>608</v>
      </c>
      <c r="E254" s="202"/>
      <c r="F254" s="206" t="s">
        <v>806</v>
      </c>
      <c r="G254" s="207" t="s">
        <v>807</v>
      </c>
      <c r="H254" s="275"/>
      <c r="I254" s="847">
        <v>1</v>
      </c>
      <c r="J254" s="274">
        <f t="shared" si="32"/>
        <v>0</v>
      </c>
      <c r="K254" s="274">
        <f t="shared" si="33"/>
        <v>0</v>
      </c>
      <c r="L254"/>
      <c r="M254"/>
      <c r="N254" s="5"/>
    </row>
    <row r="255" spans="1:14" outlineLevel="2">
      <c r="E255" s="202"/>
      <c r="F255" s="206" t="s">
        <v>808</v>
      </c>
      <c r="G255" s="207" t="s">
        <v>794</v>
      </c>
      <c r="H255" s="275">
        <v>250</v>
      </c>
      <c r="I255" s="847">
        <v>1</v>
      </c>
      <c r="J255" s="274">
        <f t="shared" si="32"/>
        <v>250</v>
      </c>
      <c r="K255" s="274">
        <f t="shared" si="33"/>
        <v>0</v>
      </c>
      <c r="L255"/>
      <c r="M255"/>
      <c r="N255" s="5"/>
    </row>
    <row r="256" spans="1:14" outlineLevel="2">
      <c r="E256" s="202"/>
      <c r="F256" s="206" t="s">
        <v>809</v>
      </c>
      <c r="G256" s="207" t="s">
        <v>592</v>
      </c>
      <c r="H256" s="275">
        <v>1000</v>
      </c>
      <c r="I256" s="847">
        <v>1</v>
      </c>
      <c r="J256" s="274">
        <f t="shared" si="32"/>
        <v>1000</v>
      </c>
      <c r="K256" s="274">
        <f t="shared" si="33"/>
        <v>0</v>
      </c>
      <c r="L256"/>
      <c r="M256"/>
      <c r="N256" s="5"/>
    </row>
    <row r="257" spans="1:14" outlineLevel="2">
      <c r="E257" s="202"/>
      <c r="F257" s="206" t="s">
        <v>810</v>
      </c>
      <c r="G257" s="207" t="s">
        <v>811</v>
      </c>
      <c r="H257" s="275">
        <v>5000</v>
      </c>
      <c r="I257" s="847">
        <v>1</v>
      </c>
      <c r="J257" s="274">
        <f t="shared" si="32"/>
        <v>5000</v>
      </c>
      <c r="K257" s="274">
        <f t="shared" si="33"/>
        <v>0</v>
      </c>
      <c r="L257"/>
      <c r="M257"/>
      <c r="N257" s="5"/>
    </row>
    <row r="258" spans="1:14" s="13" customFormat="1" outlineLevel="1">
      <c r="A258" s="13" t="s">
        <v>812</v>
      </c>
      <c r="B258" s="13" t="s">
        <v>1385</v>
      </c>
      <c r="C258" s="13" t="s">
        <v>608</v>
      </c>
      <c r="E258" s="202" t="s">
        <v>813</v>
      </c>
      <c r="F258" s="206" t="s">
        <v>814</v>
      </c>
      <c r="G258" s="207" t="s">
        <v>815</v>
      </c>
      <c r="H258" s="275">
        <v>500</v>
      </c>
      <c r="I258" s="847">
        <v>1</v>
      </c>
      <c r="J258" s="274">
        <f t="shared" si="32"/>
        <v>500</v>
      </c>
      <c r="K258" s="274">
        <f t="shared" si="33"/>
        <v>0</v>
      </c>
      <c r="L258"/>
      <c r="M258"/>
    </row>
    <row r="259" spans="1:14" s="13" customFormat="1" outlineLevel="1">
      <c r="A259" s="5" t="s">
        <v>816</v>
      </c>
      <c r="B259" s="5" t="s">
        <v>1385</v>
      </c>
      <c r="C259" s="5" t="s">
        <v>817</v>
      </c>
      <c r="D259" s="5"/>
      <c r="E259" s="202"/>
      <c r="F259" s="206" t="s">
        <v>818</v>
      </c>
      <c r="G259" s="207" t="s">
        <v>811</v>
      </c>
      <c r="H259" s="275">
        <v>5000</v>
      </c>
      <c r="I259" s="847">
        <v>1</v>
      </c>
      <c r="J259" s="274">
        <f t="shared" si="32"/>
        <v>5000</v>
      </c>
      <c r="K259" s="274">
        <f t="shared" si="33"/>
        <v>0</v>
      </c>
      <c r="L259"/>
      <c r="M259"/>
    </row>
    <row r="260" spans="1:14" outlineLevel="2">
      <c r="A260" s="5" t="str">
        <f>B260&amp;C260&amp;D260</f>
        <v>O&amp;M Mobilization BudgetOwner Optional Items</v>
      </c>
      <c r="B260" s="5" t="s">
        <v>1385</v>
      </c>
      <c r="C260" s="5" t="s">
        <v>817</v>
      </c>
      <c r="E260" s="202"/>
      <c r="F260" s="206" t="s">
        <v>819</v>
      </c>
      <c r="G260" s="207" t="s">
        <v>777</v>
      </c>
      <c r="H260" s="275">
        <v>1800</v>
      </c>
      <c r="I260" s="847">
        <v>1</v>
      </c>
      <c r="J260" s="274">
        <f t="shared" si="32"/>
        <v>1800</v>
      </c>
      <c r="K260" s="274">
        <f t="shared" si="33"/>
        <v>0</v>
      </c>
      <c r="L260"/>
      <c r="M260"/>
      <c r="N260" s="5"/>
    </row>
    <row r="261" spans="1:14" outlineLevel="2">
      <c r="E261" s="202"/>
      <c r="F261" s="206" t="s">
        <v>820</v>
      </c>
      <c r="G261" s="207" t="s">
        <v>601</v>
      </c>
      <c r="H261" s="275"/>
      <c r="I261" s="847">
        <v>1</v>
      </c>
      <c r="J261" s="274">
        <f t="shared" si="32"/>
        <v>0</v>
      </c>
      <c r="K261" s="274">
        <f t="shared" si="33"/>
        <v>0</v>
      </c>
      <c r="L261"/>
      <c r="M261"/>
      <c r="N261" s="5"/>
    </row>
    <row r="262" spans="1:14" outlineLevel="2">
      <c r="E262" s="202"/>
      <c r="F262" s="206" t="s">
        <v>821</v>
      </c>
      <c r="G262" s="207" t="s">
        <v>822</v>
      </c>
      <c r="H262" s="275"/>
      <c r="I262" s="847">
        <v>1</v>
      </c>
      <c r="J262" s="274">
        <f t="shared" si="32"/>
        <v>0</v>
      </c>
      <c r="K262" s="274">
        <f t="shared" si="33"/>
        <v>0</v>
      </c>
      <c r="L262"/>
      <c r="M262"/>
      <c r="N262" s="5"/>
    </row>
    <row r="263" spans="1:14" outlineLevel="2">
      <c r="E263" s="202"/>
      <c r="F263" s="206" t="s">
        <v>823</v>
      </c>
      <c r="G263" s="207" t="s">
        <v>824</v>
      </c>
      <c r="H263" s="275">
        <v>700</v>
      </c>
      <c r="I263" s="847">
        <v>1</v>
      </c>
      <c r="J263" s="274">
        <f t="shared" si="32"/>
        <v>700</v>
      </c>
      <c r="K263" s="274">
        <f t="shared" si="33"/>
        <v>0</v>
      </c>
      <c r="L263"/>
      <c r="M263"/>
      <c r="N263" s="5"/>
    </row>
    <row r="264" spans="1:14" s="13" customFormat="1" outlineLevel="1">
      <c r="A264" s="13" t="s">
        <v>825</v>
      </c>
      <c r="B264" s="13" t="s">
        <v>1385</v>
      </c>
      <c r="C264" s="13" t="s">
        <v>817</v>
      </c>
      <c r="E264" s="202"/>
      <c r="F264" s="206" t="s">
        <v>826</v>
      </c>
      <c r="G264" s="207" t="s">
        <v>827</v>
      </c>
      <c r="H264" s="275">
        <v>950</v>
      </c>
      <c r="I264" s="847">
        <v>1</v>
      </c>
      <c r="J264" s="274">
        <f t="shared" si="32"/>
        <v>950</v>
      </c>
      <c r="K264" s="274">
        <f t="shared" si="33"/>
        <v>0</v>
      </c>
      <c r="L264"/>
      <c r="M264"/>
    </row>
    <row r="265" spans="1:14" s="13" customFormat="1" outlineLevel="1">
      <c r="E265" s="202"/>
      <c r="F265" s="206" t="s">
        <v>828</v>
      </c>
      <c r="G265" s="207" t="s">
        <v>829</v>
      </c>
      <c r="H265" s="275">
        <v>5700</v>
      </c>
      <c r="I265" s="847">
        <v>1</v>
      </c>
      <c r="J265" s="274">
        <f t="shared" si="32"/>
        <v>5700</v>
      </c>
      <c r="K265" s="274">
        <f t="shared" si="33"/>
        <v>0</v>
      </c>
      <c r="L265"/>
      <c r="M265"/>
    </row>
    <row r="266" spans="1:14" s="13" customFormat="1" outlineLevel="1">
      <c r="E266" s="202"/>
      <c r="F266" s="206" t="s">
        <v>830</v>
      </c>
      <c r="G266" s="207" t="s">
        <v>796</v>
      </c>
      <c r="H266" s="275"/>
      <c r="I266" s="847">
        <v>1</v>
      </c>
      <c r="J266" s="274">
        <f t="shared" si="32"/>
        <v>0</v>
      </c>
      <c r="K266" s="274">
        <f t="shared" si="33"/>
        <v>0</v>
      </c>
      <c r="L266"/>
      <c r="M266"/>
    </row>
    <row r="267" spans="1:14" s="13" customFormat="1" outlineLevel="1">
      <c r="E267" s="202"/>
      <c r="F267" s="206" t="s">
        <v>831</v>
      </c>
      <c r="G267" s="207" t="s">
        <v>832</v>
      </c>
      <c r="H267" s="275">
        <v>700</v>
      </c>
      <c r="I267" s="847">
        <v>1</v>
      </c>
      <c r="J267" s="274">
        <f t="shared" si="32"/>
        <v>700</v>
      </c>
      <c r="K267" s="274">
        <f t="shared" si="33"/>
        <v>0</v>
      </c>
      <c r="L267"/>
      <c r="M267"/>
    </row>
    <row r="268" spans="1:14" s="13" customFormat="1" outlineLevel="1">
      <c r="E268" s="202"/>
      <c r="F268" s="206" t="s">
        <v>833</v>
      </c>
      <c r="G268" s="207" t="s">
        <v>834</v>
      </c>
      <c r="H268" s="275">
        <v>1000</v>
      </c>
      <c r="I268" s="847">
        <v>1</v>
      </c>
      <c r="J268" s="274">
        <f t="shared" si="32"/>
        <v>1000</v>
      </c>
      <c r="K268" s="274">
        <f t="shared" si="33"/>
        <v>0</v>
      </c>
      <c r="L268"/>
      <c r="M268"/>
    </row>
    <row r="269" spans="1:14" s="13" customFormat="1" outlineLevel="1">
      <c r="E269" s="202"/>
      <c r="F269" s="206" t="s">
        <v>835</v>
      </c>
      <c r="G269" s="207" t="s">
        <v>836</v>
      </c>
      <c r="H269" s="275"/>
      <c r="I269" s="847">
        <v>1</v>
      </c>
      <c r="J269" s="274">
        <f t="shared" si="32"/>
        <v>0</v>
      </c>
      <c r="K269" s="274">
        <f t="shared" si="33"/>
        <v>0</v>
      </c>
      <c r="L269"/>
      <c r="M269"/>
    </row>
    <row r="270" spans="1:14" s="13" customFormat="1" outlineLevel="1">
      <c r="E270" s="208"/>
      <c r="F270" s="206" t="s">
        <v>837</v>
      </c>
      <c r="G270" s="207" t="s">
        <v>838</v>
      </c>
      <c r="H270" s="275">
        <v>4065</v>
      </c>
      <c r="I270" s="847">
        <v>1</v>
      </c>
      <c r="J270" s="274">
        <f t="shared" si="32"/>
        <v>4065</v>
      </c>
      <c r="K270" s="274">
        <f t="shared" si="33"/>
        <v>0</v>
      </c>
      <c r="L270"/>
      <c r="M270"/>
    </row>
    <row r="271" spans="1:14" s="13" customFormat="1" outlineLevel="1">
      <c r="E271" s="208"/>
      <c r="F271" s="206" t="s">
        <v>839</v>
      </c>
      <c r="G271" s="207" t="s">
        <v>840</v>
      </c>
      <c r="H271" s="275"/>
      <c r="I271" s="847">
        <v>1</v>
      </c>
      <c r="J271" s="274">
        <f t="shared" si="32"/>
        <v>0</v>
      </c>
      <c r="K271" s="274">
        <f t="shared" si="33"/>
        <v>0</v>
      </c>
      <c r="L271"/>
      <c r="M271"/>
    </row>
    <row r="272" spans="1:14" s="13" customFormat="1" outlineLevel="1">
      <c r="E272" s="202" t="s">
        <v>841</v>
      </c>
      <c r="F272" s="206" t="s">
        <v>842</v>
      </c>
      <c r="G272" s="207" t="s">
        <v>843</v>
      </c>
      <c r="H272" s="275"/>
      <c r="I272" s="847">
        <v>1</v>
      </c>
      <c r="J272" s="274">
        <f t="shared" si="32"/>
        <v>0</v>
      </c>
      <c r="K272" s="274">
        <f t="shared" si="33"/>
        <v>0</v>
      </c>
      <c r="L272"/>
      <c r="M272"/>
    </row>
    <row r="273" spans="1:14" s="13" customFormat="1" outlineLevel="1">
      <c r="A273" s="5" t="s">
        <v>844</v>
      </c>
      <c r="B273" s="5" t="s">
        <v>1385</v>
      </c>
      <c r="C273" s="5" t="s">
        <v>845</v>
      </c>
      <c r="D273" s="5"/>
      <c r="E273" s="202"/>
      <c r="F273" s="206" t="s">
        <v>846</v>
      </c>
      <c r="G273" s="207" t="s">
        <v>847</v>
      </c>
      <c r="H273" s="275"/>
      <c r="I273" s="847">
        <v>1</v>
      </c>
      <c r="J273" s="274">
        <f t="shared" si="32"/>
        <v>0</v>
      </c>
      <c r="K273" s="274">
        <f t="shared" si="33"/>
        <v>0</v>
      </c>
      <c r="L273"/>
      <c r="M273"/>
    </row>
    <row r="274" spans="1:14" outlineLevel="2">
      <c r="A274" s="5" t="str">
        <f>B274&amp;C274&amp;D274</f>
        <v>O&amp;M Mobilization BudgetCapital, Operating and BOP Spares (1998$)</v>
      </c>
      <c r="B274" s="5" t="s">
        <v>1385</v>
      </c>
      <c r="C274" s="5" t="s">
        <v>848</v>
      </c>
      <c r="E274" s="202"/>
      <c r="F274" s="206" t="s">
        <v>849</v>
      </c>
      <c r="G274" s="207" t="s">
        <v>850</v>
      </c>
      <c r="H274" s="275"/>
      <c r="I274" s="847">
        <v>1</v>
      </c>
      <c r="J274" s="274">
        <f t="shared" si="32"/>
        <v>0</v>
      </c>
      <c r="K274" s="274">
        <f t="shared" si="33"/>
        <v>0</v>
      </c>
      <c r="L274"/>
      <c r="M274"/>
      <c r="N274" s="5"/>
    </row>
    <row r="275" spans="1:14" outlineLevel="2">
      <c r="E275" s="202"/>
      <c r="F275" s="206" t="s">
        <v>851</v>
      </c>
      <c r="G275" s="207" t="s">
        <v>852</v>
      </c>
      <c r="H275" s="275">
        <v>1795</v>
      </c>
      <c r="I275" s="847">
        <v>1</v>
      </c>
      <c r="J275" s="274">
        <f t="shared" si="32"/>
        <v>1795</v>
      </c>
      <c r="K275" s="274">
        <f t="shared" si="33"/>
        <v>0</v>
      </c>
      <c r="L275"/>
      <c r="M275"/>
      <c r="N275" s="5"/>
    </row>
    <row r="276" spans="1:14" outlineLevel="2">
      <c r="E276" s="202"/>
      <c r="F276" s="186"/>
      <c r="G276" s="186"/>
      <c r="H276" s="275"/>
      <c r="I276" s="852"/>
      <c r="J276" s="277"/>
      <c r="K276" s="277"/>
      <c r="L276"/>
      <c r="M276"/>
      <c r="N276" s="5"/>
    </row>
    <row r="277" spans="1:14" outlineLevel="2">
      <c r="E277" s="202" t="s">
        <v>494</v>
      </c>
      <c r="F277" s="209">
        <v>0.05</v>
      </c>
      <c r="G277" s="186"/>
      <c r="H277" s="275">
        <f>0.05*SUM(H231:H276)</f>
        <v>3242.75</v>
      </c>
      <c r="I277" s="847">
        <v>1</v>
      </c>
      <c r="J277" s="274">
        <f>I277*H277</f>
        <v>3242.75</v>
      </c>
      <c r="K277" s="274">
        <f>H277-J277</f>
        <v>0</v>
      </c>
      <c r="L277"/>
      <c r="M277"/>
      <c r="N277" s="5"/>
    </row>
    <row r="278" spans="1:14" s="13" customFormat="1" outlineLevel="1">
      <c r="A278" s="13" t="s">
        <v>853</v>
      </c>
      <c r="B278" s="13" t="s">
        <v>1385</v>
      </c>
      <c r="C278" s="13" t="s">
        <v>848</v>
      </c>
      <c r="E278" s="202"/>
      <c r="F278" s="186"/>
      <c r="G278" s="186"/>
      <c r="H278" s="853"/>
      <c r="I278" s="311"/>
      <c r="J278" s="277"/>
      <c r="K278" s="277"/>
      <c r="L278"/>
      <c r="M278"/>
    </row>
    <row r="279" spans="1:14" s="13" customFormat="1">
      <c r="E279" s="210"/>
      <c r="F279" s="211"/>
      <c r="G279" s="286" t="s">
        <v>1401</v>
      </c>
      <c r="H279" s="278">
        <f>SUBTOTAL(9,H231:H278)</f>
        <v>68097.75</v>
      </c>
      <c r="I279" s="312"/>
      <c r="J279" s="278">
        <f>SUBTOTAL(9,J231:J278)</f>
        <v>68097.75</v>
      </c>
      <c r="K279" s="278">
        <f>SUBTOTAL(9,K231:K278)</f>
        <v>0</v>
      </c>
      <c r="L279"/>
      <c r="M279"/>
    </row>
    <row r="280" spans="1:14">
      <c r="E280" s="99" t="s">
        <v>96</v>
      </c>
      <c r="F280" s="88"/>
      <c r="G280" s="282"/>
      <c r="H280" s="289"/>
      <c r="I280" s="307"/>
      <c r="J280" s="289"/>
      <c r="K280" s="289"/>
      <c r="L280" s="13"/>
    </row>
    <row r="281" spans="1:14">
      <c r="E281" s="50" t="s">
        <v>854</v>
      </c>
      <c r="F281" s="16" t="s">
        <v>855</v>
      </c>
      <c r="G281" s="16"/>
      <c r="H281" s="274">
        <f>'O&amp;M Backup_Detail'!D125/12</f>
        <v>50359.972919563101</v>
      </c>
      <c r="I281" s="316">
        <v>1</v>
      </c>
      <c r="J281" s="274">
        <f>I281*H281</f>
        <v>50359.972919563101</v>
      </c>
      <c r="K281" s="274">
        <f>H281-J281</f>
        <v>0</v>
      </c>
    </row>
    <row r="282" spans="1:14">
      <c r="E282" s="50"/>
      <c r="F282" s="16"/>
      <c r="G282" s="16"/>
      <c r="H282" s="274"/>
      <c r="I282" s="313"/>
      <c r="J282" s="274">
        <f>H282-K282</f>
        <v>0</v>
      </c>
      <c r="K282" s="274"/>
    </row>
    <row r="283" spans="1:14">
      <c r="E283" s="50" t="s">
        <v>494</v>
      </c>
      <c r="F283" s="16" t="s">
        <v>856</v>
      </c>
      <c r="G283" s="16"/>
      <c r="H283" s="274"/>
      <c r="I283" s="313"/>
      <c r="J283" s="274">
        <f>H283-K283</f>
        <v>0</v>
      </c>
      <c r="K283" s="274"/>
    </row>
    <row r="284" spans="1:14">
      <c r="E284" s="50"/>
      <c r="F284" s="16"/>
      <c r="G284" s="16"/>
      <c r="H284" s="274"/>
      <c r="I284" s="313"/>
      <c r="J284" s="274"/>
      <c r="K284" s="274"/>
    </row>
    <row r="285" spans="1:14">
      <c r="E285" s="50"/>
      <c r="F285" s="16"/>
      <c r="G285" s="276" t="s">
        <v>1401</v>
      </c>
      <c r="H285" s="279">
        <f>SUBTOTAL(9,H281:H284)</f>
        <v>50359.972919563101</v>
      </c>
      <c r="I285" s="309"/>
      <c r="J285" s="279">
        <f>SUBTOTAL(9,J281:J284)</f>
        <v>50359.972919563101</v>
      </c>
      <c r="K285" s="279">
        <f>SUBTOTAL(9,K281:K284)</f>
        <v>0</v>
      </c>
      <c r="L285" s="13"/>
    </row>
    <row r="286" spans="1:14">
      <c r="E286" s="99" t="s">
        <v>608</v>
      </c>
      <c r="F286" s="88"/>
      <c r="G286" s="282"/>
      <c r="H286" s="289"/>
      <c r="I286" s="307"/>
      <c r="J286" s="289"/>
      <c r="K286" s="289"/>
      <c r="L286" s="13"/>
    </row>
    <row r="287" spans="1:14">
      <c r="E287" s="50" t="s">
        <v>857</v>
      </c>
      <c r="F287" s="16" t="s">
        <v>858</v>
      </c>
      <c r="G287" s="16" t="s">
        <v>859</v>
      </c>
      <c r="H287" s="297">
        <v>0.1</v>
      </c>
      <c r="I287" s="316"/>
      <c r="J287" s="274">
        <f>H287-K287</f>
        <v>0</v>
      </c>
      <c r="K287" s="274">
        <f>H287</f>
        <v>0.1</v>
      </c>
    </row>
    <row r="288" spans="1:14">
      <c r="E288" s="50" t="s">
        <v>860</v>
      </c>
      <c r="F288" s="16" t="s">
        <v>861</v>
      </c>
      <c r="G288" s="16" t="s">
        <v>862</v>
      </c>
      <c r="H288" s="275"/>
      <c r="I288" s="308"/>
      <c r="J288" s="274">
        <f>H288-K288</f>
        <v>0</v>
      </c>
      <c r="K288" s="274"/>
    </row>
    <row r="289" spans="5:12">
      <c r="E289" s="50" t="s">
        <v>863</v>
      </c>
      <c r="F289" s="16" t="s">
        <v>864</v>
      </c>
      <c r="G289" s="16" t="s">
        <v>865</v>
      </c>
      <c r="H289" s="275"/>
      <c r="I289" s="308"/>
      <c r="J289" s="274">
        <f>H289-K289</f>
        <v>0</v>
      </c>
      <c r="K289" s="274"/>
    </row>
    <row r="290" spans="5:12">
      <c r="E290" s="50"/>
      <c r="F290" s="16" t="s">
        <v>866</v>
      </c>
      <c r="G290" s="16" t="s">
        <v>867</v>
      </c>
      <c r="H290" s="275"/>
      <c r="I290" s="308"/>
      <c r="J290" s="274"/>
      <c r="K290" s="274"/>
    </row>
    <row r="291" spans="5:12">
      <c r="E291" s="89"/>
      <c r="F291" s="90"/>
      <c r="G291" s="276" t="s">
        <v>1401</v>
      </c>
      <c r="H291" s="296">
        <f>SUBTOTAL(9,H287:H289)</f>
        <v>0.1</v>
      </c>
      <c r="I291" s="317"/>
      <c r="J291" s="279">
        <f>SUBTOTAL(9,J287:J287)</f>
        <v>0</v>
      </c>
      <c r="K291" s="279">
        <f>SUBTOTAL(9,K287:K287)</f>
        <v>0.1</v>
      </c>
      <c r="L291" s="13"/>
    </row>
    <row r="292" spans="5:12">
      <c r="E292" s="99" t="s">
        <v>56</v>
      </c>
      <c r="F292" s="88"/>
      <c r="G292" s="282"/>
      <c r="H292" s="289"/>
      <c r="I292" s="307"/>
      <c r="J292" s="289"/>
      <c r="K292" s="289"/>
      <c r="L292" s="13"/>
    </row>
    <row r="293" spans="5:12">
      <c r="E293" s="50" t="s">
        <v>857</v>
      </c>
      <c r="F293" s="16" t="s">
        <v>868</v>
      </c>
      <c r="G293" s="287">
        <v>0.1</v>
      </c>
      <c r="H293" s="297"/>
      <c r="I293" s="316"/>
      <c r="J293" s="274">
        <f>H293-K293</f>
        <v>0</v>
      </c>
      <c r="K293" s="274">
        <f>H293</f>
        <v>0</v>
      </c>
    </row>
    <row r="294" spans="5:12">
      <c r="E294" s="50" t="s">
        <v>869</v>
      </c>
      <c r="F294" s="16" t="s">
        <v>870</v>
      </c>
      <c r="G294" s="287">
        <v>0.15</v>
      </c>
      <c r="H294" s="297"/>
      <c r="I294" s="316"/>
      <c r="J294" s="274"/>
      <c r="K294" s="274"/>
    </row>
    <row r="295" spans="5:12">
      <c r="E295" s="50" t="s">
        <v>871</v>
      </c>
      <c r="F295" s="16" t="s">
        <v>872</v>
      </c>
      <c r="G295" s="287">
        <v>0.2</v>
      </c>
      <c r="H295" s="297"/>
      <c r="I295" s="316"/>
      <c r="J295" s="274"/>
      <c r="K295" s="274"/>
    </row>
    <row r="296" spans="5:12">
      <c r="E296" s="50"/>
      <c r="F296" s="16"/>
      <c r="G296" s="16"/>
      <c r="H296" s="275"/>
      <c r="I296" s="308"/>
      <c r="J296" s="274"/>
      <c r="K296" s="274"/>
    </row>
    <row r="297" spans="5:12">
      <c r="E297" s="50"/>
      <c r="F297" s="16"/>
      <c r="G297" s="276" t="s">
        <v>1401</v>
      </c>
      <c r="H297" s="296">
        <f>SUBTOTAL(9,H293:H296)</f>
        <v>0</v>
      </c>
      <c r="I297" s="317"/>
      <c r="J297" s="279">
        <f>SUBTOTAL(9,J293:J293)</f>
        <v>0</v>
      </c>
      <c r="K297" s="279">
        <f>SUBTOTAL(9,K293:K293)</f>
        <v>0</v>
      </c>
      <c r="L297" s="13"/>
    </row>
    <row r="298" spans="5:12" hidden="1">
      <c r="E298" s="99" t="s">
        <v>186</v>
      </c>
      <c r="F298" s="88"/>
      <c r="G298" s="282"/>
      <c r="H298" s="289"/>
      <c r="I298" s="307"/>
      <c r="J298" s="289"/>
      <c r="K298" s="289"/>
      <c r="L298" s="13"/>
    </row>
    <row r="299" spans="5:12" hidden="1">
      <c r="E299" s="50"/>
      <c r="F299" s="16" t="s">
        <v>272</v>
      </c>
      <c r="G299" s="16"/>
      <c r="H299" s="274" t="e">
        <f>#REF!</f>
        <v>#REF!</v>
      </c>
      <c r="I299" s="316">
        <v>1</v>
      </c>
      <c r="J299" s="274" t="e">
        <f>I299*H299</f>
        <v>#REF!</v>
      </c>
      <c r="K299" s="274" t="e">
        <f>H299-J299</f>
        <v>#REF!</v>
      </c>
      <c r="L299" s="13"/>
    </row>
    <row r="300" spans="5:12" hidden="1">
      <c r="E300" s="50"/>
      <c r="F300" s="16"/>
      <c r="G300" s="16"/>
      <c r="H300" s="274"/>
      <c r="I300" s="313"/>
      <c r="J300" s="279"/>
      <c r="K300" s="279"/>
      <c r="L300" s="13"/>
    </row>
    <row r="301" spans="5:12" hidden="1">
      <c r="E301" s="50" t="s">
        <v>273</v>
      </c>
      <c r="F301" s="16"/>
      <c r="G301" s="276" t="s">
        <v>1401</v>
      </c>
      <c r="H301" s="279" t="e">
        <f>SUBTOTAL(9,H299:H300)</f>
        <v>#REF!</v>
      </c>
      <c r="I301" s="309"/>
      <c r="J301" s="279" t="e">
        <f>SUBTOTAL(9,J299:J300)</f>
        <v>#REF!</v>
      </c>
      <c r="K301" s="279" t="e">
        <f>SUBTOTAL(9,K299:K300)</f>
        <v>#REF!</v>
      </c>
      <c r="L301" s="13"/>
    </row>
    <row r="302" spans="5:12" hidden="1">
      <c r="E302" s="99" t="s">
        <v>1136</v>
      </c>
      <c r="F302" s="88"/>
      <c r="G302" s="282"/>
      <c r="H302" s="289"/>
      <c r="I302" s="307"/>
      <c r="J302" s="289"/>
      <c r="K302" s="289"/>
      <c r="L302" s="13"/>
    </row>
    <row r="303" spans="5:12" hidden="1">
      <c r="E303" s="50" t="s">
        <v>874</v>
      </c>
      <c r="F303" s="16" t="s">
        <v>875</v>
      </c>
      <c r="G303" s="16"/>
      <c r="H303" s="274" t="e">
        <f>#REF!</f>
        <v>#REF!</v>
      </c>
      <c r="I303" s="316">
        <v>1</v>
      </c>
      <c r="J303" s="274" t="e">
        <f>I303*H303</f>
        <v>#REF!</v>
      </c>
      <c r="K303" s="274" t="e">
        <f>H303-J303</f>
        <v>#REF!</v>
      </c>
      <c r="L303" s="13"/>
    </row>
    <row r="304" spans="5:12" hidden="1">
      <c r="E304" s="50"/>
      <c r="F304" s="16"/>
      <c r="G304" s="16"/>
      <c r="H304" s="274"/>
      <c r="I304" s="313"/>
      <c r="J304" s="279"/>
      <c r="K304" s="279"/>
      <c r="L304" s="13"/>
    </row>
    <row r="305" spans="2:13" hidden="1">
      <c r="E305" s="50" t="s">
        <v>274</v>
      </c>
      <c r="F305" s="16"/>
      <c r="G305" s="276" t="s">
        <v>1401</v>
      </c>
      <c r="H305" s="279" t="e">
        <f>SUBTOTAL(9,H303:H304)</f>
        <v>#REF!</v>
      </c>
      <c r="I305" s="309"/>
      <c r="J305" s="279" t="e">
        <f>SUBTOTAL(9,J303:J304)</f>
        <v>#REF!</v>
      </c>
      <c r="K305" s="279" t="e">
        <f>SUBTOTAL(9,K303:K304)</f>
        <v>#REF!</v>
      </c>
      <c r="L305" s="13"/>
    </row>
    <row r="306" spans="2:13" ht="13.5" thickBot="1">
      <c r="E306" s="99" t="s">
        <v>1321</v>
      </c>
      <c r="F306" s="88"/>
      <c r="G306" s="282"/>
      <c r="H306" s="289"/>
      <c r="I306" s="307"/>
      <c r="J306" s="289"/>
      <c r="K306" s="289"/>
      <c r="L306" s="13"/>
    </row>
    <row r="307" spans="2:13" ht="13.5" thickBot="1">
      <c r="E307" s="50" t="s">
        <v>1322</v>
      </c>
      <c r="F307" s="16" t="s">
        <v>393</v>
      </c>
      <c r="G307" s="16"/>
      <c r="H307" s="274">
        <f>'Initial_Spares(7EA) '!C43+'Initial_Spares(7FA)'!C43+'Initial_Spares(W501D5)'!C38+'Initial_Spares(W501D5A)'!C38+'Initial_Spares(6B)'!C42</f>
        <v>9537924</v>
      </c>
      <c r="I307" s="316">
        <v>1</v>
      </c>
      <c r="J307" s="274">
        <f>I307*H307</f>
        <v>9537924</v>
      </c>
      <c r="K307" s="274">
        <f>H307-J307</f>
        <v>0</v>
      </c>
      <c r="M307" s="775">
        <v>899329.28</v>
      </c>
    </row>
    <row r="308" spans="2:13" ht="13.5" thickBot="1">
      <c r="E308" s="50" t="s">
        <v>394</v>
      </c>
      <c r="F308" s="16" t="s">
        <v>395</v>
      </c>
      <c r="G308" s="16"/>
      <c r="H308" s="274">
        <f>IF(OR('O&amp;M Backup_Detail'!O7=1,'O&amp;M Backup_Detail'!R7=1,'O&amp;M Backup_Detail'!U7=1),899329+100000,0)</f>
        <v>0</v>
      </c>
      <c r="I308" s="316">
        <v>1</v>
      </c>
      <c r="J308" s="274">
        <f>I308*H308</f>
        <v>0</v>
      </c>
      <c r="K308" s="274">
        <f>H308-J308</f>
        <v>0</v>
      </c>
      <c r="M308" s="12">
        <v>100000</v>
      </c>
    </row>
    <row r="309" spans="2:13">
      <c r="E309" s="50" t="s">
        <v>494</v>
      </c>
      <c r="F309" s="16" t="s">
        <v>1150</v>
      </c>
      <c r="G309" s="16"/>
      <c r="H309" s="274">
        <f>'Initial_Spares(7EA) '!C47+'Initial_Spares(7FA)'!C47+'Initial_Spares(W501D5)'!C42+'Initial_Spares(W501D5A)'!C42+'Initial_Spares(6B)'!C46</f>
        <v>95379.24</v>
      </c>
      <c r="I309" s="316">
        <v>1</v>
      </c>
      <c r="J309" s="274">
        <f>I309*H309</f>
        <v>95379.24</v>
      </c>
      <c r="K309" s="274">
        <f>H309-J309</f>
        <v>0</v>
      </c>
    </row>
    <row r="310" spans="2:13">
      <c r="E310" s="50" t="s">
        <v>86</v>
      </c>
      <c r="F310" s="170" t="s">
        <v>1323</v>
      </c>
      <c r="G310" s="16"/>
      <c r="H310" s="274">
        <f>'Initial_Spares(7EA) '!C45+'Initial_Spares(7FA)'!C45+'Initial_Spares(W501D5)'!C40+'Initial_Spares(W501D5A)'!C40+'Initial_Spares(6B)'!C44</f>
        <v>23844.81</v>
      </c>
      <c r="I310" s="316">
        <v>1</v>
      </c>
      <c r="J310" s="274">
        <f>I310*H310</f>
        <v>23844.81</v>
      </c>
      <c r="K310" s="274">
        <f>H310-J310</f>
        <v>0</v>
      </c>
    </row>
    <row r="311" spans="2:13" ht="13.5" thickBot="1">
      <c r="E311" s="109"/>
      <c r="F311" s="110"/>
      <c r="G311" s="288" t="s">
        <v>1401</v>
      </c>
      <c r="H311" s="279">
        <f>SUBTOTAL(9,H307:H310)</f>
        <v>9657148.0500000007</v>
      </c>
      <c r="I311" s="309"/>
      <c r="J311" s="279">
        <f>SUBTOTAL(9,J307:J310)</f>
        <v>9657148.0500000007</v>
      </c>
      <c r="K311" s="279">
        <f>SUBTOTAL(9,K307:K310)</f>
        <v>0</v>
      </c>
      <c r="L311" s="13"/>
    </row>
    <row r="312" spans="2:13">
      <c r="E312" s="13"/>
      <c r="F312" s="13"/>
      <c r="G312" s="13"/>
      <c r="H312" s="13"/>
      <c r="I312" s="318"/>
      <c r="J312" s="13"/>
      <c r="K312" s="13"/>
    </row>
    <row r="319" spans="2:13">
      <c r="B319" s="32"/>
      <c r="E319" s="14"/>
    </row>
    <row r="320" spans="2:13">
      <c r="B320" s="32"/>
      <c r="F320" s="14"/>
      <c r="G320" s="14"/>
    </row>
    <row r="864" spans="1:4">
      <c r="A864" s="14"/>
      <c r="B864" s="14"/>
      <c r="C864" s="14"/>
      <c r="D864" s="14"/>
    </row>
    <row r="912" spans="5:5">
      <c r="E912" s="14"/>
    </row>
    <row r="913" spans="6:11">
      <c r="F913" s="14"/>
      <c r="G913" s="14"/>
      <c r="H913" s="14"/>
      <c r="I913" s="319"/>
      <c r="J913" s="14"/>
      <c r="K913" s="14"/>
    </row>
  </sheetData>
  <dataConsolidate/>
  <printOptions horizontalCentered="1"/>
  <pageMargins left="0.75" right="0.75" top="1" bottom="1" header="0.5" footer="0.5"/>
  <pageSetup scale="73" firstPageNumber="13" fitToHeight="6" orientation="portrait" horizontalDpi="4294967292" verticalDpi="4294967292" r:id="rId1"/>
  <headerFooter alignWithMargins="0">
    <oddHeader>&amp;C&amp;"Arial,Bold Italic"&amp;16ENRON PROPRIETARY
AND CONFIDENTIAL 
INFORMATION</oddHeader>
    <oddFooter>&amp;L&amp;D&amp;CPage _____&amp;R&amp;F
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S364"/>
  <sheetViews>
    <sheetView showGridLines="0" topLeftCell="A12" zoomScale="76" workbookViewId="0">
      <selection activeCell="B52" sqref="B52"/>
    </sheetView>
  </sheetViews>
  <sheetFormatPr defaultRowHeight="12.75"/>
  <cols>
    <col min="1" max="1" width="4.7109375" style="3" customWidth="1"/>
    <col min="2" max="2" width="49.85546875" style="3" customWidth="1"/>
    <col min="3" max="3" width="9.5703125" style="3" customWidth="1"/>
    <col min="4" max="7" width="11.42578125" style="3" customWidth="1"/>
    <col min="8" max="8" width="12.85546875" style="3" customWidth="1"/>
    <col min="9" max="9" width="10.85546875" style="3" customWidth="1"/>
    <col min="10" max="11" width="9.140625" style="3"/>
    <col min="12" max="16384" width="9.140625" style="2"/>
  </cols>
  <sheetData>
    <row r="1" spans="1:45" ht="15.75">
      <c r="A1" s="1" t="str">
        <f>Scope!$A$1</f>
        <v>AES Corp, Dallas, TX (640 MW)</v>
      </c>
      <c r="B1" s="39"/>
      <c r="C1" s="39"/>
      <c r="D1" s="39"/>
      <c r="E1" s="39"/>
      <c r="F1" s="39"/>
      <c r="G1" s="39"/>
      <c r="H1" s="39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45" ht="15.75">
      <c r="A2" s="24" t="s">
        <v>1452</v>
      </c>
      <c r="B2" s="39"/>
      <c r="C2" s="39"/>
      <c r="D2" s="39"/>
      <c r="E2" s="39"/>
      <c r="F2" s="39"/>
      <c r="G2" s="39"/>
      <c r="H2" s="39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</row>
    <row r="3" spans="1:45" ht="13.5" thickBo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</row>
    <row r="4" spans="1:45" ht="13.5" thickBot="1">
      <c r="A4" s="25"/>
      <c r="B4" s="23"/>
      <c r="C4" s="23"/>
      <c r="D4" s="52" t="s">
        <v>578</v>
      </c>
      <c r="E4" s="53"/>
      <c r="F4" s="53"/>
      <c r="G4" s="53"/>
      <c r="H4" s="11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</row>
    <row r="5" spans="1:45">
      <c r="A5" s="25"/>
      <c r="B5" s="23"/>
      <c r="C5" s="23"/>
      <c r="D5" s="120"/>
      <c r="E5" s="124"/>
      <c r="F5" s="124"/>
      <c r="G5" s="124"/>
      <c r="H5" s="121" t="s">
        <v>58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</row>
    <row r="6" spans="1:45" ht="13.5" thickBot="1">
      <c r="A6" s="25"/>
      <c r="B6" s="23"/>
      <c r="C6" s="100"/>
      <c r="D6" s="122" t="s">
        <v>59</v>
      </c>
      <c r="E6" s="122" t="s">
        <v>1361</v>
      </c>
      <c r="F6" s="122" t="s">
        <v>1362</v>
      </c>
      <c r="G6" s="125" t="s">
        <v>60</v>
      </c>
      <c r="H6" s="123" t="s">
        <v>1324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</row>
    <row r="7" spans="1:45">
      <c r="A7" s="32"/>
      <c r="B7" s="16"/>
      <c r="C7" s="16"/>
      <c r="D7" s="28"/>
      <c r="E7" s="184"/>
      <c r="F7" s="184"/>
      <c r="G7" s="184"/>
      <c r="H7" s="28"/>
      <c r="I7" s="5"/>
      <c r="J7" s="5"/>
      <c r="K7" s="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</row>
    <row r="8" spans="1:45">
      <c r="A8" s="30" t="s">
        <v>1325</v>
      </c>
      <c r="B8" s="16"/>
      <c r="C8" s="91"/>
      <c r="D8" s="15">
        <f>Plant_Staff!M48</f>
        <v>1451918.666</v>
      </c>
      <c r="E8" s="4">
        <f>Plant_Staff!M91</f>
        <v>1451918.666</v>
      </c>
      <c r="F8" s="4">
        <f>Plant_Staff!M134</f>
        <v>1451918.666</v>
      </c>
      <c r="G8" s="4">
        <f>Plant_Staff!M177</f>
        <v>1451918.666</v>
      </c>
      <c r="H8" s="126">
        <f>(D8+E8+F8+17*G8)/20</f>
        <v>1451918.666</v>
      </c>
      <c r="I8" s="5"/>
      <c r="J8" s="5"/>
      <c r="K8" s="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>
      <c r="A9" s="32"/>
      <c r="B9" s="16"/>
      <c r="C9" s="86"/>
      <c r="D9" s="29"/>
      <c r="E9" s="37"/>
      <c r="F9" s="37"/>
      <c r="G9" s="37"/>
      <c r="H9" s="15"/>
      <c r="I9" s="5"/>
      <c r="J9" s="5"/>
      <c r="K9" s="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</row>
    <row r="10" spans="1:45">
      <c r="A10" s="32" t="s">
        <v>1326</v>
      </c>
      <c r="B10"/>
      <c r="C10" s="86"/>
      <c r="D10" s="15"/>
      <c r="E10" s="4"/>
      <c r="F10" s="4"/>
      <c r="G10" s="4"/>
      <c r="H10" s="15"/>
      <c r="I10" s="5"/>
      <c r="J10" s="5"/>
      <c r="K10" s="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</row>
    <row r="11" spans="1:45">
      <c r="A11" s="5"/>
      <c r="B11" s="16" t="str">
        <f>'O&amp;M Backup_Detail'!A13</f>
        <v>Employee Expenses</v>
      </c>
      <c r="C11" s="91"/>
      <c r="D11" s="15">
        <f>'O&amp;M Backup_Detail'!D22</f>
        <v>22650</v>
      </c>
      <c r="E11" s="4">
        <f t="shared" ref="E11:G18" si="0">D11</f>
        <v>22650</v>
      </c>
      <c r="F11" s="4">
        <f t="shared" si="0"/>
        <v>22650</v>
      </c>
      <c r="G11" s="4">
        <f t="shared" si="0"/>
        <v>22650</v>
      </c>
      <c r="H11" s="126">
        <f>(D11+E11+F11+17*G11)/20</f>
        <v>22650</v>
      </c>
      <c r="I11" s="5"/>
      <c r="J11" s="5"/>
      <c r="K11" s="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</row>
    <row r="12" spans="1:45">
      <c r="A12" s="5"/>
      <c r="B12" s="16" t="str">
        <f>'O&amp;M Backup_Detail'!A27</f>
        <v>Environmental Expense (including permit fees)</v>
      </c>
      <c r="C12" s="91"/>
      <c r="D12" s="15">
        <f>'O&amp;M Backup_Detail'!D36</f>
        <v>38090.833333333336</v>
      </c>
      <c r="E12" s="4">
        <f t="shared" si="0"/>
        <v>38090.833333333336</v>
      </c>
      <c r="F12" s="4">
        <f t="shared" si="0"/>
        <v>38090.833333333336</v>
      </c>
      <c r="G12" s="4">
        <f t="shared" si="0"/>
        <v>38090.833333333336</v>
      </c>
      <c r="H12" s="126">
        <f t="shared" ref="H12:H23" si="1">(D12+E12+F12+17*G12)/20</f>
        <v>38090.833333333336</v>
      </c>
      <c r="I12" s="5"/>
      <c r="J12" s="5"/>
      <c r="K12" s="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</row>
    <row r="13" spans="1:45">
      <c r="A13" s="5"/>
      <c r="B13" s="16" t="str">
        <f>'O&amp;M Backup_Detail'!A37</f>
        <v>Safety Expense</v>
      </c>
      <c r="C13" s="91"/>
      <c r="D13" s="15">
        <f>'O&amp;M Backup_Detail'!D44</f>
        <v>21917.607526881722</v>
      </c>
      <c r="E13" s="4">
        <f t="shared" si="0"/>
        <v>21917.607526881722</v>
      </c>
      <c r="F13" s="4">
        <f t="shared" si="0"/>
        <v>21917.607526881722</v>
      </c>
      <c r="G13" s="4">
        <f t="shared" si="0"/>
        <v>21917.607526881722</v>
      </c>
      <c r="H13" s="126">
        <f t="shared" si="1"/>
        <v>21917.607526881722</v>
      </c>
      <c r="I13" s="5"/>
      <c r="J13" s="5"/>
      <c r="K13" s="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</row>
    <row r="14" spans="1:45">
      <c r="A14" s="5"/>
      <c r="B14" s="16" t="str">
        <f>'O&amp;M Backup_Detail'!A45</f>
        <v>Buildings &amp; Grounds</v>
      </c>
      <c r="C14" s="91"/>
      <c r="D14" s="15">
        <f>'O&amp;M Backup_Detail'!D55</f>
        <v>8000</v>
      </c>
      <c r="E14" s="4">
        <f t="shared" si="0"/>
        <v>8000</v>
      </c>
      <c r="F14" s="4">
        <f t="shared" si="0"/>
        <v>8000</v>
      </c>
      <c r="G14" s="4">
        <f t="shared" si="0"/>
        <v>8000</v>
      </c>
      <c r="H14" s="126">
        <f t="shared" si="1"/>
        <v>8000</v>
      </c>
      <c r="I14" s="5"/>
      <c r="J14" s="5"/>
      <c r="K14" s="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</row>
    <row r="15" spans="1:45">
      <c r="A15" s="5"/>
      <c r="B15" s="16" t="str">
        <f>'O&amp;M Backup_Detail'!A56</f>
        <v>Other Supplies &amp; Expenses</v>
      </c>
      <c r="C15" s="91"/>
      <c r="D15" s="15">
        <f>'O&amp;M Backup_Detail'!D84</f>
        <v>84324.545454545456</v>
      </c>
      <c r="E15" s="4">
        <f t="shared" si="0"/>
        <v>84324.545454545456</v>
      </c>
      <c r="F15" s="4">
        <f t="shared" si="0"/>
        <v>84324.545454545456</v>
      </c>
      <c r="G15" s="4">
        <f t="shared" si="0"/>
        <v>84324.545454545456</v>
      </c>
      <c r="H15" s="126">
        <f t="shared" si="1"/>
        <v>84324.545454545456</v>
      </c>
      <c r="I15" s="5"/>
      <c r="J15" s="5"/>
      <c r="K15" s="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</row>
    <row r="16" spans="1:45">
      <c r="A16" s="5"/>
      <c r="B16" s="16" t="str">
        <f>'O&amp;M Backup_Detail'!A85</f>
        <v>Communications</v>
      </c>
      <c r="C16" s="91"/>
      <c r="D16" s="15">
        <f>'O&amp;M Backup_Detail'!D89</f>
        <v>15600</v>
      </c>
      <c r="E16" s="4">
        <f t="shared" si="0"/>
        <v>15600</v>
      </c>
      <c r="F16" s="4">
        <f t="shared" si="0"/>
        <v>15600</v>
      </c>
      <c r="G16" s="4">
        <f t="shared" si="0"/>
        <v>15600</v>
      </c>
      <c r="H16" s="126">
        <f t="shared" si="1"/>
        <v>15600</v>
      </c>
      <c r="I16" s="5"/>
      <c r="J16" s="5"/>
      <c r="K16" s="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</row>
    <row r="17" spans="1:45" ht="12.75" customHeight="1">
      <c r="A17" s="5"/>
      <c r="B17" s="54" t="str">
        <f>'O&amp;M Backup_Detail'!A90</f>
        <v>Operating Insurance</v>
      </c>
      <c r="C17" s="91"/>
      <c r="D17" s="15">
        <f>'O&amp;M Backup_Detail'!D93</f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126">
        <f t="shared" si="1"/>
        <v>0</v>
      </c>
      <c r="I17" s="5"/>
      <c r="J17" s="5"/>
      <c r="K17" s="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</row>
    <row r="18" spans="1:45" ht="12.75" customHeight="1">
      <c r="A18" s="5"/>
      <c r="B18" s="16" t="str">
        <f>'O&amp;M Backup_Detail'!A94</f>
        <v>Control Room/Laboratory Expenses</v>
      </c>
      <c r="C18" s="91"/>
      <c r="D18" s="15">
        <f>'O&amp;M Backup_Detail'!D103</f>
        <v>158269.29864450428</v>
      </c>
      <c r="E18" s="4">
        <f t="shared" si="0"/>
        <v>158269.29864450428</v>
      </c>
      <c r="F18" s="4">
        <f t="shared" si="0"/>
        <v>158269.29864450428</v>
      </c>
      <c r="G18" s="4">
        <f t="shared" si="0"/>
        <v>158269.29864450428</v>
      </c>
      <c r="H18" s="126">
        <f t="shared" si="1"/>
        <v>158269.29864450428</v>
      </c>
      <c r="I18" s="5"/>
      <c r="J18" s="5"/>
      <c r="K18" s="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</row>
    <row r="19" spans="1:45">
      <c r="A19" s="5"/>
      <c r="B19" s="16" t="str">
        <f>'O&amp;M Backup_Detail'!A104</f>
        <v>Operations Support (Year 1 Only)</v>
      </c>
      <c r="C19" s="91"/>
      <c r="D19" s="15">
        <f>'O&amp;M Backup_Detail'!D110</f>
        <v>0</v>
      </c>
      <c r="E19" s="4">
        <v>0</v>
      </c>
      <c r="F19" s="4">
        <v>0</v>
      </c>
      <c r="G19" s="4">
        <v>0</v>
      </c>
      <c r="H19" s="126">
        <f t="shared" si="1"/>
        <v>0</v>
      </c>
      <c r="I19" s="5"/>
      <c r="J19" s="5"/>
      <c r="K19" s="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</row>
    <row r="20" spans="1:45" ht="12.75" customHeight="1">
      <c r="A20" s="5"/>
      <c r="B20" s="16"/>
      <c r="C20" s="91"/>
      <c r="D20" s="29"/>
      <c r="E20" s="37"/>
      <c r="F20" s="37"/>
      <c r="G20" s="37"/>
      <c r="H20" s="15"/>
      <c r="I20" s="5"/>
      <c r="J20" s="5"/>
      <c r="K20" s="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</row>
    <row r="21" spans="1:45" ht="12.75" customHeight="1">
      <c r="A21" s="5"/>
      <c r="B21" s="30" t="s">
        <v>1327</v>
      </c>
      <c r="C21" s="82"/>
      <c r="D21" s="15">
        <f>SUBTOTAL(9,D11:D19)</f>
        <v>348852.2849592648</v>
      </c>
      <c r="E21" s="15">
        <f>SUBTOTAL(9,E11:E19)</f>
        <v>348852.2849592648</v>
      </c>
      <c r="F21" s="15">
        <f>SUBTOTAL(9,F11:F19)</f>
        <v>348852.2849592648</v>
      </c>
      <c r="G21" s="15">
        <f>SUBTOTAL(9,G11:G19)</f>
        <v>348852.2849592648</v>
      </c>
      <c r="H21" s="126">
        <f t="shared" si="1"/>
        <v>348852.2849592648</v>
      </c>
      <c r="I21" s="5"/>
      <c r="J21" s="5"/>
      <c r="K21" s="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</row>
    <row r="22" spans="1:45" ht="12.75" customHeight="1">
      <c r="A22" s="5"/>
      <c r="B22" s="16"/>
      <c r="C22" s="91"/>
      <c r="D22" s="29"/>
      <c r="E22" s="37"/>
      <c r="F22" s="37"/>
      <c r="G22" s="37"/>
      <c r="H22" s="15"/>
      <c r="I22" s="5"/>
      <c r="J22" s="5"/>
      <c r="K22" s="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</row>
    <row r="23" spans="1:45" ht="12.75" customHeight="1">
      <c r="A23" s="30" t="s">
        <v>275</v>
      </c>
      <c r="B23" s="16"/>
      <c r="C23" s="91"/>
      <c r="D23" s="15">
        <f>'O&amp;M Backup_Detail'!D125</f>
        <v>604319.67503475724</v>
      </c>
      <c r="E23" s="4">
        <f>D23</f>
        <v>604319.67503475724</v>
      </c>
      <c r="F23" s="4">
        <f>E23</f>
        <v>604319.67503475724</v>
      </c>
      <c r="G23" s="4">
        <f>F23</f>
        <v>604319.67503475724</v>
      </c>
      <c r="H23" s="126">
        <f t="shared" si="1"/>
        <v>604319.67503475724</v>
      </c>
      <c r="I23" s="5"/>
      <c r="J23" s="5"/>
      <c r="K23" s="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</row>
    <row r="24" spans="1:45" ht="12.75" customHeight="1">
      <c r="A24" s="30"/>
      <c r="B24" s="144" t="s">
        <v>1014</v>
      </c>
      <c r="C24" s="91"/>
      <c r="D24" s="15"/>
      <c r="E24" s="4"/>
      <c r="F24" s="4"/>
      <c r="G24" s="4"/>
      <c r="H24" s="126"/>
      <c r="I24" s="5"/>
      <c r="J24" s="5"/>
      <c r="K24" s="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</row>
    <row r="25" spans="1:45" ht="12.75" customHeight="1">
      <c r="A25" s="32"/>
      <c r="B25" s="16"/>
      <c r="C25" s="91"/>
      <c r="D25" s="29"/>
      <c r="E25" s="37"/>
      <c r="F25" s="37"/>
      <c r="G25" s="37"/>
      <c r="H25" s="15"/>
      <c r="I25" s="5"/>
      <c r="J25" s="5"/>
      <c r="K25" s="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</row>
    <row r="26" spans="1:45" ht="12.75" customHeight="1">
      <c r="A26" s="30" t="s">
        <v>1328</v>
      </c>
      <c r="B26"/>
      <c r="C26" s="86"/>
      <c r="D26" s="15"/>
      <c r="E26" s="4"/>
      <c r="F26" s="4"/>
      <c r="G26" s="4"/>
      <c r="H26" s="15"/>
      <c r="I26" s="5"/>
      <c r="J26" s="5"/>
      <c r="K26" s="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</row>
    <row r="27" spans="1:45">
      <c r="A27" s="5"/>
      <c r="B27" s="16" t="str">
        <f>'O&amp;M Backup_Detail'!A126</f>
        <v>Painting</v>
      </c>
      <c r="C27" s="91"/>
      <c r="D27" s="15">
        <f>0.1*G27</f>
        <v>6219.925538183209</v>
      </c>
      <c r="E27" s="4">
        <f>'O&amp;M Backup_Detail'!D133*1/3</f>
        <v>20733.085127277362</v>
      </c>
      <c r="F27" s="4">
        <f t="shared" ref="F27:F37" si="2">E27</f>
        <v>20733.085127277362</v>
      </c>
      <c r="G27" s="4">
        <f>'O&amp;M Backup_Detail'!D133</f>
        <v>62199.255381832088</v>
      </c>
      <c r="H27" s="126">
        <f t="shared" ref="H27:H41" si="3">(D27+E27+F27+17*G27)/20</f>
        <v>55253.671864194177</v>
      </c>
      <c r="I27" s="5"/>
      <c r="J27" s="5"/>
      <c r="K27" s="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</row>
    <row r="28" spans="1:45">
      <c r="A28" s="5"/>
      <c r="B28" s="16" t="str">
        <f>'O&amp;M Backup_Detail'!A134</f>
        <v>Electrical &amp; Controls</v>
      </c>
      <c r="C28" s="91"/>
      <c r="D28" s="15">
        <f>'O&amp;M Backup_Detail'!D143/3</f>
        <v>4444.4444444444443</v>
      </c>
      <c r="E28" s="15">
        <f t="shared" ref="E28:E37" si="4">D28</f>
        <v>4444.4444444444443</v>
      </c>
      <c r="F28" s="15">
        <f t="shared" si="2"/>
        <v>4444.4444444444443</v>
      </c>
      <c r="G28" s="4">
        <f>'O&amp;M Backup_Detail'!D143</f>
        <v>13333.333333333332</v>
      </c>
      <c r="H28" s="126">
        <f t="shared" si="3"/>
        <v>12000</v>
      </c>
      <c r="I28" s="5"/>
      <c r="J28" s="5"/>
      <c r="K28" s="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</row>
    <row r="29" spans="1:45">
      <c r="A29" s="5"/>
      <c r="B29" s="16" t="str">
        <f>'O&amp;M Backup_Detail'!A144</f>
        <v>Water Treatment System</v>
      </c>
      <c r="C29" s="91"/>
      <c r="D29" s="15">
        <f>'O&amp;M Backup_Detail'!D152/3</f>
        <v>41466.170254554723</v>
      </c>
      <c r="E29" s="4">
        <f t="shared" si="4"/>
        <v>41466.170254554723</v>
      </c>
      <c r="F29" s="4">
        <f t="shared" si="2"/>
        <v>41466.170254554723</v>
      </c>
      <c r="G29" s="4">
        <f>'O&amp;M Backup_Detail'!D152</f>
        <v>124398.51076366416</v>
      </c>
      <c r="H29" s="126">
        <f t="shared" si="3"/>
        <v>111958.65968729774</v>
      </c>
      <c r="I29" s="5"/>
      <c r="J29" s="5"/>
      <c r="K29" s="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45">
      <c r="A30" s="5"/>
      <c r="B30" s="16" t="str">
        <f>'O&amp;M Backup_Detail'!A153</f>
        <v>Cooling System</v>
      </c>
      <c r="C30" s="91"/>
      <c r="D30" s="15">
        <f>'O&amp;M Backup_Detail'!D162/3</f>
        <v>53017.460539752115</v>
      </c>
      <c r="E30" s="4">
        <f t="shared" si="4"/>
        <v>53017.460539752115</v>
      </c>
      <c r="F30" s="4">
        <f t="shared" si="2"/>
        <v>53017.460539752115</v>
      </c>
      <c r="G30" s="4">
        <f>'O&amp;M Backup_Detail'!D162</f>
        <v>159052.38161925634</v>
      </c>
      <c r="H30" s="126">
        <f t="shared" si="3"/>
        <v>143147.14345733071</v>
      </c>
      <c r="I30" s="5"/>
      <c r="J30" s="5"/>
      <c r="K30" s="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</row>
    <row r="31" spans="1:45">
      <c r="A31" s="5"/>
      <c r="B31" s="16" t="str">
        <f>'O&amp;M Backup_Detail'!A163</f>
        <v>Substation/Interconnects</v>
      </c>
      <c r="C31" s="91"/>
      <c r="D31" s="15">
        <f>'O&amp;M Backup_Detail'!D173/3</f>
        <v>18701.370316460918</v>
      </c>
      <c r="E31" s="4">
        <f t="shared" si="4"/>
        <v>18701.370316460918</v>
      </c>
      <c r="F31" s="4">
        <f t="shared" si="2"/>
        <v>18701.370316460918</v>
      </c>
      <c r="G31" s="4">
        <f>'O&amp;M Backup_Detail'!D173</f>
        <v>56104.110949382753</v>
      </c>
      <c r="H31" s="126">
        <f t="shared" si="3"/>
        <v>50493.69985444448</v>
      </c>
      <c r="I31" s="5"/>
      <c r="J31" s="5"/>
      <c r="K31" s="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</row>
    <row r="32" spans="1:45">
      <c r="A32" s="5"/>
      <c r="B32" s="16" t="str">
        <f>'O&amp;M Backup_Detail'!A174</f>
        <v>Gas Turbines (excluding scheduled maint.)</v>
      </c>
      <c r="C32" s="91"/>
      <c r="D32" s="15">
        <f>'O&amp;M Backup_Detail'!D183/3</f>
        <v>165328.07162743644</v>
      </c>
      <c r="E32" s="4">
        <f t="shared" si="4"/>
        <v>165328.07162743644</v>
      </c>
      <c r="F32" s="4">
        <f t="shared" si="2"/>
        <v>165328.07162743644</v>
      </c>
      <c r="G32" s="4">
        <f>'O&amp;M Backup_Detail'!D183</f>
        <v>495984.21488230932</v>
      </c>
      <c r="H32" s="126">
        <f t="shared" si="3"/>
        <v>446385.79339407833</v>
      </c>
      <c r="I32" s="5"/>
      <c r="J32" s="5"/>
      <c r="K32" s="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</row>
    <row r="33" spans="1:45">
      <c r="A33" s="5"/>
      <c r="B33" s="16" t="str">
        <f>'O&amp;M Backup_Detail'!A184</f>
        <v>Boilers</v>
      </c>
      <c r="C33" s="91"/>
      <c r="D33" s="15">
        <f>'O&amp;M Backup_Detail'!D193/3</f>
        <v>100569.6031379893</v>
      </c>
      <c r="E33" s="4">
        <f t="shared" si="4"/>
        <v>100569.6031379893</v>
      </c>
      <c r="F33" s="4">
        <f t="shared" si="2"/>
        <v>100569.6031379893</v>
      </c>
      <c r="G33" s="4">
        <f>'O&amp;M Backup_Detail'!D193</f>
        <v>301708.80941396789</v>
      </c>
      <c r="H33" s="126">
        <f t="shared" si="3"/>
        <v>271537.92847257107</v>
      </c>
      <c r="I33" s="5"/>
      <c r="J33" s="5"/>
      <c r="K33" s="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</row>
    <row r="34" spans="1:45">
      <c r="A34" s="5"/>
      <c r="B34" s="16" t="str">
        <f>'O&amp;M Backup_Detail'!A194</f>
        <v>Steam Turbine (including Scheduled Maint.)</v>
      </c>
      <c r="C34" s="91"/>
      <c r="D34" s="15">
        <f>'O&amp;M Backup_Detail'!D204</f>
        <v>726697.6622743099</v>
      </c>
      <c r="E34" s="4">
        <f t="shared" si="4"/>
        <v>726697.6622743099</v>
      </c>
      <c r="F34" s="4">
        <f t="shared" si="2"/>
        <v>726697.6622743099</v>
      </c>
      <c r="G34" s="4">
        <f>'O&amp;M Backup_Detail'!D204</f>
        <v>726697.6622743099</v>
      </c>
      <c r="H34" s="126">
        <f t="shared" si="3"/>
        <v>726697.6622743099</v>
      </c>
      <c r="I34" s="5"/>
      <c r="J34" s="5"/>
      <c r="K34" s="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spans="1:45">
      <c r="A35" s="5"/>
      <c r="B35" s="16" t="str">
        <f>'O&amp;M Backup_Detail'!A205</f>
        <v>Water Supply Pipeline and Booster Station</v>
      </c>
      <c r="C35" s="91"/>
      <c r="D35" s="15">
        <f>'O&amp;M Backup_Detail'!D214/3</f>
        <v>0</v>
      </c>
      <c r="E35" s="4">
        <f t="shared" si="4"/>
        <v>0</v>
      </c>
      <c r="F35" s="4">
        <f t="shared" si="2"/>
        <v>0</v>
      </c>
      <c r="G35" s="15">
        <f>'O&amp;M Backup_Detail'!D214</f>
        <v>0</v>
      </c>
      <c r="H35" s="126">
        <f t="shared" si="3"/>
        <v>0</v>
      </c>
      <c r="I35" s="5"/>
      <c r="J35" s="5"/>
      <c r="K35" s="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</row>
    <row r="36" spans="1:45">
      <c r="A36" s="5"/>
      <c r="B36" s="16" t="str">
        <f>'O&amp;M Backup_Detail'!A215</f>
        <v>Fuel Facility</v>
      </c>
      <c r="C36" s="91"/>
      <c r="D36" s="15">
        <f>'O&amp;M Backup_Detail'!D224/3</f>
        <v>0</v>
      </c>
      <c r="E36" s="4">
        <f t="shared" si="4"/>
        <v>0</v>
      </c>
      <c r="F36" s="4">
        <f t="shared" si="2"/>
        <v>0</v>
      </c>
      <c r="G36" s="4">
        <f>'O&amp;M Backup_Detail'!D224</f>
        <v>0</v>
      </c>
      <c r="H36" s="126">
        <f t="shared" si="3"/>
        <v>0</v>
      </c>
      <c r="I36" s="5"/>
      <c r="J36" s="5"/>
      <c r="K36" s="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</row>
    <row r="37" spans="1:45">
      <c r="A37" s="5"/>
      <c r="B37" s="16" t="str">
        <f>'O&amp;M Backup_Detail'!A225</f>
        <v>Miscellaneous Maintenance Expense</v>
      </c>
      <c r="C37" s="91"/>
      <c r="D37" s="15">
        <f>'O&amp;M Backup_Detail'!D243/3</f>
        <v>123213.76304210546</v>
      </c>
      <c r="E37" s="4">
        <f t="shared" si="4"/>
        <v>123213.76304210546</v>
      </c>
      <c r="F37" s="4">
        <f t="shared" si="2"/>
        <v>123213.76304210546</v>
      </c>
      <c r="G37" s="4">
        <f>'O&amp;M Backup_Detail'!D243</f>
        <v>369641.28912631638</v>
      </c>
      <c r="H37" s="126">
        <f t="shared" si="3"/>
        <v>332677.16021368472</v>
      </c>
      <c r="I37" s="5"/>
      <c r="J37" s="5"/>
      <c r="K37" s="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</row>
    <row r="38" spans="1:45">
      <c r="A38" s="5"/>
      <c r="B38" s="16"/>
      <c r="C38" s="91"/>
      <c r="D38" s="29"/>
      <c r="E38" s="37"/>
      <c r="F38" s="37"/>
      <c r="G38" s="37"/>
      <c r="H38" s="15"/>
      <c r="I38" s="5"/>
      <c r="J38" s="5"/>
      <c r="K38" s="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</row>
    <row r="39" spans="1:45">
      <c r="A39" s="5"/>
      <c r="B39" s="30" t="s">
        <v>1329</v>
      </c>
      <c r="C39" s="82"/>
      <c r="D39" s="15">
        <f>SUBTOTAL(9,D27:D37)</f>
        <v>1239658.4711752364</v>
      </c>
      <c r="E39" s="15">
        <f>SUBTOTAL(9,E27:E37)</f>
        <v>1254171.6307643305</v>
      </c>
      <c r="F39" s="4">
        <f>SUBTOTAL(9,F27:F38)</f>
        <v>1254171.6307643305</v>
      </c>
      <c r="G39" s="4">
        <f>SUBTOTAL(9,G27:G38)</f>
        <v>2309119.5677443724</v>
      </c>
      <c r="H39" s="126">
        <f t="shared" si="3"/>
        <v>2150151.7192179114</v>
      </c>
      <c r="I39" s="5"/>
      <c r="J39" s="5"/>
      <c r="K39" s="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spans="1:45">
      <c r="A40" s="5"/>
      <c r="B40" s="30"/>
      <c r="C40" s="82"/>
      <c r="D40" s="15"/>
      <c r="E40" s="4"/>
      <c r="F40" s="4"/>
      <c r="G40" s="4"/>
      <c r="H40" s="15"/>
      <c r="I40" s="5"/>
      <c r="J40" s="5"/>
      <c r="K40" s="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spans="1:45">
      <c r="A41" s="156" t="s">
        <v>66</v>
      </c>
      <c r="B41" s="30"/>
      <c r="C41" s="82"/>
      <c r="D41" s="15">
        <f>'O&amp;M Backup_Detail'!D273</f>
        <v>26055.522291956309</v>
      </c>
      <c r="E41" s="4">
        <f>D41</f>
        <v>26055.522291956309</v>
      </c>
      <c r="F41" s="4">
        <f>E41</f>
        <v>26055.522291956309</v>
      </c>
      <c r="G41" s="4">
        <f>F41</f>
        <v>26055.522291956309</v>
      </c>
      <c r="H41" s="126">
        <f t="shared" si="3"/>
        <v>26055.522291956309</v>
      </c>
      <c r="I41" s="5"/>
      <c r="J41" s="5"/>
      <c r="K41" s="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spans="1:45">
      <c r="A42" s="5"/>
      <c r="B42" s="30"/>
      <c r="C42" s="82"/>
      <c r="D42" s="15"/>
      <c r="E42" s="4"/>
      <c r="F42" s="4"/>
      <c r="G42" s="4"/>
      <c r="H42" s="15"/>
      <c r="I42" s="5"/>
      <c r="J42" s="5"/>
      <c r="K42" s="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spans="1:45" ht="13.5" thickBot="1">
      <c r="A43" s="32" t="s">
        <v>736</v>
      </c>
      <c r="B43" s="30"/>
      <c r="C43" s="82"/>
      <c r="D43" s="31">
        <f>D41+D39+D23+D21+D8</f>
        <v>3670804.6194612151</v>
      </c>
      <c r="E43" s="31">
        <f>E41+E39+E23+E21+E8</f>
        <v>3685317.7790503092</v>
      </c>
      <c r="F43" s="31">
        <f>F41+F39+F23+F21+F8</f>
        <v>3685317.7790503092</v>
      </c>
      <c r="G43" s="31">
        <f>G41+G39+G23+G21+G8</f>
        <v>4740265.7160303509</v>
      </c>
      <c r="H43" s="31">
        <f>H41+H39+H23+H21+H8</f>
        <v>4581297.8675038898</v>
      </c>
      <c r="I43" s="5"/>
      <c r="J43" s="5"/>
      <c r="K43" s="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spans="1:45">
      <c r="A44" s="32"/>
      <c r="B44" s="30"/>
      <c r="C44" s="82"/>
      <c r="D44" s="23"/>
      <c r="E44" s="23"/>
      <c r="F44" s="23"/>
      <c r="G44" s="23"/>
      <c r="H44" s="23"/>
      <c r="I44" s="5"/>
      <c r="J44" s="5"/>
      <c r="K44" s="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spans="1:45" ht="13.5" thickBot="1">
      <c r="A45" s="32"/>
      <c r="B45" s="5"/>
      <c r="C45" s="11"/>
      <c r="D45" s="5"/>
      <c r="E45" s="5"/>
      <c r="F45" s="5"/>
      <c r="G45" s="5"/>
      <c r="H45" s="25"/>
      <c r="I45" s="5"/>
      <c r="J45" s="5"/>
      <c r="K45" s="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spans="1:45" ht="13.5" thickBot="1">
      <c r="A46" s="32" t="s">
        <v>1330</v>
      </c>
      <c r="B46" s="5"/>
      <c r="C46" s="11" t="s">
        <v>1331</v>
      </c>
      <c r="D46" s="138">
        <f>'O&amp;M Backup_Detail'!D265</f>
        <v>141072289.13039997</v>
      </c>
      <c r="E46" s="197"/>
      <c r="F46" s="197"/>
      <c r="G46" s="197" t="s">
        <v>1332</v>
      </c>
      <c r="H46" s="127">
        <f>D46/20</f>
        <v>7053614.4565199986</v>
      </c>
      <c r="I46" s="5"/>
      <c r="J46" s="5"/>
      <c r="K46" s="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spans="1:45" ht="13.5" thickBot="1">
      <c r="A47" s="32"/>
      <c r="B47" s="5"/>
      <c r="C47" s="11"/>
      <c r="D47" s="139"/>
      <c r="G47" s="543" t="s">
        <v>635</v>
      </c>
      <c r="H47" s="193">
        <f>IF(Scope!F40=0,0,H46/(Scope!F40))</f>
        <v>1.3243538318087598</v>
      </c>
      <c r="I47" s="5"/>
      <c r="J47" s="5"/>
      <c r="K47" s="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</row>
    <row r="48" spans="1:45" ht="13.5" thickBot="1">
      <c r="A48" s="32"/>
      <c r="B48" s="5"/>
      <c r="C48" s="11"/>
      <c r="D48" s="139"/>
      <c r="E48" s="197"/>
      <c r="F48" s="197"/>
      <c r="G48" s="197"/>
      <c r="H48" s="195"/>
      <c r="I48" s="5"/>
      <c r="J48" s="5"/>
      <c r="K48" s="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</row>
    <row r="49" spans="1:45" ht="13.5" thickBot="1">
      <c r="A49" s="32" t="s">
        <v>735</v>
      </c>
      <c r="B49" s="5"/>
      <c r="C49" s="11"/>
      <c r="D49" s="139"/>
      <c r="E49" s="197"/>
      <c r="F49" s="197"/>
      <c r="G49" s="197" t="s">
        <v>1332</v>
      </c>
      <c r="H49" s="138">
        <f>H46+H43</f>
        <v>11634912.324023888</v>
      </c>
      <c r="I49" s="5"/>
      <c r="J49" s="5"/>
      <c r="K49" s="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</row>
    <row r="50" spans="1:45" ht="13.5" thickBot="1">
      <c r="A50" s="32"/>
      <c r="B50" s="5"/>
      <c r="C50" s="11"/>
      <c r="D50" s="139"/>
      <c r="G50" s="543" t="s">
        <v>636</v>
      </c>
      <c r="H50" s="193">
        <f>IF(Scope!$F$40=0,0,H49/(Scope!$F$40))</f>
        <v>2.1845170038797552</v>
      </c>
      <c r="I50" s="5"/>
      <c r="J50" s="5"/>
      <c r="K50" s="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</row>
    <row r="51" spans="1:45">
      <c r="A51" s="32"/>
      <c r="B51" s="5"/>
      <c r="C51" s="11"/>
      <c r="D51" s="139"/>
      <c r="E51" s="197"/>
      <c r="F51" s="197"/>
      <c r="G51" s="197"/>
      <c r="H51" s="191"/>
      <c r="I51" s="5"/>
      <c r="J51" s="5"/>
      <c r="K51" s="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</row>
    <row r="52" spans="1:45" ht="13.5" thickBot="1">
      <c r="A52" s="32"/>
      <c r="B52" s="5"/>
      <c r="C52" s="91"/>
      <c r="D52" s="23"/>
      <c r="E52" s="23"/>
      <c r="F52" s="23"/>
      <c r="G52" s="23"/>
      <c r="H52" s="25"/>
      <c r="I52" s="5"/>
      <c r="J52" s="5"/>
      <c r="K52" s="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</row>
    <row r="53" spans="1:45" ht="13.5" hidden="1" thickBot="1">
      <c r="A53" s="32" t="s">
        <v>1009</v>
      </c>
      <c r="B53" s="16"/>
      <c r="C53" s="16"/>
      <c r="D53"/>
      <c r="E53"/>
      <c r="F53"/>
      <c r="G53" s="197" t="s">
        <v>1332</v>
      </c>
      <c r="H53" s="17">
        <f>H46+H43</f>
        <v>11634912.324023888</v>
      </c>
      <c r="I53" s="5"/>
      <c r="J53" s="5"/>
      <c r="K53" s="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</row>
    <row r="54" spans="1:45" ht="13.5" hidden="1" thickBot="1">
      <c r="A54" s="32"/>
      <c r="B54" s="16"/>
      <c r="C54" s="16"/>
      <c r="D54"/>
      <c r="E54" s="201" t="s">
        <v>636</v>
      </c>
      <c r="F54" s="201"/>
      <c r="G54" s="197"/>
      <c r="H54" s="193">
        <f>IF(Scope!$F$40=0,0,H53/(Scope!$F$40))</f>
        <v>2.1845170038797552</v>
      </c>
      <c r="I54" s="5"/>
      <c r="J54" s="5"/>
      <c r="K54" s="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</row>
    <row r="55" spans="1:45" hidden="1">
      <c r="A55" s="32"/>
      <c r="B55" s="16"/>
      <c r="C55" s="16"/>
      <c r="D55"/>
      <c r="E55"/>
      <c r="F55"/>
      <c r="G55"/>
      <c r="H55" s="5"/>
      <c r="I55" s="5"/>
      <c r="J55" s="5"/>
      <c r="K55" s="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</row>
    <row r="56" spans="1:45" ht="13.5" hidden="1" thickBot="1">
      <c r="A56"/>
      <c r="B56"/>
      <c r="C56"/>
      <c r="D56"/>
      <c r="E56"/>
      <c r="F56"/>
      <c r="G56"/>
      <c r="H56" s="46"/>
      <c r="I56" s="5"/>
      <c r="J56" s="5"/>
      <c r="K56" s="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</row>
    <row r="57" spans="1:45" ht="13.5" thickBot="1">
      <c r="A57" s="32" t="s">
        <v>639</v>
      </c>
      <c r="B57" s="5"/>
      <c r="C57" s="5"/>
      <c r="D57" s="138">
        <f>ROUND(0.1*(H46+H43),-4)</f>
        <v>1160000</v>
      </c>
      <c r="E57" s="719">
        <f>D57</f>
        <v>1160000</v>
      </c>
      <c r="F57" s="719">
        <f>E57</f>
        <v>1160000</v>
      </c>
      <c r="G57" s="719">
        <f>F57</f>
        <v>1160000</v>
      </c>
      <c r="H57" s="127">
        <f>(D57+E57+F57+17*G57)/20</f>
        <v>1160000</v>
      </c>
      <c r="I57" s="5"/>
      <c r="J57" s="5"/>
      <c r="K57" s="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</row>
    <row r="58" spans="1:45" ht="13.5" hidden="1" thickBot="1">
      <c r="A58" s="156" t="s">
        <v>56</v>
      </c>
      <c r="B58" s="5"/>
      <c r="C58" s="5"/>
      <c r="D58" s="192"/>
      <c r="E58" s="188"/>
      <c r="F58" s="188"/>
      <c r="G58" s="188"/>
      <c r="H58" s="544">
        <f>(D58+E58+F58+17*G58)/20</f>
        <v>0</v>
      </c>
      <c r="I58" s="5"/>
      <c r="J58" s="5"/>
      <c r="K58" s="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</row>
    <row r="59" spans="1:45">
      <c r="A59" s="83"/>
      <c r="B59" s="5"/>
      <c r="C59" s="5"/>
      <c r="D59" s="5"/>
      <c r="E59" s="5"/>
      <c r="F59" s="5"/>
      <c r="G59" s="5"/>
      <c r="H59" s="5"/>
      <c r="I59" s="5"/>
      <c r="J59" s="5"/>
      <c r="K59" s="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</row>
    <row r="60" spans="1:45">
      <c r="A60" s="101"/>
      <c r="B60" s="5"/>
      <c r="C60" s="5"/>
      <c r="D60" s="5"/>
      <c r="E60" s="5"/>
      <c r="F60" s="5"/>
      <c r="G60" s="5"/>
      <c r="H60" s="5"/>
      <c r="I60" s="5"/>
      <c r="J60" s="5"/>
      <c r="K60" s="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</row>
    <row r="61" spans="1:45">
      <c r="A61" s="101"/>
      <c r="B61" s="5"/>
      <c r="C61" s="5"/>
      <c r="D61" s="5"/>
      <c r="E61" s="5"/>
      <c r="F61" s="5"/>
      <c r="G61" s="5"/>
      <c r="H61" s="5"/>
      <c r="I61" s="5"/>
      <c r="J61" s="5"/>
      <c r="K61" s="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</row>
    <row r="62" spans="1:45">
      <c r="A62" s="101"/>
      <c r="B62" s="5"/>
      <c r="C62" s="5"/>
      <c r="D62" s="5"/>
      <c r="E62" s="5"/>
      <c r="F62" s="5"/>
      <c r="G62" s="5"/>
      <c r="H62" s="5"/>
      <c r="I62" s="5"/>
      <c r="J62" s="5"/>
      <c r="K62" s="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</row>
    <row r="63" spans="1:45">
      <c r="A63" s="66"/>
      <c r="B63" s="5"/>
      <c r="C63" s="5"/>
      <c r="D63" s="5"/>
      <c r="E63" s="5"/>
      <c r="F63" s="5"/>
      <c r="G63" s="5"/>
      <c r="H63" s="5"/>
      <c r="I63" s="5"/>
      <c r="J63" s="5"/>
      <c r="K63" s="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</row>
    <row r="64" spans="1:45">
      <c r="A64" s="66"/>
      <c r="B64" s="5"/>
      <c r="C64" s="5"/>
      <c r="D64" s="5"/>
      <c r="E64" s="5"/>
      <c r="F64" s="5"/>
      <c r="G64" s="5"/>
      <c r="H64" s="5"/>
      <c r="I64" s="5"/>
      <c r="J64" s="5"/>
      <c r="K64" s="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</row>
    <row r="65" spans="1:4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</row>
    <row r="66" spans="1:4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</row>
    <row r="67" spans="1:4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</row>
    <row r="68" spans="1:4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</row>
    <row r="69" spans="1:4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</row>
    <row r="70" spans="1:4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</row>
    <row r="71" spans="1:4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</row>
    <row r="72" spans="1:4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</row>
    <row r="73" spans="1:4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</row>
    <row r="74" spans="1:4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</row>
    <row r="75" spans="1:4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</row>
    <row r="76" spans="1:4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</row>
    <row r="77" spans="1:4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</row>
    <row r="78" spans="1:4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</row>
    <row r="79" spans="1:4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</row>
    <row r="80" spans="1:4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</row>
    <row r="81" spans="1:4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</row>
    <row r="82" spans="1:4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</row>
    <row r="83" spans="1:4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</row>
    <row r="84" spans="1:4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</row>
    <row r="85" spans="1:4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</row>
    <row r="86" spans="1:4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</row>
    <row r="87" spans="1:4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</row>
    <row r="88" spans="1:4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</row>
    <row r="89" spans="1:4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</row>
    <row r="90" spans="1:4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</row>
    <row r="91" spans="1:4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</row>
    <row r="92" spans="1:4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</row>
    <row r="93" spans="1:4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</row>
    <row r="94" spans="1:4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</row>
    <row r="95" spans="1:4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</row>
    <row r="96" spans="1:4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</row>
    <row r="97" spans="1:4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</row>
    <row r="98" spans="1:4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</row>
    <row r="99" spans="1:4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</row>
    <row r="100" spans="1:4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</row>
    <row r="101" spans="1:4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</row>
    <row r="102" spans="1:4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</row>
    <row r="103" spans="1:4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</row>
    <row r="104" spans="1:4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</row>
    <row r="105" spans="1:4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</row>
    <row r="106" spans="1:4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</row>
    <row r="107" spans="1:4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</row>
    <row r="108" spans="1:4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</row>
    <row r="109" spans="1:4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</row>
    <row r="110" spans="1:4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</row>
    <row r="111" spans="1:4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</row>
    <row r="112" spans="1:4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</row>
    <row r="113" spans="1:4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</row>
    <row r="114" spans="1:4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</row>
    <row r="115" spans="1:4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</row>
    <row r="116" spans="1:4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</row>
    <row r="117" spans="1:4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</row>
    <row r="118" spans="1:4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</row>
    <row r="119" spans="1:4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</row>
    <row r="120" spans="1:4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</row>
    <row r="121" spans="1:4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</row>
    <row r="122" spans="1:4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</row>
    <row r="123" spans="1:4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</row>
    <row r="124" spans="1:4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</row>
    <row r="125" spans="1:4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</row>
    <row r="126" spans="1:4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</row>
    <row r="127" spans="1:4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</row>
    <row r="128" spans="1:4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</row>
    <row r="129" spans="1:4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</row>
    <row r="130" spans="1:4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</row>
    <row r="131" spans="1:4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</row>
    <row r="132" spans="1:4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</row>
    <row r="133" spans="1:4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</row>
    <row r="134" spans="1:4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</row>
    <row r="135" spans="1:4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</row>
    <row r="136" spans="1:4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</row>
    <row r="137" spans="1:4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</row>
    <row r="138" spans="1:4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</row>
    <row r="139" spans="1:4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</row>
    <row r="140" spans="1:4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</row>
    <row r="141" spans="1:4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</row>
    <row r="142" spans="1:4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</row>
    <row r="143" spans="1:4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</row>
    <row r="144" spans="1:4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</row>
    <row r="145" spans="1: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</row>
    <row r="146" spans="1:4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</row>
    <row r="150" spans="1:4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</row>
    <row r="151" spans="1:4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</row>
    <row r="152" spans="1:4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</row>
    <row r="153" spans="1:4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</row>
    <row r="154" spans="1:4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</row>
    <row r="157" spans="1:4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</row>
    <row r="158" spans="1:4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</row>
    <row r="159" spans="1:4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</row>
    <row r="160" spans="1:4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</row>
    <row r="163" spans="1:4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</row>
    <row r="164" spans="1:4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</row>
    <row r="166" spans="1:4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</row>
    <row r="167" spans="1:4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</row>
    <row r="168" spans="1:4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</row>
    <row r="169" spans="1:4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</row>
    <row r="170" spans="1:4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</row>
    <row r="172" spans="1:4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</row>
    <row r="177" spans="1:4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</row>
    <row r="178" spans="1:4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</row>
    <row r="179" spans="1:4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</row>
    <row r="180" spans="1:4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</row>
    <row r="181" spans="1:4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</row>
    <row r="182" spans="1:4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</row>
    <row r="183" spans="1:4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</row>
    <row r="184" spans="1:4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</row>
    <row r="185" spans="1:4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</row>
    <row r="186" spans="1:4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</row>
    <row r="187" spans="1:4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</row>
    <row r="188" spans="1:4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</row>
    <row r="189" spans="1:4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</row>
    <row r="190" spans="1:4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</row>
    <row r="191" spans="1:4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</row>
    <row r="192" spans="1:4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</row>
    <row r="193" spans="1:4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</row>
    <row r="194" spans="1:4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</row>
    <row r="195" spans="1:4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</row>
    <row r="196" spans="1:4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</row>
    <row r="197" spans="1:4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</row>
    <row r="198" spans="1:4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</row>
    <row r="199" spans="1:4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</row>
    <row r="200" spans="1:4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</row>
    <row r="201" spans="1:4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</row>
    <row r="202" spans="1:4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</row>
    <row r="203" spans="1:4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</row>
    <row r="204" spans="1:4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</row>
    <row r="205" spans="1:4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</row>
    <row r="206" spans="1:4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</row>
    <row r="207" spans="1:4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</row>
    <row r="208" spans="1:4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</row>
    <row r="209" spans="1:4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</row>
    <row r="210" spans="1:4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</row>
    <row r="211" spans="1:4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</row>
    <row r="212" spans="1:4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</row>
    <row r="213" spans="1:4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</row>
    <row r="214" spans="1:4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</row>
    <row r="215" spans="1:4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</row>
    <row r="216" spans="1:4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</row>
    <row r="217" spans="1:4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</row>
    <row r="218" spans="1:4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</row>
    <row r="219" spans="1:4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</row>
    <row r="220" spans="1:4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</row>
    <row r="221" spans="1:4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</row>
    <row r="222" spans="1:4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</row>
    <row r="223" spans="1:4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</row>
    <row r="224" spans="1:4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</row>
    <row r="225" spans="1:4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</row>
    <row r="226" spans="1:4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</row>
    <row r="227" spans="1:4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</row>
    <row r="228" spans="1:4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</row>
    <row r="229" spans="1:4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</row>
    <row r="230" spans="1:4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</row>
    <row r="231" spans="1:4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</row>
    <row r="232" spans="1:4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</row>
    <row r="233" spans="1:4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</row>
    <row r="234" spans="1:4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</row>
    <row r="235" spans="1:4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</row>
    <row r="236" spans="1:4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</row>
    <row r="237" spans="1:4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</row>
    <row r="238" spans="1:4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</row>
    <row r="239" spans="1:4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</row>
    <row r="240" spans="1:4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</row>
    <row r="241" spans="1:4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</row>
    <row r="242" spans="1:4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</row>
    <row r="243" spans="1:4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</row>
    <row r="244" spans="1:4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</row>
    <row r="245" spans="1: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</row>
    <row r="246" spans="1:4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</row>
    <row r="247" spans="1:4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</row>
    <row r="248" spans="1:4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</row>
    <row r="249" spans="1:4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</row>
    <row r="250" spans="1:4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</row>
    <row r="251" spans="1:4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</row>
    <row r="252" spans="1:4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</row>
    <row r="253" spans="1:4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</row>
    <row r="254" spans="1:4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</row>
    <row r="255" spans="1:4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</row>
    <row r="256" spans="1:4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</row>
    <row r="257" spans="1:4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</row>
    <row r="258" spans="1:4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</row>
    <row r="259" spans="1:4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</row>
    <row r="260" spans="1:4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</row>
    <row r="261" spans="1:4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</row>
    <row r="262" spans="1:4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</row>
    <row r="263" spans="1:4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</row>
    <row r="264" spans="1:4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</row>
    <row r="265" spans="1:4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</row>
    <row r="266" spans="1:4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</row>
    <row r="267" spans="1:4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</row>
    <row r="268" spans="1:4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</row>
    <row r="269" spans="1:4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</row>
    <row r="270" spans="1:4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</row>
    <row r="271" spans="1:4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</row>
    <row r="272" spans="1:4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</row>
    <row r="273" spans="1:4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</row>
    <row r="274" spans="1:4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</row>
    <row r="275" spans="1:4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</row>
    <row r="276" spans="1:4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</row>
    <row r="277" spans="1:4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</row>
    <row r="278" spans="1:4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</row>
    <row r="279" spans="1:4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</row>
    <row r="280" spans="1:4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</row>
    <row r="281" spans="1:4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</row>
    <row r="282" spans="1:4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</row>
    <row r="283" spans="1:4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</row>
    <row r="284" spans="1:4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</row>
    <row r="285" spans="1:4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</row>
    <row r="286" spans="1:4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</row>
    <row r="287" spans="1:4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</row>
    <row r="288" spans="1:4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</row>
    <row r="289" spans="1:4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</row>
    <row r="290" spans="1:4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</row>
    <row r="291" spans="1:4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</row>
    <row r="292" spans="1:4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</row>
    <row r="293" spans="1:4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</row>
    <row r="294" spans="1:4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</row>
    <row r="295" spans="1:4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</row>
    <row r="296" spans="1:4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</row>
    <row r="297" spans="1:4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</row>
    <row r="298" spans="1:4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</row>
    <row r="299" spans="1:4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</row>
    <row r="300" spans="1:4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</row>
    <row r="301" spans="1:4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</row>
    <row r="302" spans="1:4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</row>
    <row r="303" spans="1:4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</row>
    <row r="304" spans="1:4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</row>
    <row r="305" spans="1:4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</row>
    <row r="306" spans="1:4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</row>
    <row r="307" spans="1:4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</row>
    <row r="308" spans="1:4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</row>
    <row r="309" spans="1:4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</row>
    <row r="310" spans="1:4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</row>
    <row r="311" spans="1:4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</row>
    <row r="312" spans="1:4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</row>
    <row r="313" spans="1:4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</row>
    <row r="314" spans="1:4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</row>
    <row r="315" spans="1:4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</row>
    <row r="316" spans="1:4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</row>
    <row r="317" spans="1:4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</row>
    <row r="318" spans="1:4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</row>
    <row r="319" spans="1:4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</row>
    <row r="320" spans="1:4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</row>
    <row r="321" spans="1:4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</row>
    <row r="322" spans="1:4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</row>
    <row r="323" spans="1:4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</row>
    <row r="324" spans="1:4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</row>
    <row r="325" spans="1:4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</row>
    <row r="326" spans="1:4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</row>
    <row r="327" spans="1:4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</row>
    <row r="328" spans="1:4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</row>
    <row r="329" spans="1:4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</row>
    <row r="330" spans="1:4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</row>
    <row r="331" spans="1:4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</row>
    <row r="332" spans="1:4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</row>
    <row r="333" spans="1:4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</row>
    <row r="334" spans="1:4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</row>
    <row r="335" spans="1:4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</row>
    <row r="336" spans="1:4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</row>
    <row r="337" spans="1:4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</row>
    <row r="338" spans="1:4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</row>
    <row r="339" spans="1:4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</row>
    <row r="340" spans="1:4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</row>
    <row r="341" spans="1:4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</row>
    <row r="342" spans="1:4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</row>
    <row r="343" spans="1:4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</row>
    <row r="344" spans="1:4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</row>
    <row r="345" spans="1: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</row>
    <row r="346" spans="1:4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</row>
    <row r="347" spans="1:4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</row>
    <row r="348" spans="1:4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</row>
    <row r="349" spans="1:4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</row>
    <row r="350" spans="1:4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</row>
    <row r="351" spans="1:4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</row>
    <row r="352" spans="1:4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</row>
    <row r="353" spans="1:4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</row>
    <row r="354" spans="1:4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</row>
    <row r="355" spans="1:4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</row>
    <row r="356" spans="1:4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</row>
    <row r="357" spans="1:4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</row>
    <row r="358" spans="1:4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</row>
    <row r="359" spans="1:4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</row>
    <row r="360" spans="1:4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</row>
    <row r="361" spans="1:4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</row>
    <row r="362" spans="1:4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</row>
    <row r="363" spans="1:4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</row>
    <row r="364" spans="1:4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</row>
  </sheetData>
  <printOptions horizontalCentered="1"/>
  <pageMargins left="0.75" right="0.75" top="1" bottom="1" header="0.5" footer="0.5"/>
  <pageSetup scale="74" firstPageNumber="18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77"/>
  <sheetViews>
    <sheetView showGridLines="0" zoomScale="75" workbookViewId="0">
      <selection activeCell="H32" sqref="H32"/>
    </sheetView>
  </sheetViews>
  <sheetFormatPr defaultRowHeight="12.75"/>
  <cols>
    <col min="1" max="1" width="2.7109375" customWidth="1"/>
    <col min="2" max="2" width="31.85546875" customWidth="1"/>
    <col min="3" max="3" width="10.85546875" customWidth="1"/>
    <col min="4" max="4" width="9.28515625" customWidth="1"/>
    <col min="5" max="5" width="13.140625" customWidth="1"/>
    <col min="6" max="6" width="13.85546875" customWidth="1"/>
    <col min="7" max="7" width="12" customWidth="1"/>
    <col min="8" max="8" width="13" style="385" customWidth="1"/>
    <col min="9" max="9" width="12.5703125" bestFit="1" customWidth="1"/>
    <col min="10" max="10" width="12" bestFit="1" customWidth="1"/>
    <col min="11" max="11" width="13.28515625" customWidth="1"/>
    <col min="12" max="12" width="12.7109375" style="385" customWidth="1"/>
    <col min="13" max="13" width="13.5703125" style="385" customWidth="1"/>
    <col min="17" max="17" width="10.5703125" style="86" customWidth="1"/>
    <col min="18" max="18" width="22.42578125" customWidth="1"/>
  </cols>
  <sheetData>
    <row r="1" spans="1:18" ht="18">
      <c r="D1" s="378" t="str">
        <f>Summary!$A$1</f>
        <v>AES Corp, Dallas, TX (640 MW)</v>
      </c>
    </row>
    <row r="2" spans="1:18" ht="21.75" customHeight="1">
      <c r="G2" s="374" t="s">
        <v>1369</v>
      </c>
    </row>
    <row r="4" spans="1:18">
      <c r="A4" s="420" t="s">
        <v>1366</v>
      </c>
      <c r="B4" s="421"/>
      <c r="C4" s="525">
        <v>0</v>
      </c>
    </row>
    <row r="5" spans="1:18" ht="18" customHeight="1">
      <c r="A5" s="420" t="s">
        <v>303</v>
      </c>
      <c r="B5" s="420"/>
      <c r="C5" s="526" t="str">
        <f>Plant_Staff!R7</f>
        <v>US - Central</v>
      </c>
    </row>
    <row r="6" spans="1:18" ht="16.5" thickBot="1">
      <c r="A6" s="375"/>
      <c r="Q6" s="185" t="s">
        <v>434</v>
      </c>
    </row>
    <row r="7" spans="1:18" s="132" customFormat="1" ht="66" customHeight="1" thickBot="1">
      <c r="A7" s="392"/>
      <c r="B7" s="409" t="s">
        <v>59</v>
      </c>
      <c r="C7" s="393" t="s">
        <v>1355</v>
      </c>
      <c r="D7" s="393" t="s">
        <v>1356</v>
      </c>
      <c r="E7" s="393" t="s">
        <v>1357</v>
      </c>
      <c r="F7" s="393" t="s">
        <v>1358</v>
      </c>
      <c r="G7" s="393" t="s">
        <v>1365</v>
      </c>
      <c r="H7" s="394" t="s">
        <v>443</v>
      </c>
      <c r="I7" s="393" t="s">
        <v>604</v>
      </c>
      <c r="J7" s="393" t="s">
        <v>1359</v>
      </c>
      <c r="K7" s="393" t="s">
        <v>1360</v>
      </c>
      <c r="L7" s="395" t="s">
        <v>1354</v>
      </c>
      <c r="M7" s="396" t="s">
        <v>1363</v>
      </c>
      <c r="N7" s="384"/>
      <c r="O7" s="384"/>
      <c r="Q7" s="627">
        <v>3</v>
      </c>
      <c r="R7" s="626" t="str">
        <f>INDEX(R8:R27,Q7,1)</f>
        <v>US - Central</v>
      </c>
    </row>
    <row r="8" spans="1:18" ht="10.5" customHeight="1">
      <c r="A8" s="148"/>
      <c r="B8" s="102"/>
      <c r="C8" s="152"/>
      <c r="D8" s="152"/>
      <c r="E8" s="152"/>
      <c r="F8" s="152"/>
      <c r="G8" s="152"/>
      <c r="H8" s="389"/>
      <c r="I8" s="152"/>
      <c r="J8" s="152"/>
      <c r="K8" s="152"/>
      <c r="L8" s="391"/>
      <c r="M8" s="386"/>
      <c r="Q8" s="628">
        <v>1</v>
      </c>
      <c r="R8" s="623" t="str">
        <f>'Labor_ Lookup'!E$4</f>
        <v>US - North-East</v>
      </c>
    </row>
    <row r="9" spans="1:18">
      <c r="A9" s="387" t="s">
        <v>266</v>
      </c>
      <c r="B9" s="102"/>
      <c r="C9" s="152"/>
      <c r="D9" s="152"/>
      <c r="E9" s="152"/>
      <c r="F9" s="152"/>
      <c r="G9" s="152"/>
      <c r="H9" s="389"/>
      <c r="I9" s="152"/>
      <c r="J9" s="152"/>
      <c r="K9" s="152"/>
      <c r="L9" s="391"/>
      <c r="M9" s="386"/>
      <c r="Q9" s="628">
        <f t="shared" ref="Q9:Q27" si="0">Q8+1</f>
        <v>2</v>
      </c>
      <c r="R9" s="623" t="str">
        <f>'Labor_ Lookup'!F$4</f>
        <v>US - South-East</v>
      </c>
    </row>
    <row r="10" spans="1:18">
      <c r="A10" s="148"/>
      <c r="B10" s="556" t="str">
        <f>'Plant Configuration'!C13</f>
        <v>Plant Manager</v>
      </c>
      <c r="C10" s="397">
        <v>0</v>
      </c>
      <c r="D10" s="846">
        <f>IF('O&amp;M Backup_Detail'!$O$7=6,0,HLOOKUP('O&amp;M Backup_Detail'!$D$5,Plant_Configuration,'Plant Configuration'!A13,FALSE))+IF('O&amp;M Backup_Detail'!$R$7=6,0,HLOOKUP('O&amp;M Backup_Detail'!$E$5,Plant_Configuration,'Plant Configuration'!A13,FALSE))+IF('O&amp;M Backup_Detail'!$U$7=6,0,HLOOKUP('O&amp;M Backup_Detail'!$F$5,Plant_Configuration,'Plant Configuration'!A13,FALSE))</f>
        <v>1</v>
      </c>
      <c r="E10" s="523">
        <f>IF(C10&gt;0,12,0)</f>
        <v>0</v>
      </c>
      <c r="F10" s="523">
        <f>IF(D10&gt;0,12,0)</f>
        <v>12</v>
      </c>
      <c r="G10" s="160">
        <f>C10*E10/12+D10*F10/12</f>
        <v>1</v>
      </c>
      <c r="H10" s="532">
        <f>IF(D10&gt;0,HLOOKUP($C$5,Labor_Salary,'Labor_ Lookup'!A8,FALSE),0)</f>
        <v>87000</v>
      </c>
      <c r="I10" s="390">
        <v>0</v>
      </c>
      <c r="J10" s="390">
        <v>0.70199999999999996</v>
      </c>
      <c r="K10" s="390">
        <v>0.53100000000000003</v>
      </c>
      <c r="L10" s="391">
        <f t="shared" ref="L10:L20" si="1">(C10*($H10+($H10*$I10)+($H10*$J10)+($H10*$I10*$K10))*E10/12)</f>
        <v>0</v>
      </c>
      <c r="M10" s="386">
        <f t="shared" ref="M10:M20" si="2">(D10*($H10+($H10*$I10)+($H10*$J10)+($H10*$I10*$K10))*F10/12)</f>
        <v>148074</v>
      </c>
      <c r="Q10" s="628">
        <f t="shared" si="0"/>
        <v>3</v>
      </c>
      <c r="R10" s="623" t="str">
        <f>'Labor_ Lookup'!G$4</f>
        <v>US - Central</v>
      </c>
    </row>
    <row r="11" spans="1:18">
      <c r="A11" s="148"/>
      <c r="B11" s="556" t="str">
        <f>'Plant Configuration'!C14</f>
        <v>Assistant Plant Manager</v>
      </c>
      <c r="C11" s="397">
        <v>0</v>
      </c>
      <c r="D11" s="846">
        <f>IF('O&amp;M Backup_Detail'!$O$7=6,0,HLOOKUP('O&amp;M Backup_Detail'!$D$5,Plant_Configuration,'Plant Configuration'!A14,FALSE))+IF('O&amp;M Backup_Detail'!$R$7=6,0,HLOOKUP('O&amp;M Backup_Detail'!$E$5,Plant_Configuration,'Plant Configuration'!A14,FALSE))+IF('O&amp;M Backup_Detail'!$U$7=6,0,HLOOKUP('O&amp;M Backup_Detail'!$F$5,Plant_Configuration,'Plant Configuration'!A14,FALSE))</f>
        <v>0</v>
      </c>
      <c r="E11" s="523">
        <f t="shared" ref="E11:E46" si="3">IF(C11&gt;0,12,0)</f>
        <v>0</v>
      </c>
      <c r="F11" s="523">
        <f t="shared" ref="F11:F46" si="4">IF(D11&gt;0,12,0)</f>
        <v>0</v>
      </c>
      <c r="G11" s="160">
        <f t="shared" ref="G11:G20" si="5">C11*E11/12+D11*F11/12</f>
        <v>0</v>
      </c>
      <c r="H11" s="532">
        <f>IF(D11&gt;0,HLOOKUP($C$5,Labor_Salary,'Labor_ Lookup'!A9,FALSE),0)</f>
        <v>0</v>
      </c>
      <c r="I11" s="390">
        <v>0</v>
      </c>
      <c r="J11" s="390">
        <v>0.70199999999999996</v>
      </c>
      <c r="K11" s="390">
        <v>0.53100000000000003</v>
      </c>
      <c r="L11" s="391">
        <f t="shared" si="1"/>
        <v>0</v>
      </c>
      <c r="M11" s="386">
        <f t="shared" si="2"/>
        <v>0</v>
      </c>
      <c r="Q11" s="628">
        <f t="shared" si="0"/>
        <v>4</v>
      </c>
      <c r="R11" s="623" t="str">
        <f>'Labor_ Lookup'!H$4</f>
        <v>US - South</v>
      </c>
    </row>
    <row r="12" spans="1:18">
      <c r="A12" s="148"/>
      <c r="B12" s="556" t="str">
        <f>'Plant Configuration'!C15</f>
        <v>Plant Engineer</v>
      </c>
      <c r="C12" s="397">
        <v>0</v>
      </c>
      <c r="D12" s="846">
        <f>IF('O&amp;M Backup_Detail'!$O$7=6,0,HLOOKUP('O&amp;M Backup_Detail'!$D$5,Plant_Configuration,'Plant Configuration'!A15,FALSE))+IF('O&amp;M Backup_Detail'!$R$7=6,0,HLOOKUP('O&amp;M Backup_Detail'!$E$5,Plant_Configuration,'Plant Configuration'!A15,FALSE))+IF('O&amp;M Backup_Detail'!$U$7=6,0,HLOOKUP('O&amp;M Backup_Detail'!$F$5,Plant_Configuration,'Plant Configuration'!A15,FALSE))</f>
        <v>0</v>
      </c>
      <c r="E12" s="523">
        <f t="shared" si="3"/>
        <v>0</v>
      </c>
      <c r="F12" s="523">
        <f t="shared" si="4"/>
        <v>0</v>
      </c>
      <c r="G12" s="160">
        <f t="shared" si="5"/>
        <v>0</v>
      </c>
      <c r="H12" s="532">
        <f>IF(D12&gt;0,HLOOKUP($C$5,Labor_Salary,'Labor_ Lookup'!A10,FALSE),0)</f>
        <v>0</v>
      </c>
      <c r="I12" s="390">
        <v>0</v>
      </c>
      <c r="J12" s="390">
        <v>0.70199999999999996</v>
      </c>
      <c r="K12" s="390">
        <v>0.53100000000000003</v>
      </c>
      <c r="L12" s="391">
        <f t="shared" si="1"/>
        <v>0</v>
      </c>
      <c r="M12" s="386">
        <f t="shared" si="2"/>
        <v>0</v>
      </c>
      <c r="Q12" s="628">
        <f t="shared" si="0"/>
        <v>5</v>
      </c>
      <c r="R12" s="623" t="str">
        <f>'Labor_ Lookup'!I$4</f>
        <v>US - North-West</v>
      </c>
    </row>
    <row r="13" spans="1:18">
      <c r="A13" s="148"/>
      <c r="B13" s="556" t="str">
        <f>'Plant Configuration'!C16</f>
        <v>Administration Manager</v>
      </c>
      <c r="C13" s="397">
        <v>0</v>
      </c>
      <c r="D13" s="846">
        <f>IF('O&amp;M Backup_Detail'!$O$7=6,0,HLOOKUP('O&amp;M Backup_Detail'!$D$5,Plant_Configuration,'Plant Configuration'!A16,FALSE))+IF('O&amp;M Backup_Detail'!$R$7=6,0,HLOOKUP('O&amp;M Backup_Detail'!$E$5,Plant_Configuration,'Plant Configuration'!A16,FALSE))+IF('O&amp;M Backup_Detail'!$U$7=6,0,HLOOKUP('O&amp;M Backup_Detail'!$F$5,Plant_Configuration,'Plant Configuration'!A16,FALSE))</f>
        <v>0</v>
      </c>
      <c r="E13" s="523">
        <f t="shared" si="3"/>
        <v>0</v>
      </c>
      <c r="F13" s="523">
        <f t="shared" si="4"/>
        <v>0</v>
      </c>
      <c r="G13" s="160">
        <f t="shared" si="5"/>
        <v>0</v>
      </c>
      <c r="H13" s="532">
        <f>IF(D13&gt;0,HLOOKUP($C$5,Labor_Salary,'Labor_ Lookup'!A11,FALSE),0)</f>
        <v>0</v>
      </c>
      <c r="I13" s="390">
        <v>0</v>
      </c>
      <c r="J13" s="390">
        <v>0.70199999999999996</v>
      </c>
      <c r="K13" s="390">
        <v>0.53100000000000003</v>
      </c>
      <c r="L13" s="391">
        <f t="shared" si="1"/>
        <v>0</v>
      </c>
      <c r="M13" s="386">
        <f t="shared" si="2"/>
        <v>0</v>
      </c>
      <c r="Q13" s="628">
        <f t="shared" si="0"/>
        <v>6</v>
      </c>
      <c r="R13" s="623" t="str">
        <f>'Labor_ Lookup'!J$4</f>
        <v>US - California</v>
      </c>
    </row>
    <row r="14" spans="1:18">
      <c r="A14" s="148"/>
      <c r="B14" s="556" t="str">
        <f>'Plant Configuration'!C17</f>
        <v>Controller</v>
      </c>
      <c r="C14" s="397">
        <v>0</v>
      </c>
      <c r="D14" s="846">
        <f>IF('O&amp;M Backup_Detail'!$O$7=6,0,HLOOKUP('O&amp;M Backup_Detail'!$D$5,Plant_Configuration,'Plant Configuration'!A17,FALSE))+IF('O&amp;M Backup_Detail'!$R$7=6,0,HLOOKUP('O&amp;M Backup_Detail'!$E$5,Plant_Configuration,'Plant Configuration'!A17,FALSE))+IF('O&amp;M Backup_Detail'!$U$7=6,0,HLOOKUP('O&amp;M Backup_Detail'!$F$5,Plant_Configuration,'Plant Configuration'!A17,FALSE))</f>
        <v>0</v>
      </c>
      <c r="E14" s="523">
        <f t="shared" si="3"/>
        <v>0</v>
      </c>
      <c r="F14" s="523">
        <f t="shared" si="4"/>
        <v>0</v>
      </c>
      <c r="G14" s="160">
        <f t="shared" si="5"/>
        <v>0</v>
      </c>
      <c r="H14" s="532">
        <f>IF(D14&gt;0,HLOOKUP($C$5,Labor_Salary,'Labor_ Lookup'!A12,FALSE),0)</f>
        <v>0</v>
      </c>
      <c r="I14" s="390">
        <v>0</v>
      </c>
      <c r="J14" s="390">
        <v>0.70199999999999996</v>
      </c>
      <c r="K14" s="390">
        <v>0.53100000000000003</v>
      </c>
      <c r="L14" s="391">
        <f t="shared" si="1"/>
        <v>0</v>
      </c>
      <c r="M14" s="386">
        <f t="shared" si="2"/>
        <v>0</v>
      </c>
      <c r="Q14" s="628">
        <f t="shared" si="0"/>
        <v>7</v>
      </c>
      <c r="R14" s="623" t="str">
        <f>'Labor_ Lookup'!K$4</f>
        <v>India</v>
      </c>
    </row>
    <row r="15" spans="1:18">
      <c r="A15" s="148"/>
      <c r="B15" s="556" t="str">
        <f>'Plant Configuration'!C18</f>
        <v>Accountant</v>
      </c>
      <c r="C15" s="397">
        <v>0</v>
      </c>
      <c r="D15" s="846">
        <f>IF('O&amp;M Backup_Detail'!$O$7=6,0,HLOOKUP('O&amp;M Backup_Detail'!$D$5,Plant_Configuration,'Plant Configuration'!A18,FALSE))+IF('O&amp;M Backup_Detail'!$R$7=6,0,HLOOKUP('O&amp;M Backup_Detail'!$E$5,Plant_Configuration,'Plant Configuration'!A18,FALSE))+IF('O&amp;M Backup_Detail'!$U$7=6,0,HLOOKUP('O&amp;M Backup_Detail'!$F$5,Plant_Configuration,'Plant Configuration'!A18,FALSE))</f>
        <v>0</v>
      </c>
      <c r="E15" s="523">
        <f t="shared" si="3"/>
        <v>0</v>
      </c>
      <c r="F15" s="523">
        <f t="shared" si="4"/>
        <v>0</v>
      </c>
      <c r="G15" s="160">
        <f t="shared" si="5"/>
        <v>0</v>
      </c>
      <c r="H15" s="532">
        <f>IF(D15&gt;0,HLOOKUP($C$5,Labor_Salary,'Labor_ Lookup'!A13,FALSE),0)</f>
        <v>0</v>
      </c>
      <c r="I15" s="390">
        <v>0.1</v>
      </c>
      <c r="J15" s="390">
        <v>0.70199999999999996</v>
      </c>
      <c r="K15" s="390">
        <v>0.53100000000000003</v>
      </c>
      <c r="L15" s="391">
        <f t="shared" si="1"/>
        <v>0</v>
      </c>
      <c r="M15" s="386">
        <f t="shared" si="2"/>
        <v>0</v>
      </c>
      <c r="Q15" s="628">
        <f t="shared" si="0"/>
        <v>8</v>
      </c>
      <c r="R15" s="623">
        <f>'Labor_ Lookup'!L$4</f>
        <v>0</v>
      </c>
    </row>
    <row r="16" spans="1:18">
      <c r="A16" s="148"/>
      <c r="B16" s="556" t="str">
        <f>'Plant Configuration'!C19</f>
        <v>Administrative Assistant</v>
      </c>
      <c r="C16" s="397">
        <v>0</v>
      </c>
      <c r="D16" s="846">
        <f>IF('O&amp;M Backup_Detail'!$O$7=6,0,HLOOKUP('O&amp;M Backup_Detail'!$D$5,Plant_Configuration,'Plant Configuration'!A19,FALSE))+IF('O&amp;M Backup_Detail'!$R$7=6,0,HLOOKUP('O&amp;M Backup_Detail'!$E$5,Plant_Configuration,'Plant Configuration'!A19,FALSE))+IF('O&amp;M Backup_Detail'!$U$7=6,0,HLOOKUP('O&amp;M Backup_Detail'!$F$5,Plant_Configuration,'Plant Configuration'!A19,FALSE))</f>
        <v>1</v>
      </c>
      <c r="E16" s="523">
        <f t="shared" si="3"/>
        <v>0</v>
      </c>
      <c r="F16" s="523">
        <f t="shared" si="4"/>
        <v>12</v>
      </c>
      <c r="G16" s="160">
        <f t="shared" si="5"/>
        <v>1</v>
      </c>
      <c r="H16" s="532">
        <f>IF(D16&gt;0,HLOOKUP($C$5,Labor_Salary,'Labor_ Lookup'!A14,FALSE),0)</f>
        <v>27000</v>
      </c>
      <c r="I16" s="390">
        <v>0.15</v>
      </c>
      <c r="J16" s="390">
        <v>0.70199999999999996</v>
      </c>
      <c r="K16" s="390">
        <v>0.53100000000000003</v>
      </c>
      <c r="L16" s="391">
        <f t="shared" si="1"/>
        <v>0</v>
      </c>
      <c r="M16" s="386">
        <f t="shared" si="2"/>
        <v>52154.55000000001</v>
      </c>
      <c r="Q16" s="628">
        <f t="shared" si="0"/>
        <v>9</v>
      </c>
      <c r="R16" s="623">
        <f>'Labor_ Lookup'!M$4</f>
        <v>0</v>
      </c>
    </row>
    <row r="17" spans="1:18">
      <c r="A17" s="148"/>
      <c r="B17" s="556" t="str">
        <f>'Plant Configuration'!C20</f>
        <v>Warehouse Supervisor</v>
      </c>
      <c r="C17" s="397">
        <v>0</v>
      </c>
      <c r="D17" s="846">
        <f>IF('O&amp;M Backup_Detail'!$O$7=6,0,HLOOKUP('O&amp;M Backup_Detail'!$D$5,Plant_Configuration,'Plant Configuration'!A20,FALSE))+IF('O&amp;M Backup_Detail'!$R$7=6,0,HLOOKUP('O&amp;M Backup_Detail'!$E$5,Plant_Configuration,'Plant Configuration'!A20,FALSE))+IF('O&amp;M Backup_Detail'!$U$7=6,0,HLOOKUP('O&amp;M Backup_Detail'!$F$5,Plant_Configuration,'Plant Configuration'!A20,FALSE))</f>
        <v>0</v>
      </c>
      <c r="E17" s="523">
        <f t="shared" si="3"/>
        <v>0</v>
      </c>
      <c r="F17" s="523">
        <f t="shared" si="4"/>
        <v>0</v>
      </c>
      <c r="G17" s="160">
        <f t="shared" si="5"/>
        <v>0</v>
      </c>
      <c r="H17" s="532">
        <f>IF(D17&gt;0,HLOOKUP($C$5,Labor_Salary,'Labor_ Lookup'!A15,FALSE),0)</f>
        <v>0</v>
      </c>
      <c r="I17" s="390">
        <v>0</v>
      </c>
      <c r="J17" s="390">
        <v>0.70199999999999996</v>
      </c>
      <c r="K17" s="390">
        <v>0.53100000000000003</v>
      </c>
      <c r="L17" s="391">
        <f t="shared" si="1"/>
        <v>0</v>
      </c>
      <c r="M17" s="386">
        <f t="shared" si="2"/>
        <v>0</v>
      </c>
      <c r="Q17" s="628">
        <f t="shared" si="0"/>
        <v>10</v>
      </c>
      <c r="R17" s="623">
        <f>'Labor_ Lookup'!N$4</f>
        <v>0</v>
      </c>
    </row>
    <row r="18" spans="1:18">
      <c r="A18" s="148"/>
      <c r="B18" s="556" t="str">
        <f>'Plant Configuration'!C21</f>
        <v>Other</v>
      </c>
      <c r="C18" s="397">
        <v>0</v>
      </c>
      <c r="D18" s="846">
        <f>IF('O&amp;M Backup_Detail'!$O$7=6,0,HLOOKUP('O&amp;M Backup_Detail'!$D$5,Plant_Configuration,'Plant Configuration'!A21,FALSE))+IF('O&amp;M Backup_Detail'!$R$7=6,0,HLOOKUP('O&amp;M Backup_Detail'!$E$5,Plant_Configuration,'Plant Configuration'!A21,FALSE))+IF('O&amp;M Backup_Detail'!$U$7=6,0,HLOOKUP('O&amp;M Backup_Detail'!$F$5,Plant_Configuration,'Plant Configuration'!A21,FALSE))</f>
        <v>0</v>
      </c>
      <c r="E18" s="523">
        <f t="shared" si="3"/>
        <v>0</v>
      </c>
      <c r="F18" s="523">
        <f t="shared" si="4"/>
        <v>0</v>
      </c>
      <c r="G18" s="160">
        <f t="shared" si="5"/>
        <v>0</v>
      </c>
      <c r="H18" s="532">
        <f>IF(D18&gt;0,HLOOKUP($C$5,Labor_Salary,'Labor_ Lookup'!A16,FALSE),0)</f>
        <v>0</v>
      </c>
      <c r="I18" s="390">
        <v>0</v>
      </c>
      <c r="J18" s="390">
        <v>0.70199999999999996</v>
      </c>
      <c r="K18" s="390">
        <v>0.53100000000000003</v>
      </c>
      <c r="L18" s="391">
        <f t="shared" si="1"/>
        <v>0</v>
      </c>
      <c r="M18" s="386">
        <f t="shared" si="2"/>
        <v>0</v>
      </c>
      <c r="Q18" s="628">
        <f t="shared" si="0"/>
        <v>11</v>
      </c>
      <c r="R18" s="623">
        <f>'Labor_ Lookup'!O$4</f>
        <v>0</v>
      </c>
    </row>
    <row r="19" spans="1:18">
      <c r="A19" s="148"/>
      <c r="B19" s="556" t="str">
        <f>'Plant Configuration'!C22</f>
        <v>Other</v>
      </c>
      <c r="C19" s="397">
        <v>0</v>
      </c>
      <c r="D19" s="846">
        <f>IF('O&amp;M Backup_Detail'!$O$7=6,0,HLOOKUP('O&amp;M Backup_Detail'!$D$5,Plant_Configuration,'Plant Configuration'!A22,FALSE))+IF('O&amp;M Backup_Detail'!$R$7=6,0,HLOOKUP('O&amp;M Backup_Detail'!$E$5,Plant_Configuration,'Plant Configuration'!A22,FALSE))+IF('O&amp;M Backup_Detail'!$U$7=6,0,HLOOKUP('O&amp;M Backup_Detail'!$F$5,Plant_Configuration,'Plant Configuration'!A22,FALSE))</f>
        <v>0</v>
      </c>
      <c r="E19" s="523">
        <f t="shared" si="3"/>
        <v>0</v>
      </c>
      <c r="F19" s="523">
        <f t="shared" si="4"/>
        <v>0</v>
      </c>
      <c r="G19" s="160">
        <f t="shared" si="5"/>
        <v>0</v>
      </c>
      <c r="H19" s="532">
        <f>IF(D19&gt;0,HLOOKUP($C$5,Labor_Salary,'Labor_ Lookup'!A17,FALSE),0)</f>
        <v>0</v>
      </c>
      <c r="I19" s="390">
        <v>0</v>
      </c>
      <c r="J19" s="390">
        <v>0.70199999999999996</v>
      </c>
      <c r="K19" s="390">
        <v>0.53100000000000003</v>
      </c>
      <c r="L19" s="391">
        <f t="shared" si="1"/>
        <v>0</v>
      </c>
      <c r="M19" s="386">
        <f t="shared" si="2"/>
        <v>0</v>
      </c>
      <c r="Q19" s="628">
        <f t="shared" si="0"/>
        <v>12</v>
      </c>
      <c r="R19" s="623">
        <f>'Labor_ Lookup'!P$4</f>
        <v>0</v>
      </c>
    </row>
    <row r="20" spans="1:18">
      <c r="A20" s="148"/>
      <c r="B20" s="556" t="str">
        <f>'Plant Configuration'!C23</f>
        <v>Other</v>
      </c>
      <c r="C20" s="397">
        <v>0</v>
      </c>
      <c r="D20" s="846">
        <f>IF('O&amp;M Backup_Detail'!$O$7=6,0,HLOOKUP('O&amp;M Backup_Detail'!$D$5,Plant_Configuration,'Plant Configuration'!A23,FALSE))+IF('O&amp;M Backup_Detail'!$R$7=6,0,HLOOKUP('O&amp;M Backup_Detail'!$E$5,Plant_Configuration,'Plant Configuration'!A23,FALSE))+IF('O&amp;M Backup_Detail'!$U$7=6,0,HLOOKUP('O&amp;M Backup_Detail'!$F$5,Plant_Configuration,'Plant Configuration'!A23,FALSE))</f>
        <v>0</v>
      </c>
      <c r="E20" s="523">
        <f t="shared" si="3"/>
        <v>0</v>
      </c>
      <c r="F20" s="523">
        <f t="shared" si="4"/>
        <v>0</v>
      </c>
      <c r="G20" s="160">
        <f t="shared" si="5"/>
        <v>0</v>
      </c>
      <c r="H20" s="532">
        <f>IF(D20&gt;0,HLOOKUP($C$5,Labor_Salary,'Labor_ Lookup'!A18,FALSE),0)</f>
        <v>0</v>
      </c>
      <c r="I20" s="390">
        <v>0</v>
      </c>
      <c r="J20" s="390">
        <v>0.70199999999999996</v>
      </c>
      <c r="K20" s="390">
        <v>0.53100000000000003</v>
      </c>
      <c r="L20" s="391">
        <f t="shared" si="1"/>
        <v>0</v>
      </c>
      <c r="M20" s="386">
        <f t="shared" si="2"/>
        <v>0</v>
      </c>
      <c r="Q20" s="628">
        <f t="shared" si="0"/>
        <v>13</v>
      </c>
      <c r="R20" s="623">
        <f>'Labor_ Lookup'!Q$4</f>
        <v>0</v>
      </c>
    </row>
    <row r="21" spans="1:18">
      <c r="A21" s="148"/>
      <c r="B21" s="273"/>
      <c r="C21" s="397"/>
      <c r="D21" s="523"/>
      <c r="E21" s="523"/>
      <c r="F21" s="523"/>
      <c r="G21" s="160"/>
      <c r="H21" s="532"/>
      <c r="I21" s="388"/>
      <c r="J21" s="388"/>
      <c r="K21" s="388"/>
      <c r="L21" s="391"/>
      <c r="M21" s="386"/>
      <c r="Q21" s="628">
        <f t="shared" si="0"/>
        <v>14</v>
      </c>
      <c r="R21" s="623">
        <f>'Labor_ Lookup'!R$4</f>
        <v>0</v>
      </c>
    </row>
    <row r="22" spans="1:18">
      <c r="A22" s="387" t="s">
        <v>267</v>
      </c>
      <c r="B22" s="273"/>
      <c r="C22" s="397"/>
      <c r="D22" s="523"/>
      <c r="E22" s="523"/>
      <c r="F22" s="523"/>
      <c r="G22" s="160"/>
      <c r="H22" s="532"/>
      <c r="I22" s="388"/>
      <c r="J22" s="388"/>
      <c r="K22" s="388"/>
      <c r="L22" s="391"/>
      <c r="M22" s="386"/>
      <c r="Q22" s="628">
        <f t="shared" si="0"/>
        <v>15</v>
      </c>
      <c r="R22" s="624"/>
    </row>
    <row r="23" spans="1:18">
      <c r="A23" s="148"/>
      <c r="B23" s="556" t="str">
        <f>'Plant Configuration'!C26</f>
        <v>Operations Manager</v>
      </c>
      <c r="C23" s="397">
        <v>0</v>
      </c>
      <c r="D23" s="846">
        <f>IF('O&amp;M Backup_Detail'!$O$7=6,0,HLOOKUP('O&amp;M Backup_Detail'!$D$5,Plant_Configuration,'Plant Configuration'!A26,FALSE))+IF('O&amp;M Backup_Detail'!$R$7=6,0,HLOOKUP('O&amp;M Backup_Detail'!$E$5,Plant_Configuration,'Plant Configuration'!A26,FALSE))+IF('O&amp;M Backup_Detail'!$U$7=6,0,HLOOKUP('O&amp;M Backup_Detail'!$F$5,Plant_Configuration,'Plant Configuration'!A26,FALSE))</f>
        <v>1</v>
      </c>
      <c r="E23" s="523">
        <f t="shared" si="3"/>
        <v>0</v>
      </c>
      <c r="F23" s="523">
        <f t="shared" si="4"/>
        <v>12</v>
      </c>
      <c r="G23" s="160">
        <f>C23*E23/12+D23*F23/12</f>
        <v>1</v>
      </c>
      <c r="H23" s="532">
        <f>IF(D23&gt;0,HLOOKUP($C$5,Labor_Salary,'Labor_ Lookup'!A21,FALSE),0)</f>
        <v>70000</v>
      </c>
      <c r="I23" s="390">
        <v>0</v>
      </c>
      <c r="J23" s="390">
        <v>0.70199999999999996</v>
      </c>
      <c r="K23" s="390">
        <v>0.53100000000000003</v>
      </c>
      <c r="L23" s="391">
        <f t="shared" ref="L23:L33" si="6">(C23*($H23+($H23*$I23)+($H23*$J23)+($H23*$I23*$K23))*E23/12)</f>
        <v>0</v>
      </c>
      <c r="M23" s="386">
        <f t="shared" ref="M23:M33" si="7">(D23*($H23+($H23*$I23)+($H23*$J23)+($H23*$I23*$K23))*F23/12)</f>
        <v>119140</v>
      </c>
      <c r="Q23" s="628">
        <f t="shared" si="0"/>
        <v>16</v>
      </c>
      <c r="R23" s="624"/>
    </row>
    <row r="24" spans="1:18">
      <c r="A24" s="148"/>
      <c r="B24" s="556" t="str">
        <f>'Plant Configuration'!C27</f>
        <v>Operations Shift Supervisors</v>
      </c>
      <c r="C24" s="397">
        <v>0</v>
      </c>
      <c r="D24" s="846">
        <f>IF('O&amp;M Backup_Detail'!$O$7=6,0,HLOOKUP('O&amp;M Backup_Detail'!$D$5,Plant_Configuration,'Plant Configuration'!A27,FALSE))+IF('O&amp;M Backup_Detail'!$R$7=6,0,HLOOKUP('O&amp;M Backup_Detail'!$E$5,Plant_Configuration,'Plant Configuration'!A27,FALSE))+IF('O&amp;M Backup_Detail'!$U$7=6,0,HLOOKUP('O&amp;M Backup_Detail'!$F$5,Plant_Configuration,'Plant Configuration'!A27,FALSE))</f>
        <v>0</v>
      </c>
      <c r="E24" s="523">
        <f t="shared" si="3"/>
        <v>0</v>
      </c>
      <c r="F24" s="523">
        <f t="shared" si="4"/>
        <v>0</v>
      </c>
      <c r="G24" s="160">
        <f t="shared" ref="G24:G33" si="8">C24*E24/12+D24*F24/12</f>
        <v>0</v>
      </c>
      <c r="H24" s="532">
        <f>IF(D24&gt;0,HLOOKUP($C$5,Labor_Salary,'Labor_ Lookup'!A22,FALSE),0)</f>
        <v>0</v>
      </c>
      <c r="I24" s="390">
        <v>0.15</v>
      </c>
      <c r="J24" s="390">
        <v>0.70199999999999996</v>
      </c>
      <c r="K24" s="390">
        <v>0.53100000000000003</v>
      </c>
      <c r="L24" s="391">
        <f t="shared" si="6"/>
        <v>0</v>
      </c>
      <c r="M24" s="386">
        <f t="shared" si="7"/>
        <v>0</v>
      </c>
      <c r="Q24" s="628">
        <f t="shared" si="0"/>
        <v>17</v>
      </c>
      <c r="R24" s="624"/>
    </row>
    <row r="25" spans="1:18">
      <c r="A25" s="148"/>
      <c r="B25" s="556" t="str">
        <f>'Plant Configuration'!C28</f>
        <v>Control Room Operators</v>
      </c>
      <c r="C25" s="397">
        <v>0</v>
      </c>
      <c r="D25" s="846">
        <f>IF('O&amp;M Backup_Detail'!$O$7=6,0,HLOOKUP('O&amp;M Backup_Detail'!$D$5,Plant_Configuration,'Plant Configuration'!A28,FALSE))+IF('O&amp;M Backup_Detail'!$R$7=6,0,HLOOKUP('O&amp;M Backup_Detail'!$E$5,Plant_Configuration,'Plant Configuration'!A28,FALSE))+IF('O&amp;M Backup_Detail'!$U$7=6,0,HLOOKUP('O&amp;M Backup_Detail'!$F$5,Plant_Configuration,'Plant Configuration'!A28,FALSE))</f>
        <v>0</v>
      </c>
      <c r="E25" s="523">
        <f t="shared" si="3"/>
        <v>0</v>
      </c>
      <c r="F25" s="523">
        <f t="shared" si="4"/>
        <v>0</v>
      </c>
      <c r="G25" s="160">
        <f t="shared" si="8"/>
        <v>0</v>
      </c>
      <c r="H25" s="532">
        <f>IF(D25&gt;0,HLOOKUP($C$5,Labor_Salary,'Labor_ Lookup'!A23,FALSE),0)</f>
        <v>0</v>
      </c>
      <c r="I25" s="390">
        <v>0.15</v>
      </c>
      <c r="J25" s="390">
        <v>0.70199999999999996</v>
      </c>
      <c r="K25" s="390">
        <v>0.53100000000000003</v>
      </c>
      <c r="L25" s="391">
        <f t="shared" si="6"/>
        <v>0</v>
      </c>
      <c r="M25" s="386">
        <f t="shared" si="7"/>
        <v>0</v>
      </c>
      <c r="Q25" s="628">
        <f t="shared" si="0"/>
        <v>18</v>
      </c>
      <c r="R25" s="624"/>
    </row>
    <row r="26" spans="1:18">
      <c r="A26" s="148"/>
      <c r="B26" s="556" t="str">
        <f>'Plant Configuration'!C29</f>
        <v>Turbine Operators</v>
      </c>
      <c r="C26" s="397">
        <v>0</v>
      </c>
      <c r="D26" s="846">
        <f>IF('O&amp;M Backup_Detail'!$O$7=6,0,HLOOKUP('O&amp;M Backup_Detail'!$D$5,Plant_Configuration,'Plant Configuration'!A29,FALSE))+IF('O&amp;M Backup_Detail'!$R$7=6,0,HLOOKUP('O&amp;M Backup_Detail'!$E$5,Plant_Configuration,'Plant Configuration'!A29,FALSE))+IF('O&amp;M Backup_Detail'!$U$7=6,0,HLOOKUP('O&amp;M Backup_Detail'!$F$5,Plant_Configuration,'Plant Configuration'!A29,FALSE))</f>
        <v>0</v>
      </c>
      <c r="E26" s="523">
        <f t="shared" si="3"/>
        <v>0</v>
      </c>
      <c r="F26" s="523">
        <f t="shared" si="4"/>
        <v>0</v>
      </c>
      <c r="G26" s="160">
        <f t="shared" si="8"/>
        <v>0</v>
      </c>
      <c r="H26" s="532">
        <f>IF(D26&gt;0,HLOOKUP($C$5,Labor_Salary,'Labor_ Lookup'!A24,FALSE),0)</f>
        <v>0</v>
      </c>
      <c r="I26" s="390">
        <v>0.15</v>
      </c>
      <c r="J26" s="390">
        <v>0.70199999999999996</v>
      </c>
      <c r="K26" s="390">
        <v>0.53100000000000003</v>
      </c>
      <c r="L26" s="391">
        <f t="shared" si="6"/>
        <v>0</v>
      </c>
      <c r="M26" s="386">
        <f t="shared" si="7"/>
        <v>0</v>
      </c>
      <c r="Q26" s="628">
        <f t="shared" si="0"/>
        <v>19</v>
      </c>
      <c r="R26" s="624"/>
    </row>
    <row r="27" spans="1:18" ht="13.5" thickBot="1">
      <c r="A27" s="148"/>
      <c r="B27" s="556" t="str">
        <f>'Plant Configuration'!C30</f>
        <v>Water System Opertors</v>
      </c>
      <c r="C27" s="397">
        <v>0</v>
      </c>
      <c r="D27" s="846">
        <f>IF('O&amp;M Backup_Detail'!$O$7=6,0,HLOOKUP('O&amp;M Backup_Detail'!$D$5,Plant_Configuration,'Plant Configuration'!A30,FALSE))+IF('O&amp;M Backup_Detail'!$R$7=6,0,HLOOKUP('O&amp;M Backup_Detail'!$E$5,Plant_Configuration,'Plant Configuration'!A30,FALSE))+IF('O&amp;M Backup_Detail'!$U$7=6,0,HLOOKUP('O&amp;M Backup_Detail'!$F$5,Plant_Configuration,'Plant Configuration'!A30,FALSE))</f>
        <v>0</v>
      </c>
      <c r="E27" s="523">
        <f t="shared" si="3"/>
        <v>0</v>
      </c>
      <c r="F27" s="523">
        <f t="shared" si="4"/>
        <v>0</v>
      </c>
      <c r="G27" s="160">
        <f t="shared" si="8"/>
        <v>0</v>
      </c>
      <c r="H27" s="532">
        <f>IF(D27&gt;0,HLOOKUP($C$5,Labor_Salary,'Labor_ Lookup'!A25,FALSE),0)</f>
        <v>0</v>
      </c>
      <c r="I27" s="390">
        <v>0.15</v>
      </c>
      <c r="J27" s="390">
        <v>0.70199999999999996</v>
      </c>
      <c r="K27" s="390">
        <v>0.53100000000000003</v>
      </c>
      <c r="L27" s="391">
        <f t="shared" si="6"/>
        <v>0</v>
      </c>
      <c r="M27" s="386">
        <f t="shared" si="7"/>
        <v>0</v>
      </c>
      <c r="Q27" s="629">
        <f t="shared" si="0"/>
        <v>20</v>
      </c>
      <c r="R27" s="625"/>
    </row>
    <row r="28" spans="1:18">
      <c r="A28" s="148"/>
      <c r="B28" s="556" t="str">
        <f>'Plant Configuration'!C31</f>
        <v>Fuel Storage/Handling Operators</v>
      </c>
      <c r="C28" s="397">
        <v>0</v>
      </c>
      <c r="D28" s="846">
        <f>IF('O&amp;M Backup_Detail'!$O$7=6,0,HLOOKUP('O&amp;M Backup_Detail'!$D$5,Plant_Configuration,'Plant Configuration'!A31,FALSE))+IF('O&amp;M Backup_Detail'!$R$7=6,0,HLOOKUP('O&amp;M Backup_Detail'!$E$5,Plant_Configuration,'Plant Configuration'!A31,FALSE))+IF('O&amp;M Backup_Detail'!$U$7=6,0,HLOOKUP('O&amp;M Backup_Detail'!$F$5,Plant_Configuration,'Plant Configuration'!A31,FALSE))</f>
        <v>0</v>
      </c>
      <c r="E28" s="523">
        <f t="shared" si="3"/>
        <v>0</v>
      </c>
      <c r="F28" s="523">
        <f t="shared" si="4"/>
        <v>0</v>
      </c>
      <c r="G28" s="160">
        <f t="shared" si="8"/>
        <v>0</v>
      </c>
      <c r="H28" s="532">
        <f>IF(D28&gt;0,HLOOKUP($C$5,Labor_Salary,'Labor_ Lookup'!A26,FALSE),0)</f>
        <v>0</v>
      </c>
      <c r="I28" s="390">
        <v>0.15</v>
      </c>
      <c r="J28" s="390">
        <v>0.70199999999999996</v>
      </c>
      <c r="K28" s="390">
        <v>0.53100000000000003</v>
      </c>
      <c r="L28" s="391">
        <f t="shared" si="6"/>
        <v>0</v>
      </c>
      <c r="M28" s="386">
        <f t="shared" si="7"/>
        <v>0</v>
      </c>
    </row>
    <row r="29" spans="1:18">
      <c r="A29" s="148"/>
      <c r="B29" s="556" t="str">
        <f>'Plant Configuration'!C32</f>
        <v>Utility Operators</v>
      </c>
      <c r="C29" s="397">
        <v>0</v>
      </c>
      <c r="D29" s="846">
        <f>IF('O&amp;M Backup_Detail'!$O$7=6,0,HLOOKUP('O&amp;M Backup_Detail'!$D$5,Plant_Configuration,'Plant Configuration'!A32,FALSE))+IF('O&amp;M Backup_Detail'!$R$7=6,0,HLOOKUP('O&amp;M Backup_Detail'!$E$5,Plant_Configuration,'Plant Configuration'!A32,FALSE))+IF('O&amp;M Backup_Detail'!$U$7=6,0,HLOOKUP('O&amp;M Backup_Detail'!$F$5,Plant_Configuration,'Plant Configuration'!A32,FALSE))</f>
        <v>0</v>
      </c>
      <c r="E29" s="523">
        <f t="shared" si="3"/>
        <v>0</v>
      </c>
      <c r="F29" s="523">
        <f t="shared" si="4"/>
        <v>0</v>
      </c>
      <c r="G29" s="160">
        <f t="shared" si="8"/>
        <v>0</v>
      </c>
      <c r="H29" s="532">
        <f>IF(D29&gt;0,HLOOKUP($C$5,Labor_Salary,'Labor_ Lookup'!A27,FALSE),0)</f>
        <v>0</v>
      </c>
      <c r="I29" s="390">
        <v>0.15</v>
      </c>
      <c r="J29" s="390">
        <v>0.70199999999999996</v>
      </c>
      <c r="K29" s="390">
        <v>0.53100000000000003</v>
      </c>
      <c r="L29" s="391">
        <f t="shared" si="6"/>
        <v>0</v>
      </c>
      <c r="M29" s="386">
        <f t="shared" si="7"/>
        <v>0</v>
      </c>
    </row>
    <row r="30" spans="1:18">
      <c r="A30" s="148"/>
      <c r="B30" s="556" t="str">
        <f>'Plant Configuration'!C33</f>
        <v>Chemist</v>
      </c>
      <c r="C30" s="397">
        <v>0</v>
      </c>
      <c r="D30" s="846">
        <f>IF('O&amp;M Backup_Detail'!$O$7=6,0,HLOOKUP('O&amp;M Backup_Detail'!$D$5,Plant_Configuration,'Plant Configuration'!A33,FALSE))+IF('O&amp;M Backup_Detail'!$R$7=6,0,HLOOKUP('O&amp;M Backup_Detail'!$E$5,Plant_Configuration,'Plant Configuration'!A33,FALSE))+IF('O&amp;M Backup_Detail'!$U$7=6,0,HLOOKUP('O&amp;M Backup_Detail'!$F$5,Plant_Configuration,'Plant Configuration'!A33,FALSE))</f>
        <v>0</v>
      </c>
      <c r="E30" s="523">
        <f t="shared" si="3"/>
        <v>0</v>
      </c>
      <c r="F30" s="523">
        <f t="shared" si="4"/>
        <v>0</v>
      </c>
      <c r="G30" s="160">
        <f t="shared" si="8"/>
        <v>0</v>
      </c>
      <c r="H30" s="532">
        <f>IF(D30&gt;0,HLOOKUP($C$5,Labor_Salary,'Labor_ Lookup'!A28,FALSE),0)</f>
        <v>0</v>
      </c>
      <c r="I30" s="390">
        <v>0.15</v>
      </c>
      <c r="J30" s="390">
        <v>0.70199999999999996</v>
      </c>
      <c r="K30" s="390">
        <v>0.53100000000000003</v>
      </c>
      <c r="L30" s="391">
        <f t="shared" si="6"/>
        <v>0</v>
      </c>
      <c r="M30" s="386">
        <f t="shared" si="7"/>
        <v>0</v>
      </c>
    </row>
    <row r="31" spans="1:18">
      <c r="A31" s="148"/>
      <c r="B31" s="556" t="str">
        <f>'Plant Configuration'!C34</f>
        <v>Tech III</v>
      </c>
      <c r="C31" s="397">
        <v>0</v>
      </c>
      <c r="D31" s="846">
        <f>IF('O&amp;M Backup_Detail'!$O$7=6,0,HLOOKUP('O&amp;M Backup_Detail'!$D$5,Plant_Configuration,'Plant Configuration'!A34,FALSE))+IF('O&amp;M Backup_Detail'!$R$7=6,0,HLOOKUP('O&amp;M Backup_Detail'!$E$5,Plant_Configuration,'Plant Configuration'!A34,FALSE))+IF('O&amp;M Backup_Detail'!$U$7=6,0,HLOOKUP('O&amp;M Backup_Detail'!$F$5,Plant_Configuration,'Plant Configuration'!A34,FALSE))</f>
        <v>4</v>
      </c>
      <c r="E31" s="523">
        <f t="shared" si="3"/>
        <v>0</v>
      </c>
      <c r="F31" s="523">
        <f t="shared" si="4"/>
        <v>12</v>
      </c>
      <c r="G31" s="160">
        <f t="shared" si="8"/>
        <v>4</v>
      </c>
      <c r="H31" s="532">
        <f>IF(D31&gt;0,HLOOKUP($C$5,Labor_Salary,'Labor_ Lookup'!A29,FALSE),0)</f>
        <v>52000</v>
      </c>
      <c r="I31" s="390">
        <v>0.15</v>
      </c>
      <c r="J31" s="390">
        <v>0.70199999999999996</v>
      </c>
      <c r="K31" s="390">
        <v>0.53100000000000003</v>
      </c>
      <c r="L31" s="391">
        <f t="shared" si="6"/>
        <v>0</v>
      </c>
      <c r="M31" s="386">
        <f t="shared" si="7"/>
        <v>401783.2</v>
      </c>
    </row>
    <row r="32" spans="1:18">
      <c r="A32" s="148"/>
      <c r="B32" s="556" t="str">
        <f>'Plant Configuration'!C35</f>
        <v>Tech II</v>
      </c>
      <c r="C32" s="397">
        <v>0</v>
      </c>
      <c r="D32" s="846">
        <f>IF('O&amp;M Backup_Detail'!$O$7=6,0,HLOOKUP('O&amp;M Backup_Detail'!$D$5,Plant_Configuration,'Plant Configuration'!A35,FALSE))+IF('O&amp;M Backup_Detail'!$R$7=6,0,HLOOKUP('O&amp;M Backup_Detail'!$E$5,Plant_Configuration,'Plant Configuration'!A35,FALSE))+IF('O&amp;M Backup_Detail'!$U$7=6,0,HLOOKUP('O&amp;M Backup_Detail'!$F$5,Plant_Configuration,'Plant Configuration'!A35,FALSE))</f>
        <v>4</v>
      </c>
      <c r="E32" s="523">
        <f t="shared" si="3"/>
        <v>0</v>
      </c>
      <c r="F32" s="523">
        <f t="shared" si="4"/>
        <v>12</v>
      </c>
      <c r="G32" s="160">
        <f t="shared" si="8"/>
        <v>4</v>
      </c>
      <c r="H32" s="532">
        <f>IF(D32&gt;0,HLOOKUP($C$5,Labor_Salary,'Labor_ Lookup'!A30,FALSE),0)</f>
        <v>45760</v>
      </c>
      <c r="I32" s="390">
        <v>0.15</v>
      </c>
      <c r="J32" s="390">
        <v>0.70199999999999996</v>
      </c>
      <c r="K32" s="390">
        <v>0.53100000000000003</v>
      </c>
      <c r="L32" s="391">
        <f t="shared" si="6"/>
        <v>0</v>
      </c>
      <c r="M32" s="386">
        <f t="shared" si="7"/>
        <v>353569.21599999996</v>
      </c>
    </row>
    <row r="33" spans="1:17">
      <c r="A33" s="148"/>
      <c r="B33" s="556" t="str">
        <f>'Plant Configuration'!C36</f>
        <v>Other</v>
      </c>
      <c r="C33" s="397">
        <v>0</v>
      </c>
      <c r="D33" s="846">
        <f>IF('O&amp;M Backup_Detail'!$O$7=6,0,HLOOKUP('O&amp;M Backup_Detail'!$D$5,Plant_Configuration,'Plant Configuration'!A36,FALSE))+IF('O&amp;M Backup_Detail'!$R$7=6,0,HLOOKUP('O&amp;M Backup_Detail'!$E$5,Plant_Configuration,'Plant Configuration'!A36,FALSE))+IF('O&amp;M Backup_Detail'!$U$7=6,0,HLOOKUP('O&amp;M Backup_Detail'!$F$5,Plant_Configuration,'Plant Configuration'!A36,FALSE))</f>
        <v>0</v>
      </c>
      <c r="E33" s="523">
        <f t="shared" si="3"/>
        <v>0</v>
      </c>
      <c r="F33" s="523">
        <f t="shared" si="4"/>
        <v>0</v>
      </c>
      <c r="G33" s="160">
        <f t="shared" si="8"/>
        <v>0</v>
      </c>
      <c r="H33" s="532">
        <f>IF(D33&gt;0,HLOOKUP($C$5,Labor_Salary,'Labor_ Lookup'!A31,FALSE),0)</f>
        <v>0</v>
      </c>
      <c r="I33" s="390">
        <v>0.15</v>
      </c>
      <c r="J33" s="390">
        <v>0.70199999999999996</v>
      </c>
      <c r="K33" s="390">
        <v>0.53100000000000003</v>
      </c>
      <c r="L33" s="391">
        <f t="shared" si="6"/>
        <v>0</v>
      </c>
      <c r="M33" s="386">
        <f t="shared" si="7"/>
        <v>0</v>
      </c>
    </row>
    <row r="34" spans="1:17">
      <c r="A34" s="148"/>
      <c r="B34" s="273"/>
      <c r="C34" s="397"/>
      <c r="D34" s="523"/>
      <c r="E34" s="523"/>
      <c r="F34" s="523"/>
      <c r="G34" s="160"/>
      <c r="H34" s="532"/>
      <c r="I34" s="388"/>
      <c r="J34" s="388"/>
      <c r="K34" s="388"/>
      <c r="L34" s="391"/>
      <c r="M34" s="386"/>
    </row>
    <row r="35" spans="1:17">
      <c r="A35" s="387" t="s">
        <v>268</v>
      </c>
      <c r="B35" s="273"/>
      <c r="C35" s="397"/>
      <c r="D35" s="523"/>
      <c r="E35" s="523"/>
      <c r="F35" s="523"/>
      <c r="G35" s="160"/>
      <c r="H35" s="532"/>
      <c r="I35" s="388"/>
      <c r="J35" s="388"/>
      <c r="K35" s="388"/>
      <c r="L35" s="391"/>
      <c r="M35" s="386"/>
    </row>
    <row r="36" spans="1:17">
      <c r="A36" s="148"/>
      <c r="B36" s="556" t="str">
        <f>'Plant Configuration'!C39</f>
        <v>Maintenance Manager</v>
      </c>
      <c r="C36" s="397">
        <v>0</v>
      </c>
      <c r="D36" s="846">
        <f>IF('O&amp;M Backup_Detail'!$O$7=6,0,HLOOKUP('O&amp;M Backup_Detail'!$D$5,Plant_Configuration,'Plant Configuration'!A39,FALSE))+IF('O&amp;M Backup_Detail'!$R$7=6,0,HLOOKUP('O&amp;M Backup_Detail'!$E$5,Plant_Configuration,'Plant Configuration'!A39,FALSE))+IF('O&amp;M Backup_Detail'!$U$7=6,0,HLOOKUP('O&amp;M Backup_Detail'!$F$5,Plant_Configuration,'Plant Configuration'!A39,FALSE))</f>
        <v>1</v>
      </c>
      <c r="E36" s="523">
        <f t="shared" si="3"/>
        <v>0</v>
      </c>
      <c r="F36" s="523">
        <f t="shared" si="4"/>
        <v>12</v>
      </c>
      <c r="G36" s="160">
        <f>C36*E36/12+D36*F36/12</f>
        <v>1</v>
      </c>
      <c r="H36" s="532">
        <f>IF(D36&gt;0,HLOOKUP($C$5,Labor_Salary,'Labor_ Lookup'!A34,FALSE),0)</f>
        <v>65000</v>
      </c>
      <c r="I36" s="390">
        <v>0</v>
      </c>
      <c r="J36" s="390">
        <v>0.70199999999999996</v>
      </c>
      <c r="K36" s="390">
        <v>0.53100000000000003</v>
      </c>
      <c r="L36" s="391">
        <f t="shared" ref="L36:L46" si="9">(C36*($H36+($H36*$I36)+($H36*$J36)+($H36*$I36*$K36))*E36/12)</f>
        <v>0</v>
      </c>
      <c r="M36" s="386">
        <f t="shared" ref="M36:M46" si="10">(D36*($H36+($H36*$I36)+($H36*$J36)+($H36*$I36*$K36))*F36/12)</f>
        <v>110630</v>
      </c>
    </row>
    <row r="37" spans="1:17">
      <c r="A37" s="148"/>
      <c r="B37" s="556" t="str">
        <f>'Plant Configuration'!C40</f>
        <v>Mechanical Engineer</v>
      </c>
      <c r="C37" s="397">
        <v>0</v>
      </c>
      <c r="D37" s="846">
        <f>IF('O&amp;M Backup_Detail'!$O$7=6,0,HLOOKUP('O&amp;M Backup_Detail'!$D$5,Plant_Configuration,'Plant Configuration'!A40,FALSE))+IF('O&amp;M Backup_Detail'!$R$7=6,0,HLOOKUP('O&amp;M Backup_Detail'!$E$5,Plant_Configuration,'Plant Configuration'!A40,FALSE))+IF('O&amp;M Backup_Detail'!$U$7=6,0,HLOOKUP('O&amp;M Backup_Detail'!$F$5,Plant_Configuration,'Plant Configuration'!A40,FALSE))</f>
        <v>0</v>
      </c>
      <c r="E37" s="523">
        <f t="shared" si="3"/>
        <v>0</v>
      </c>
      <c r="F37" s="523">
        <f t="shared" si="4"/>
        <v>0</v>
      </c>
      <c r="G37" s="160">
        <f t="shared" ref="G37:G46" si="11">C37*E37/12+D37*F37/12</f>
        <v>0</v>
      </c>
      <c r="H37" s="532">
        <f>IF(D37&gt;0,HLOOKUP($C$5,Labor_Salary,'Labor_ Lookup'!A35,FALSE),0)</f>
        <v>0</v>
      </c>
      <c r="I37" s="390">
        <v>0</v>
      </c>
      <c r="J37" s="390">
        <v>0.70199999999999996</v>
      </c>
      <c r="K37" s="390">
        <v>0.53100000000000003</v>
      </c>
      <c r="L37" s="391">
        <f t="shared" si="9"/>
        <v>0</v>
      </c>
      <c r="M37" s="386">
        <f t="shared" si="10"/>
        <v>0</v>
      </c>
    </row>
    <row r="38" spans="1:17">
      <c r="A38" s="148"/>
      <c r="B38" s="556" t="str">
        <f>'Plant Configuration'!C41</f>
        <v>Maintenance Planner</v>
      </c>
      <c r="C38" s="397">
        <v>0</v>
      </c>
      <c r="D38" s="846">
        <f>IF('O&amp;M Backup_Detail'!$O$7=6,0,HLOOKUP('O&amp;M Backup_Detail'!$D$5,Plant_Configuration,'Plant Configuration'!A41,FALSE))+IF('O&amp;M Backup_Detail'!$R$7=6,0,HLOOKUP('O&amp;M Backup_Detail'!$E$5,Plant_Configuration,'Plant Configuration'!A41,FALSE))+IF('O&amp;M Backup_Detail'!$U$7=6,0,HLOOKUP('O&amp;M Backup_Detail'!$F$5,Plant_Configuration,'Plant Configuration'!A41,FALSE))</f>
        <v>0</v>
      </c>
      <c r="E38" s="523">
        <f t="shared" si="3"/>
        <v>0</v>
      </c>
      <c r="F38" s="523">
        <f t="shared" si="4"/>
        <v>0</v>
      </c>
      <c r="G38" s="160">
        <f t="shared" si="11"/>
        <v>0</v>
      </c>
      <c r="H38" s="532">
        <f>IF(D38&gt;0,HLOOKUP($C$5,Labor_Salary,'Labor_ Lookup'!A36,FALSE),0)</f>
        <v>0</v>
      </c>
      <c r="I38" s="390">
        <v>0.15</v>
      </c>
      <c r="J38" s="390">
        <v>0.70199999999999996</v>
      </c>
      <c r="K38" s="390">
        <v>0.53100000000000003</v>
      </c>
      <c r="L38" s="391">
        <f t="shared" si="9"/>
        <v>0</v>
      </c>
      <c r="M38" s="386">
        <f t="shared" si="10"/>
        <v>0</v>
      </c>
    </row>
    <row r="39" spans="1:17">
      <c r="A39" s="148"/>
      <c r="B39" s="556" t="str">
        <f>'Plant Configuration'!C42</f>
        <v>Mechanic</v>
      </c>
      <c r="C39" s="397">
        <v>0</v>
      </c>
      <c r="D39" s="846">
        <f>IF('O&amp;M Backup_Detail'!$O$7=6,0,HLOOKUP('O&amp;M Backup_Detail'!$D$5,Plant_Configuration,'Plant Configuration'!A42,FALSE))+IF('O&amp;M Backup_Detail'!$R$7=6,0,HLOOKUP('O&amp;M Backup_Detail'!$E$5,Plant_Configuration,'Plant Configuration'!A42,FALSE))+IF('O&amp;M Backup_Detail'!$U$7=6,0,HLOOKUP('O&amp;M Backup_Detail'!$F$5,Plant_Configuration,'Plant Configuration'!A42,FALSE))</f>
        <v>1</v>
      </c>
      <c r="E39" s="523">
        <f t="shared" si="3"/>
        <v>0</v>
      </c>
      <c r="F39" s="523">
        <f t="shared" si="4"/>
        <v>12</v>
      </c>
      <c r="G39" s="160">
        <f t="shared" si="11"/>
        <v>1</v>
      </c>
      <c r="H39" s="532">
        <f>IF(D39&gt;0,HLOOKUP($C$5,Labor_Salary,'Labor_ Lookup'!A37,FALSE),0)</f>
        <v>38000</v>
      </c>
      <c r="I39" s="390">
        <v>0.15</v>
      </c>
      <c r="J39" s="390">
        <v>0.70199999999999996</v>
      </c>
      <c r="K39" s="390">
        <v>0.53100000000000003</v>
      </c>
      <c r="L39" s="391">
        <f t="shared" si="9"/>
        <v>0</v>
      </c>
      <c r="M39" s="386">
        <f t="shared" si="10"/>
        <v>73402.7</v>
      </c>
    </row>
    <row r="40" spans="1:17">
      <c r="A40" s="148"/>
      <c r="B40" s="556" t="str">
        <f>'Plant Configuration'!C43</f>
        <v>I&amp;C Engineer</v>
      </c>
      <c r="C40" s="397">
        <v>0</v>
      </c>
      <c r="D40" s="846">
        <f>IF('O&amp;M Backup_Detail'!$O$7=6,0,HLOOKUP('O&amp;M Backup_Detail'!$D$5,Plant_Configuration,'Plant Configuration'!A43,FALSE))+IF('O&amp;M Backup_Detail'!$R$7=6,0,HLOOKUP('O&amp;M Backup_Detail'!$E$5,Plant_Configuration,'Plant Configuration'!A43,FALSE))+IF('O&amp;M Backup_Detail'!$U$7=6,0,HLOOKUP('O&amp;M Backup_Detail'!$F$5,Plant_Configuration,'Plant Configuration'!A43,FALSE))</f>
        <v>0</v>
      </c>
      <c r="E40" s="523">
        <f t="shared" si="3"/>
        <v>0</v>
      </c>
      <c r="F40" s="523">
        <f t="shared" si="4"/>
        <v>0</v>
      </c>
      <c r="G40" s="160">
        <f t="shared" si="11"/>
        <v>0</v>
      </c>
      <c r="H40" s="532">
        <f>IF(D40&gt;0,HLOOKUP($C$5,Labor_Salary,'Labor_ Lookup'!A38,FALSE),0)</f>
        <v>0</v>
      </c>
      <c r="I40" s="390">
        <v>0.15</v>
      </c>
      <c r="J40" s="390">
        <v>0.70199999999999996</v>
      </c>
      <c r="K40" s="390">
        <v>0.53100000000000003</v>
      </c>
      <c r="L40" s="391">
        <f t="shared" si="9"/>
        <v>0</v>
      </c>
      <c r="M40" s="386">
        <f t="shared" si="10"/>
        <v>0</v>
      </c>
    </row>
    <row r="41" spans="1:17">
      <c r="A41" s="148"/>
      <c r="B41" s="556" t="str">
        <f>'Plant Configuration'!C44</f>
        <v>I&amp;C Technician</v>
      </c>
      <c r="C41" s="397">
        <v>0</v>
      </c>
      <c r="D41" s="846">
        <f>IF('O&amp;M Backup_Detail'!$O$7=6,0,HLOOKUP('O&amp;M Backup_Detail'!$D$5,Plant_Configuration,'Plant Configuration'!A44,FALSE))+IF('O&amp;M Backup_Detail'!$R$7=6,0,HLOOKUP('O&amp;M Backup_Detail'!$E$5,Plant_Configuration,'Plant Configuration'!A44,FALSE))+IF('O&amp;M Backup_Detail'!$U$7=6,0,HLOOKUP('O&amp;M Backup_Detail'!$F$5,Plant_Configuration,'Plant Configuration'!A44,FALSE))</f>
        <v>1</v>
      </c>
      <c r="E41" s="523">
        <f t="shared" si="3"/>
        <v>0</v>
      </c>
      <c r="F41" s="523">
        <f t="shared" si="4"/>
        <v>12</v>
      </c>
      <c r="G41" s="160">
        <f t="shared" si="11"/>
        <v>1</v>
      </c>
      <c r="H41" s="532">
        <f>IF(D41&gt;0,HLOOKUP($C$5,Labor_Salary,'Labor_ Lookup'!A39,FALSE),0)</f>
        <v>55000</v>
      </c>
      <c r="I41" s="390">
        <v>0.15</v>
      </c>
      <c r="J41" s="390">
        <v>0.70199999999999996</v>
      </c>
      <c r="K41" s="390">
        <v>0.53100000000000003</v>
      </c>
      <c r="L41" s="391">
        <f t="shared" si="9"/>
        <v>0</v>
      </c>
      <c r="M41" s="386">
        <f t="shared" si="10"/>
        <v>106240.75</v>
      </c>
    </row>
    <row r="42" spans="1:17">
      <c r="A42" s="148"/>
      <c r="B42" s="556" t="str">
        <f>'Plant Configuration'!C45</f>
        <v>Electrical Technician</v>
      </c>
      <c r="C42" s="397">
        <v>0</v>
      </c>
      <c r="D42" s="846">
        <f>IF('O&amp;M Backup_Detail'!$O$7=6,0,HLOOKUP('O&amp;M Backup_Detail'!$D$5,Plant_Configuration,'Plant Configuration'!A45,FALSE))+IF('O&amp;M Backup_Detail'!$R$7=6,0,HLOOKUP('O&amp;M Backup_Detail'!$E$5,Plant_Configuration,'Plant Configuration'!A45,FALSE))+IF('O&amp;M Backup_Detail'!$U$7=6,0,HLOOKUP('O&amp;M Backup_Detail'!$F$5,Plant_Configuration,'Plant Configuration'!A45,FALSE))</f>
        <v>1</v>
      </c>
      <c r="E42" s="523">
        <f t="shared" si="3"/>
        <v>0</v>
      </c>
      <c r="F42" s="523">
        <f t="shared" si="4"/>
        <v>12</v>
      </c>
      <c r="G42" s="160">
        <f t="shared" si="11"/>
        <v>1</v>
      </c>
      <c r="H42" s="532">
        <f>IF(D42&gt;0,HLOOKUP($C$5,Labor_Salary,'Labor_ Lookup'!A40,FALSE),0)</f>
        <v>45000</v>
      </c>
      <c r="I42" s="390">
        <v>0.15</v>
      </c>
      <c r="J42" s="390">
        <v>0.70199999999999996</v>
      </c>
      <c r="K42" s="390">
        <v>0.53100000000000003</v>
      </c>
      <c r="L42" s="391">
        <f t="shared" si="9"/>
        <v>0</v>
      </c>
      <c r="M42" s="386">
        <f t="shared" si="10"/>
        <v>86924.25</v>
      </c>
    </row>
    <row r="43" spans="1:17">
      <c r="A43" s="148"/>
      <c r="B43" s="556" t="str">
        <f>'Plant Configuration'!C46</f>
        <v>Other</v>
      </c>
      <c r="C43" s="397">
        <v>0</v>
      </c>
      <c r="D43" s="846">
        <f>IF('O&amp;M Backup_Detail'!$O$7=6,0,HLOOKUP('O&amp;M Backup_Detail'!$D$5,Plant_Configuration,'Plant Configuration'!A46,FALSE))+IF('O&amp;M Backup_Detail'!$R$7=6,0,HLOOKUP('O&amp;M Backup_Detail'!$E$5,Plant_Configuration,'Plant Configuration'!A46,FALSE))+IF('O&amp;M Backup_Detail'!$U$7=6,0,HLOOKUP('O&amp;M Backup_Detail'!$F$5,Plant_Configuration,'Plant Configuration'!A46,FALSE))</f>
        <v>0</v>
      </c>
      <c r="E43" s="523">
        <f t="shared" si="3"/>
        <v>0</v>
      </c>
      <c r="F43" s="523">
        <f t="shared" si="4"/>
        <v>0</v>
      </c>
      <c r="G43" s="160">
        <f t="shared" si="11"/>
        <v>0</v>
      </c>
      <c r="H43" s="532">
        <f>IF(D43&gt;0,HLOOKUP($C$5,Labor_Salary,'Labor_ Lookup'!A41,FALSE),0)</f>
        <v>0</v>
      </c>
      <c r="I43" s="390">
        <v>0.15</v>
      </c>
      <c r="J43" s="390">
        <v>0.70199999999999996</v>
      </c>
      <c r="K43" s="390">
        <v>0.53100000000000003</v>
      </c>
      <c r="L43" s="391">
        <f t="shared" si="9"/>
        <v>0</v>
      </c>
      <c r="M43" s="386">
        <f t="shared" si="10"/>
        <v>0</v>
      </c>
    </row>
    <row r="44" spans="1:17">
      <c r="A44" s="148"/>
      <c r="B44" s="556" t="str">
        <f>'Plant Configuration'!C47</f>
        <v>Other</v>
      </c>
      <c r="C44" s="397">
        <v>0</v>
      </c>
      <c r="D44" s="846">
        <f>IF('O&amp;M Backup_Detail'!$O$7=6,0,HLOOKUP('O&amp;M Backup_Detail'!$D$5,Plant_Configuration,'Plant Configuration'!A47,FALSE))+IF('O&amp;M Backup_Detail'!$R$7=6,0,HLOOKUP('O&amp;M Backup_Detail'!$E$5,Plant_Configuration,'Plant Configuration'!A47,FALSE))+IF('O&amp;M Backup_Detail'!$U$7=6,0,HLOOKUP('O&amp;M Backup_Detail'!$F$5,Plant_Configuration,'Plant Configuration'!A47,FALSE))</f>
        <v>0</v>
      </c>
      <c r="E44" s="523">
        <f t="shared" si="3"/>
        <v>0</v>
      </c>
      <c r="F44" s="523">
        <f t="shared" si="4"/>
        <v>0</v>
      </c>
      <c r="G44" s="160">
        <f t="shared" si="11"/>
        <v>0</v>
      </c>
      <c r="H44" s="532">
        <f>IF(D44&gt;0,HLOOKUP($C$5,Labor_Salary,'Labor_ Lookup'!A42,FALSE),0)</f>
        <v>0</v>
      </c>
      <c r="I44" s="390">
        <v>0.15</v>
      </c>
      <c r="J44" s="390">
        <v>0.70199999999999996</v>
      </c>
      <c r="K44" s="390">
        <v>0.53100000000000003</v>
      </c>
      <c r="L44" s="391">
        <f t="shared" si="9"/>
        <v>0</v>
      </c>
      <c r="M44" s="386">
        <f t="shared" si="10"/>
        <v>0</v>
      </c>
    </row>
    <row r="45" spans="1:17">
      <c r="A45" s="148"/>
      <c r="B45" s="556" t="str">
        <f>'Plant Configuration'!C48</f>
        <v>Other</v>
      </c>
      <c r="C45" s="397">
        <v>0</v>
      </c>
      <c r="D45" s="846">
        <f>IF('O&amp;M Backup_Detail'!$O$7=6,0,HLOOKUP('O&amp;M Backup_Detail'!$D$5,Plant_Configuration,'Plant Configuration'!A48,FALSE))+IF('O&amp;M Backup_Detail'!$R$7=6,0,HLOOKUP('O&amp;M Backup_Detail'!$E$5,Plant_Configuration,'Plant Configuration'!A48,FALSE))+IF('O&amp;M Backup_Detail'!$U$7=6,0,HLOOKUP('O&amp;M Backup_Detail'!$F$5,Plant_Configuration,'Plant Configuration'!A48,FALSE))</f>
        <v>0</v>
      </c>
      <c r="E45" s="523">
        <f t="shared" si="3"/>
        <v>0</v>
      </c>
      <c r="F45" s="523">
        <f t="shared" si="4"/>
        <v>0</v>
      </c>
      <c r="G45" s="160">
        <f t="shared" si="11"/>
        <v>0</v>
      </c>
      <c r="H45" s="532">
        <f>IF(D45&gt;0,HLOOKUP($C$5,Labor_Salary,'Labor_ Lookup'!A43,FALSE),0)</f>
        <v>0</v>
      </c>
      <c r="I45" s="390">
        <v>0.15</v>
      </c>
      <c r="J45" s="390">
        <v>0.70199999999999996</v>
      </c>
      <c r="K45" s="390">
        <v>0.53100000000000003</v>
      </c>
      <c r="L45" s="391">
        <f t="shared" si="9"/>
        <v>0</v>
      </c>
      <c r="M45" s="386">
        <f t="shared" si="10"/>
        <v>0</v>
      </c>
    </row>
    <row r="46" spans="1:17">
      <c r="A46" s="398"/>
      <c r="B46" s="556" t="str">
        <f>'Plant Configuration'!C49</f>
        <v>Other</v>
      </c>
      <c r="C46" s="399">
        <v>0</v>
      </c>
      <c r="D46" s="846">
        <f>IF('O&amp;M Backup_Detail'!$O$7=6,0,HLOOKUP('O&amp;M Backup_Detail'!$D$5,Plant_Configuration,'Plant Configuration'!A49,FALSE))+IF('O&amp;M Backup_Detail'!$R$7=6,0,HLOOKUP('O&amp;M Backup_Detail'!$E$5,Plant_Configuration,'Plant Configuration'!A49,FALSE))+IF('O&amp;M Backup_Detail'!$U$7=6,0,HLOOKUP('O&amp;M Backup_Detail'!$F$5,Plant_Configuration,'Plant Configuration'!A49,FALSE))</f>
        <v>0</v>
      </c>
      <c r="E46" s="523">
        <f t="shared" si="3"/>
        <v>0</v>
      </c>
      <c r="F46" s="523">
        <f t="shared" si="4"/>
        <v>0</v>
      </c>
      <c r="G46" s="400">
        <f t="shared" si="11"/>
        <v>0</v>
      </c>
      <c r="H46" s="532">
        <f>IF(D46&gt;0,HLOOKUP($C$5,Labor_Salary,'Labor_ Lookup'!A44,FALSE),0)</f>
        <v>0</v>
      </c>
      <c r="I46" s="401">
        <v>0.15</v>
      </c>
      <c r="J46" s="390">
        <v>0.70199999999999996</v>
      </c>
      <c r="K46" s="390">
        <v>0.53100000000000003</v>
      </c>
      <c r="L46" s="402">
        <f t="shared" si="9"/>
        <v>0</v>
      </c>
      <c r="M46" s="403">
        <f t="shared" si="10"/>
        <v>0</v>
      </c>
    </row>
    <row r="47" spans="1:17" s="407" customFormat="1" ht="21" customHeight="1" thickBot="1">
      <c r="A47" s="408" t="s">
        <v>1364</v>
      </c>
      <c r="B47" s="404"/>
      <c r="C47" s="412">
        <f>SUM(C10:C46)</f>
        <v>0</v>
      </c>
      <c r="D47" s="412">
        <f>SUM(D10:D46)</f>
        <v>15</v>
      </c>
      <c r="E47" s="412"/>
      <c r="F47" s="405"/>
      <c r="G47" s="537">
        <f>SUM(G10:G46)</f>
        <v>15</v>
      </c>
      <c r="H47" s="536"/>
      <c r="I47" s="536"/>
      <c r="J47" s="536"/>
      <c r="K47" s="536"/>
      <c r="L47" s="411">
        <f>SUM(L10:L46)</f>
        <v>0</v>
      </c>
      <c r="M47" s="410">
        <f>SUM(M10:M46)</f>
        <v>1451918.666</v>
      </c>
      <c r="Q47" s="630"/>
    </row>
    <row r="48" spans="1:17" s="407" customFormat="1" ht="27.75" customHeight="1" thickBot="1">
      <c r="A48" s="467"/>
      <c r="B48" s="467"/>
      <c r="C48" s="468"/>
      <c r="D48" s="468"/>
      <c r="E48" s="468"/>
      <c r="F48" s="468"/>
      <c r="G48" s="468"/>
      <c r="H48" s="469"/>
      <c r="I48" s="533" t="s">
        <v>285</v>
      </c>
      <c r="J48" s="534"/>
      <c r="K48" s="534"/>
      <c r="L48" s="534"/>
      <c r="M48" s="535">
        <f>L47+M47</f>
        <v>1451918.666</v>
      </c>
      <c r="Q48" s="630"/>
    </row>
    <row r="49" spans="1:13" ht="66" customHeight="1" thickBot="1">
      <c r="A49" s="132"/>
    </row>
    <row r="50" spans="1:13" ht="61.5" customHeight="1" thickBot="1">
      <c r="A50" s="392"/>
      <c r="B50" s="409" t="s">
        <v>1361</v>
      </c>
      <c r="C50" s="393" t="str">
        <f>C7</f>
        <v>No. of Expats</v>
      </c>
      <c r="D50" s="393" t="str">
        <f t="shared" ref="D50:M50" si="12">D7</f>
        <v>No. of Locals</v>
      </c>
      <c r="E50" s="393" t="str">
        <f t="shared" si="12"/>
        <v>Months on Site per Year (Expat)</v>
      </c>
      <c r="F50" s="393" t="str">
        <f t="shared" si="12"/>
        <v>Months on Site per Year (Local)</v>
      </c>
      <c r="G50" s="393" t="str">
        <f t="shared" si="12"/>
        <v>Total Employees per Year</v>
      </c>
      <c r="H50" s="393" t="str">
        <f t="shared" si="12"/>
        <v>Annual Base Salary per Employee</v>
      </c>
      <c r="I50" s="393" t="str">
        <f t="shared" si="12"/>
        <v>Annual Overtime %</v>
      </c>
      <c r="J50" s="393" t="str">
        <f t="shared" si="12"/>
        <v>Benefits % on Base</v>
      </c>
      <c r="K50" s="393" t="str">
        <f t="shared" si="12"/>
        <v>Benefits % on Overtime</v>
      </c>
      <c r="L50" s="393" t="str">
        <f t="shared" si="12"/>
        <v>Total Expat Salary</v>
      </c>
      <c r="M50" s="393" t="str">
        <f t="shared" si="12"/>
        <v xml:space="preserve">Total Local Salary </v>
      </c>
    </row>
    <row r="51" spans="1:13">
      <c r="A51" s="148"/>
      <c r="B51" s="102"/>
      <c r="C51" s="152"/>
      <c r="D51" s="152"/>
      <c r="E51" s="152"/>
      <c r="F51" s="152"/>
      <c r="G51" s="152"/>
      <c r="H51" s="389"/>
      <c r="I51" s="152"/>
      <c r="J51" s="152"/>
      <c r="K51" s="152"/>
      <c r="L51" s="391"/>
      <c r="M51" s="386"/>
    </row>
    <row r="52" spans="1:13">
      <c r="A52" s="387" t="s">
        <v>266</v>
      </c>
      <c r="B52" s="102"/>
      <c r="C52" s="152"/>
      <c r="D52" s="152"/>
      <c r="E52" s="152"/>
      <c r="F52" s="152"/>
      <c r="G52" s="152"/>
      <c r="H52" s="389"/>
      <c r="I52" s="152"/>
      <c r="J52" s="152"/>
      <c r="K52" s="152"/>
      <c r="L52" s="391"/>
      <c r="M52" s="386"/>
    </row>
    <row r="53" spans="1:13">
      <c r="A53" s="359"/>
      <c r="B53" s="556" t="str">
        <f>B10</f>
        <v>Plant Manager</v>
      </c>
      <c r="C53" s="415">
        <f>C10</f>
        <v>0</v>
      </c>
      <c r="D53" s="415">
        <f>D10</f>
        <v>1</v>
      </c>
      <c r="E53" s="415">
        <f>E10</f>
        <v>0</v>
      </c>
      <c r="F53" s="415">
        <f>F10</f>
        <v>12</v>
      </c>
      <c r="G53" s="415">
        <f>C53*E53/12+D53*F53/12</f>
        <v>1</v>
      </c>
      <c r="H53" s="413">
        <f>H10*(1+$C$4)</f>
        <v>87000</v>
      </c>
      <c r="I53" s="414">
        <f t="shared" ref="I53:K63" si="13">I10</f>
        <v>0</v>
      </c>
      <c r="J53" s="414">
        <f t="shared" si="13"/>
        <v>0.70199999999999996</v>
      </c>
      <c r="K53" s="414">
        <f t="shared" si="13"/>
        <v>0.53100000000000003</v>
      </c>
      <c r="L53" s="391">
        <f t="shared" ref="L53:L63" si="14">(C53*($H53+($H53*$I53)+($H53*$J53)+($H53*$I53*$K53))*E53/12)</f>
        <v>0</v>
      </c>
      <c r="M53" s="386">
        <f t="shared" ref="M53:M63" si="15">(D53*($H53+($H53*$I53)+($H53*$J53)+($H53*$I53*$K53))*F53/12)</f>
        <v>148074</v>
      </c>
    </row>
    <row r="54" spans="1:13">
      <c r="A54" s="359"/>
      <c r="B54" s="556" t="str">
        <f t="shared" ref="B54:F63" si="16">B11</f>
        <v>Assistant Plant Manager</v>
      </c>
      <c r="C54" s="415">
        <f t="shared" si="16"/>
        <v>0</v>
      </c>
      <c r="D54" s="415">
        <f t="shared" si="16"/>
        <v>0</v>
      </c>
      <c r="E54" s="415">
        <f t="shared" si="16"/>
        <v>0</v>
      </c>
      <c r="F54" s="415">
        <f t="shared" si="16"/>
        <v>0</v>
      </c>
      <c r="G54" s="415">
        <f t="shared" ref="G54:G63" si="17">C54*E54/12+D54*F54/12</f>
        <v>0</v>
      </c>
      <c r="H54" s="413">
        <f t="shared" ref="H54:H63" si="18">H11*(1+$C$4)</f>
        <v>0</v>
      </c>
      <c r="I54" s="414">
        <f t="shared" si="13"/>
        <v>0</v>
      </c>
      <c r="J54" s="414">
        <f t="shared" si="13"/>
        <v>0.70199999999999996</v>
      </c>
      <c r="K54" s="414">
        <f t="shared" si="13"/>
        <v>0.53100000000000003</v>
      </c>
      <c r="L54" s="391">
        <f t="shared" si="14"/>
        <v>0</v>
      </c>
      <c r="M54" s="386">
        <f t="shared" si="15"/>
        <v>0</v>
      </c>
    </row>
    <row r="55" spans="1:13">
      <c r="A55" s="359"/>
      <c r="B55" s="556" t="str">
        <f t="shared" si="16"/>
        <v>Plant Engineer</v>
      </c>
      <c r="C55" s="415">
        <f t="shared" si="16"/>
        <v>0</v>
      </c>
      <c r="D55" s="415">
        <f t="shared" si="16"/>
        <v>0</v>
      </c>
      <c r="E55" s="415">
        <f t="shared" si="16"/>
        <v>0</v>
      </c>
      <c r="F55" s="415">
        <f t="shared" si="16"/>
        <v>0</v>
      </c>
      <c r="G55" s="415">
        <f t="shared" si="17"/>
        <v>0</v>
      </c>
      <c r="H55" s="413">
        <f t="shared" si="18"/>
        <v>0</v>
      </c>
      <c r="I55" s="414">
        <f t="shared" si="13"/>
        <v>0</v>
      </c>
      <c r="J55" s="414">
        <f t="shared" si="13"/>
        <v>0.70199999999999996</v>
      </c>
      <c r="K55" s="414">
        <f t="shared" si="13"/>
        <v>0.53100000000000003</v>
      </c>
      <c r="L55" s="391">
        <f t="shared" si="14"/>
        <v>0</v>
      </c>
      <c r="M55" s="386">
        <f t="shared" si="15"/>
        <v>0</v>
      </c>
    </row>
    <row r="56" spans="1:13">
      <c r="A56" s="359"/>
      <c r="B56" s="556" t="str">
        <f t="shared" si="16"/>
        <v>Administration Manager</v>
      </c>
      <c r="C56" s="415">
        <f t="shared" si="16"/>
        <v>0</v>
      </c>
      <c r="D56" s="415">
        <f t="shared" si="16"/>
        <v>0</v>
      </c>
      <c r="E56" s="415">
        <f t="shared" si="16"/>
        <v>0</v>
      </c>
      <c r="F56" s="415">
        <f t="shared" si="16"/>
        <v>0</v>
      </c>
      <c r="G56" s="415">
        <f t="shared" si="17"/>
        <v>0</v>
      </c>
      <c r="H56" s="413">
        <f t="shared" si="18"/>
        <v>0</v>
      </c>
      <c r="I56" s="414">
        <f t="shared" si="13"/>
        <v>0</v>
      </c>
      <c r="J56" s="414">
        <f t="shared" si="13"/>
        <v>0.70199999999999996</v>
      </c>
      <c r="K56" s="414">
        <f t="shared" si="13"/>
        <v>0.53100000000000003</v>
      </c>
      <c r="L56" s="391">
        <f t="shared" si="14"/>
        <v>0</v>
      </c>
      <c r="M56" s="386">
        <f t="shared" si="15"/>
        <v>0</v>
      </c>
    </row>
    <row r="57" spans="1:13">
      <c r="A57" s="359"/>
      <c r="B57" s="556" t="str">
        <f t="shared" si="16"/>
        <v>Controller</v>
      </c>
      <c r="C57" s="415">
        <f t="shared" si="16"/>
        <v>0</v>
      </c>
      <c r="D57" s="415">
        <f t="shared" si="16"/>
        <v>0</v>
      </c>
      <c r="E57" s="415">
        <f t="shared" si="16"/>
        <v>0</v>
      </c>
      <c r="F57" s="415">
        <f t="shared" si="16"/>
        <v>0</v>
      </c>
      <c r="G57" s="415">
        <f t="shared" si="17"/>
        <v>0</v>
      </c>
      <c r="H57" s="413">
        <f t="shared" si="18"/>
        <v>0</v>
      </c>
      <c r="I57" s="414">
        <f t="shared" si="13"/>
        <v>0</v>
      </c>
      <c r="J57" s="414">
        <f t="shared" si="13"/>
        <v>0.70199999999999996</v>
      </c>
      <c r="K57" s="414">
        <f t="shared" si="13"/>
        <v>0.53100000000000003</v>
      </c>
      <c r="L57" s="391">
        <f t="shared" si="14"/>
        <v>0</v>
      </c>
      <c r="M57" s="386">
        <f t="shared" si="15"/>
        <v>0</v>
      </c>
    </row>
    <row r="58" spans="1:13">
      <c r="A58" s="359"/>
      <c r="B58" s="556" t="str">
        <f t="shared" si="16"/>
        <v>Accountant</v>
      </c>
      <c r="C58" s="415">
        <f t="shared" si="16"/>
        <v>0</v>
      </c>
      <c r="D58" s="415">
        <f t="shared" si="16"/>
        <v>0</v>
      </c>
      <c r="E58" s="415">
        <f t="shared" si="16"/>
        <v>0</v>
      </c>
      <c r="F58" s="415">
        <f t="shared" si="16"/>
        <v>0</v>
      </c>
      <c r="G58" s="415">
        <f t="shared" si="17"/>
        <v>0</v>
      </c>
      <c r="H58" s="413">
        <f t="shared" si="18"/>
        <v>0</v>
      </c>
      <c r="I58" s="414">
        <f t="shared" si="13"/>
        <v>0.1</v>
      </c>
      <c r="J58" s="414">
        <f t="shared" si="13"/>
        <v>0.70199999999999996</v>
      </c>
      <c r="K58" s="414">
        <f t="shared" si="13"/>
        <v>0.53100000000000003</v>
      </c>
      <c r="L58" s="391">
        <f t="shared" si="14"/>
        <v>0</v>
      </c>
      <c r="M58" s="386">
        <f t="shared" si="15"/>
        <v>0</v>
      </c>
    </row>
    <row r="59" spans="1:13">
      <c r="A59" s="359"/>
      <c r="B59" s="556" t="str">
        <f t="shared" si="16"/>
        <v>Administrative Assistant</v>
      </c>
      <c r="C59" s="415">
        <f t="shared" si="16"/>
        <v>0</v>
      </c>
      <c r="D59" s="415">
        <f t="shared" si="16"/>
        <v>1</v>
      </c>
      <c r="E59" s="415">
        <f t="shared" si="16"/>
        <v>0</v>
      </c>
      <c r="F59" s="415">
        <f t="shared" si="16"/>
        <v>12</v>
      </c>
      <c r="G59" s="415">
        <f t="shared" si="17"/>
        <v>1</v>
      </c>
      <c r="H59" s="413">
        <f t="shared" si="18"/>
        <v>27000</v>
      </c>
      <c r="I59" s="414">
        <f t="shared" si="13"/>
        <v>0.15</v>
      </c>
      <c r="J59" s="414">
        <f t="shared" si="13"/>
        <v>0.70199999999999996</v>
      </c>
      <c r="K59" s="414">
        <f t="shared" si="13"/>
        <v>0.53100000000000003</v>
      </c>
      <c r="L59" s="391">
        <f t="shared" si="14"/>
        <v>0</v>
      </c>
      <c r="M59" s="386">
        <f t="shared" si="15"/>
        <v>52154.55000000001</v>
      </c>
    </row>
    <row r="60" spans="1:13">
      <c r="A60" s="359"/>
      <c r="B60" s="556" t="str">
        <f t="shared" si="16"/>
        <v>Warehouse Supervisor</v>
      </c>
      <c r="C60" s="415">
        <f t="shared" si="16"/>
        <v>0</v>
      </c>
      <c r="D60" s="415">
        <f t="shared" si="16"/>
        <v>0</v>
      </c>
      <c r="E60" s="415">
        <f t="shared" si="16"/>
        <v>0</v>
      </c>
      <c r="F60" s="415">
        <f t="shared" si="16"/>
        <v>0</v>
      </c>
      <c r="G60" s="415">
        <f t="shared" si="17"/>
        <v>0</v>
      </c>
      <c r="H60" s="413">
        <f t="shared" si="18"/>
        <v>0</v>
      </c>
      <c r="I60" s="414">
        <f t="shared" si="13"/>
        <v>0</v>
      </c>
      <c r="J60" s="414">
        <f t="shared" si="13"/>
        <v>0.70199999999999996</v>
      </c>
      <c r="K60" s="414">
        <f t="shared" si="13"/>
        <v>0.53100000000000003</v>
      </c>
      <c r="L60" s="391">
        <f t="shared" si="14"/>
        <v>0</v>
      </c>
      <c r="M60" s="386">
        <f t="shared" si="15"/>
        <v>0</v>
      </c>
    </row>
    <row r="61" spans="1:13">
      <c r="A61" s="359"/>
      <c r="B61" s="556" t="str">
        <f t="shared" si="16"/>
        <v>Other</v>
      </c>
      <c r="C61" s="415">
        <f t="shared" si="16"/>
        <v>0</v>
      </c>
      <c r="D61" s="415">
        <f t="shared" si="16"/>
        <v>0</v>
      </c>
      <c r="E61" s="415">
        <f t="shared" si="16"/>
        <v>0</v>
      </c>
      <c r="F61" s="415">
        <f t="shared" si="16"/>
        <v>0</v>
      </c>
      <c r="G61" s="415">
        <f t="shared" si="17"/>
        <v>0</v>
      </c>
      <c r="H61" s="413">
        <f t="shared" si="18"/>
        <v>0</v>
      </c>
      <c r="I61" s="414">
        <f t="shared" si="13"/>
        <v>0</v>
      </c>
      <c r="J61" s="414">
        <f t="shared" si="13"/>
        <v>0.70199999999999996</v>
      </c>
      <c r="K61" s="414">
        <f t="shared" si="13"/>
        <v>0.53100000000000003</v>
      </c>
      <c r="L61" s="391">
        <f t="shared" si="14"/>
        <v>0</v>
      </c>
      <c r="M61" s="386">
        <f t="shared" si="15"/>
        <v>0</v>
      </c>
    </row>
    <row r="62" spans="1:13">
      <c r="A62" s="359"/>
      <c r="B62" s="556" t="str">
        <f t="shared" si="16"/>
        <v>Other</v>
      </c>
      <c r="C62" s="415">
        <f t="shared" si="16"/>
        <v>0</v>
      </c>
      <c r="D62" s="415">
        <f t="shared" si="16"/>
        <v>0</v>
      </c>
      <c r="E62" s="415">
        <f t="shared" si="16"/>
        <v>0</v>
      </c>
      <c r="F62" s="415">
        <f t="shared" si="16"/>
        <v>0</v>
      </c>
      <c r="G62" s="415">
        <f t="shared" si="17"/>
        <v>0</v>
      </c>
      <c r="H62" s="413">
        <f t="shared" si="18"/>
        <v>0</v>
      </c>
      <c r="I62" s="414">
        <f t="shared" si="13"/>
        <v>0</v>
      </c>
      <c r="J62" s="414">
        <f t="shared" si="13"/>
        <v>0.70199999999999996</v>
      </c>
      <c r="K62" s="414">
        <f t="shared" si="13"/>
        <v>0.53100000000000003</v>
      </c>
      <c r="L62" s="391">
        <f t="shared" si="14"/>
        <v>0</v>
      </c>
      <c r="M62" s="386">
        <f t="shared" si="15"/>
        <v>0</v>
      </c>
    </row>
    <row r="63" spans="1:13">
      <c r="A63" s="359"/>
      <c r="B63" s="556" t="str">
        <f t="shared" si="16"/>
        <v>Other</v>
      </c>
      <c r="C63" s="415">
        <f t="shared" si="16"/>
        <v>0</v>
      </c>
      <c r="D63" s="415">
        <f t="shared" si="16"/>
        <v>0</v>
      </c>
      <c r="E63" s="415">
        <f t="shared" si="16"/>
        <v>0</v>
      </c>
      <c r="F63" s="415">
        <f t="shared" si="16"/>
        <v>0</v>
      </c>
      <c r="G63" s="415">
        <f t="shared" si="17"/>
        <v>0</v>
      </c>
      <c r="H63" s="413">
        <f t="shared" si="18"/>
        <v>0</v>
      </c>
      <c r="I63" s="414">
        <f t="shared" si="13"/>
        <v>0</v>
      </c>
      <c r="J63" s="414">
        <f t="shared" si="13"/>
        <v>0.70199999999999996</v>
      </c>
      <c r="K63" s="414">
        <f t="shared" si="13"/>
        <v>0.53100000000000003</v>
      </c>
      <c r="L63" s="391">
        <f t="shared" si="14"/>
        <v>0</v>
      </c>
      <c r="M63" s="386">
        <f t="shared" si="15"/>
        <v>0</v>
      </c>
    </row>
    <row r="64" spans="1:13">
      <c r="A64" s="359"/>
      <c r="B64" s="556"/>
      <c r="C64" s="415"/>
      <c r="D64" s="415"/>
      <c r="E64" s="415"/>
      <c r="F64" s="415"/>
      <c r="G64" s="415"/>
      <c r="H64" s="413"/>
      <c r="I64" s="416"/>
      <c r="J64" s="416"/>
      <c r="K64" s="416"/>
      <c r="L64" s="391"/>
      <c r="M64" s="386"/>
    </row>
    <row r="65" spans="1:13">
      <c r="A65" s="387" t="s">
        <v>267</v>
      </c>
      <c r="B65" s="556"/>
      <c r="C65" s="415"/>
      <c r="D65" s="415"/>
      <c r="E65" s="415"/>
      <c r="F65" s="415"/>
      <c r="G65" s="415"/>
      <c r="H65" s="413"/>
      <c r="I65" s="416"/>
      <c r="J65" s="416"/>
      <c r="K65" s="416"/>
      <c r="L65" s="391"/>
      <c r="M65" s="386"/>
    </row>
    <row r="66" spans="1:13">
      <c r="A66" s="359"/>
      <c r="B66" s="556" t="str">
        <f>B23</f>
        <v>Operations Manager</v>
      </c>
      <c r="C66" s="415">
        <f>C23</f>
        <v>0</v>
      </c>
      <c r="D66" s="415">
        <f>D23</f>
        <v>1</v>
      </c>
      <c r="E66" s="415">
        <f>E23</f>
        <v>0</v>
      </c>
      <c r="F66" s="415">
        <f>F23</f>
        <v>12</v>
      </c>
      <c r="G66" s="415">
        <f>C66*E66/12+D66*F66/12</f>
        <v>1</v>
      </c>
      <c r="H66" s="413">
        <f>H23*(1+$C$4)</f>
        <v>70000</v>
      </c>
      <c r="I66" s="414">
        <f t="shared" ref="I66:K76" si="19">I23</f>
        <v>0</v>
      </c>
      <c r="J66" s="414">
        <f t="shared" si="19"/>
        <v>0.70199999999999996</v>
      </c>
      <c r="K66" s="414">
        <f t="shared" si="19"/>
        <v>0.53100000000000003</v>
      </c>
      <c r="L66" s="391">
        <f t="shared" ref="L66:L76" si="20">(C66*($H66+($H66*$I66)+($H66*$J66)+($H66*$I66*$K66))*E66/12)</f>
        <v>0</v>
      </c>
      <c r="M66" s="386">
        <f t="shared" ref="M66:M76" si="21">(D66*($H66+($H66*$I66)+($H66*$J66)+($H66*$I66*$K66))*F66/12)</f>
        <v>119140</v>
      </c>
    </row>
    <row r="67" spans="1:13">
      <c r="A67" s="359"/>
      <c r="B67" s="556" t="str">
        <f t="shared" ref="B67:F76" si="22">B24</f>
        <v>Operations Shift Supervisors</v>
      </c>
      <c r="C67" s="415">
        <f t="shared" si="22"/>
        <v>0</v>
      </c>
      <c r="D67" s="415">
        <f t="shared" si="22"/>
        <v>0</v>
      </c>
      <c r="E67" s="415">
        <f t="shared" si="22"/>
        <v>0</v>
      </c>
      <c r="F67" s="415">
        <f t="shared" si="22"/>
        <v>0</v>
      </c>
      <c r="G67" s="415">
        <f t="shared" ref="G67:G76" si="23">C67*E67/12+D67*F67/12</f>
        <v>0</v>
      </c>
      <c r="H67" s="413">
        <f t="shared" ref="H67:H76" si="24">H24*(1+$C$4)</f>
        <v>0</v>
      </c>
      <c r="I67" s="414">
        <f t="shared" si="19"/>
        <v>0.15</v>
      </c>
      <c r="J67" s="414">
        <f t="shared" si="19"/>
        <v>0.70199999999999996</v>
      </c>
      <c r="K67" s="414">
        <f t="shared" si="19"/>
        <v>0.53100000000000003</v>
      </c>
      <c r="L67" s="391">
        <f t="shared" si="20"/>
        <v>0</v>
      </c>
      <c r="M67" s="386">
        <f t="shared" si="21"/>
        <v>0</v>
      </c>
    </row>
    <row r="68" spans="1:13">
      <c r="A68" s="359"/>
      <c r="B68" s="556" t="str">
        <f t="shared" si="22"/>
        <v>Control Room Operators</v>
      </c>
      <c r="C68" s="415">
        <f t="shared" si="22"/>
        <v>0</v>
      </c>
      <c r="D68" s="415">
        <f t="shared" si="22"/>
        <v>0</v>
      </c>
      <c r="E68" s="415">
        <f t="shared" si="22"/>
        <v>0</v>
      </c>
      <c r="F68" s="415">
        <f t="shared" si="22"/>
        <v>0</v>
      </c>
      <c r="G68" s="415">
        <f t="shared" si="23"/>
        <v>0</v>
      </c>
      <c r="H68" s="413">
        <f t="shared" si="24"/>
        <v>0</v>
      </c>
      <c r="I68" s="414">
        <f t="shared" si="19"/>
        <v>0.15</v>
      </c>
      <c r="J68" s="414">
        <f t="shared" si="19"/>
        <v>0.70199999999999996</v>
      </c>
      <c r="K68" s="414">
        <f t="shared" si="19"/>
        <v>0.53100000000000003</v>
      </c>
      <c r="L68" s="391">
        <f t="shared" si="20"/>
        <v>0</v>
      </c>
      <c r="M68" s="386">
        <f t="shared" si="21"/>
        <v>0</v>
      </c>
    </row>
    <row r="69" spans="1:13">
      <c r="A69" s="359"/>
      <c r="B69" s="556" t="str">
        <f t="shared" si="22"/>
        <v>Turbine Operators</v>
      </c>
      <c r="C69" s="415">
        <f t="shared" si="22"/>
        <v>0</v>
      </c>
      <c r="D69" s="415">
        <f t="shared" si="22"/>
        <v>0</v>
      </c>
      <c r="E69" s="415">
        <f t="shared" si="22"/>
        <v>0</v>
      </c>
      <c r="F69" s="415">
        <f t="shared" si="22"/>
        <v>0</v>
      </c>
      <c r="G69" s="415">
        <f t="shared" si="23"/>
        <v>0</v>
      </c>
      <c r="H69" s="413">
        <f t="shared" si="24"/>
        <v>0</v>
      </c>
      <c r="I69" s="414">
        <f t="shared" si="19"/>
        <v>0.15</v>
      </c>
      <c r="J69" s="414">
        <f t="shared" si="19"/>
        <v>0.70199999999999996</v>
      </c>
      <c r="K69" s="414">
        <f t="shared" si="19"/>
        <v>0.53100000000000003</v>
      </c>
      <c r="L69" s="391">
        <f t="shared" si="20"/>
        <v>0</v>
      </c>
      <c r="M69" s="386">
        <f t="shared" si="21"/>
        <v>0</v>
      </c>
    </row>
    <row r="70" spans="1:13">
      <c r="A70" s="359"/>
      <c r="B70" s="556" t="str">
        <f t="shared" si="22"/>
        <v>Water System Opertors</v>
      </c>
      <c r="C70" s="415">
        <f t="shared" si="22"/>
        <v>0</v>
      </c>
      <c r="D70" s="415">
        <f t="shared" si="22"/>
        <v>0</v>
      </c>
      <c r="E70" s="415">
        <f t="shared" si="22"/>
        <v>0</v>
      </c>
      <c r="F70" s="415">
        <f t="shared" si="22"/>
        <v>0</v>
      </c>
      <c r="G70" s="415">
        <f t="shared" si="23"/>
        <v>0</v>
      </c>
      <c r="H70" s="413">
        <f t="shared" si="24"/>
        <v>0</v>
      </c>
      <c r="I70" s="414">
        <f t="shared" si="19"/>
        <v>0.15</v>
      </c>
      <c r="J70" s="414">
        <f t="shared" si="19"/>
        <v>0.70199999999999996</v>
      </c>
      <c r="K70" s="414">
        <f t="shared" si="19"/>
        <v>0.53100000000000003</v>
      </c>
      <c r="L70" s="391">
        <f t="shared" si="20"/>
        <v>0</v>
      </c>
      <c r="M70" s="386">
        <f t="shared" si="21"/>
        <v>0</v>
      </c>
    </row>
    <row r="71" spans="1:13">
      <c r="A71" s="359"/>
      <c r="B71" s="556" t="str">
        <f t="shared" si="22"/>
        <v>Fuel Storage/Handling Operators</v>
      </c>
      <c r="C71" s="415">
        <f t="shared" si="22"/>
        <v>0</v>
      </c>
      <c r="D71" s="415">
        <f t="shared" si="22"/>
        <v>0</v>
      </c>
      <c r="E71" s="415">
        <f t="shared" si="22"/>
        <v>0</v>
      </c>
      <c r="F71" s="415">
        <f t="shared" si="22"/>
        <v>0</v>
      </c>
      <c r="G71" s="415">
        <f t="shared" si="23"/>
        <v>0</v>
      </c>
      <c r="H71" s="413">
        <f t="shared" si="24"/>
        <v>0</v>
      </c>
      <c r="I71" s="414">
        <f t="shared" si="19"/>
        <v>0.15</v>
      </c>
      <c r="J71" s="414">
        <f t="shared" si="19"/>
        <v>0.70199999999999996</v>
      </c>
      <c r="K71" s="414">
        <f t="shared" si="19"/>
        <v>0.53100000000000003</v>
      </c>
      <c r="L71" s="391">
        <f t="shared" si="20"/>
        <v>0</v>
      </c>
      <c r="M71" s="386">
        <f t="shared" si="21"/>
        <v>0</v>
      </c>
    </row>
    <row r="72" spans="1:13">
      <c r="A72" s="359"/>
      <c r="B72" s="556" t="str">
        <f t="shared" si="22"/>
        <v>Utility Operators</v>
      </c>
      <c r="C72" s="415">
        <f t="shared" si="22"/>
        <v>0</v>
      </c>
      <c r="D72" s="415">
        <f t="shared" si="22"/>
        <v>0</v>
      </c>
      <c r="E72" s="415">
        <f t="shared" si="22"/>
        <v>0</v>
      </c>
      <c r="F72" s="415">
        <f t="shared" si="22"/>
        <v>0</v>
      </c>
      <c r="G72" s="415">
        <f t="shared" si="23"/>
        <v>0</v>
      </c>
      <c r="H72" s="413">
        <f t="shared" si="24"/>
        <v>0</v>
      </c>
      <c r="I72" s="414">
        <f t="shared" si="19"/>
        <v>0.15</v>
      </c>
      <c r="J72" s="414">
        <f t="shared" si="19"/>
        <v>0.70199999999999996</v>
      </c>
      <c r="K72" s="414">
        <f t="shared" si="19"/>
        <v>0.53100000000000003</v>
      </c>
      <c r="L72" s="391">
        <f t="shared" si="20"/>
        <v>0</v>
      </c>
      <c r="M72" s="386">
        <f t="shared" si="21"/>
        <v>0</v>
      </c>
    </row>
    <row r="73" spans="1:13">
      <c r="A73" s="359"/>
      <c r="B73" s="556" t="str">
        <f t="shared" si="22"/>
        <v>Chemist</v>
      </c>
      <c r="C73" s="415">
        <f t="shared" si="22"/>
        <v>0</v>
      </c>
      <c r="D73" s="415">
        <f t="shared" si="22"/>
        <v>0</v>
      </c>
      <c r="E73" s="415">
        <f t="shared" si="22"/>
        <v>0</v>
      </c>
      <c r="F73" s="415">
        <f t="shared" si="22"/>
        <v>0</v>
      </c>
      <c r="G73" s="415">
        <f t="shared" si="23"/>
        <v>0</v>
      </c>
      <c r="H73" s="413">
        <f t="shared" si="24"/>
        <v>0</v>
      </c>
      <c r="I73" s="414">
        <f t="shared" si="19"/>
        <v>0.15</v>
      </c>
      <c r="J73" s="414">
        <f t="shared" si="19"/>
        <v>0.70199999999999996</v>
      </c>
      <c r="K73" s="414">
        <f t="shared" si="19"/>
        <v>0.53100000000000003</v>
      </c>
      <c r="L73" s="391">
        <f t="shared" si="20"/>
        <v>0</v>
      </c>
      <c r="M73" s="386">
        <f t="shared" si="21"/>
        <v>0</v>
      </c>
    </row>
    <row r="74" spans="1:13">
      <c r="A74" s="359"/>
      <c r="B74" s="556" t="str">
        <f t="shared" si="22"/>
        <v>Tech III</v>
      </c>
      <c r="C74" s="415">
        <f t="shared" si="22"/>
        <v>0</v>
      </c>
      <c r="D74" s="415">
        <f t="shared" si="22"/>
        <v>4</v>
      </c>
      <c r="E74" s="415">
        <f t="shared" si="22"/>
        <v>0</v>
      </c>
      <c r="F74" s="415">
        <f t="shared" si="22"/>
        <v>12</v>
      </c>
      <c r="G74" s="415">
        <f t="shared" si="23"/>
        <v>4</v>
      </c>
      <c r="H74" s="413">
        <f t="shared" si="24"/>
        <v>52000</v>
      </c>
      <c r="I74" s="414">
        <f t="shared" si="19"/>
        <v>0.15</v>
      </c>
      <c r="J74" s="414">
        <f t="shared" si="19"/>
        <v>0.70199999999999996</v>
      </c>
      <c r="K74" s="414">
        <f t="shared" si="19"/>
        <v>0.53100000000000003</v>
      </c>
      <c r="L74" s="391">
        <f t="shared" si="20"/>
        <v>0</v>
      </c>
      <c r="M74" s="386">
        <f t="shared" si="21"/>
        <v>401783.2</v>
      </c>
    </row>
    <row r="75" spans="1:13">
      <c r="A75" s="359"/>
      <c r="B75" s="556" t="str">
        <f t="shared" si="22"/>
        <v>Tech II</v>
      </c>
      <c r="C75" s="415">
        <f t="shared" si="22"/>
        <v>0</v>
      </c>
      <c r="D75" s="415">
        <f t="shared" si="22"/>
        <v>4</v>
      </c>
      <c r="E75" s="415">
        <f t="shared" si="22"/>
        <v>0</v>
      </c>
      <c r="F75" s="415">
        <f t="shared" si="22"/>
        <v>12</v>
      </c>
      <c r="G75" s="415">
        <f t="shared" si="23"/>
        <v>4</v>
      </c>
      <c r="H75" s="413">
        <f t="shared" si="24"/>
        <v>45760</v>
      </c>
      <c r="I75" s="414">
        <f t="shared" si="19"/>
        <v>0.15</v>
      </c>
      <c r="J75" s="414">
        <f t="shared" si="19"/>
        <v>0.70199999999999996</v>
      </c>
      <c r="K75" s="414">
        <f t="shared" si="19"/>
        <v>0.53100000000000003</v>
      </c>
      <c r="L75" s="391">
        <f t="shared" si="20"/>
        <v>0</v>
      </c>
      <c r="M75" s="386">
        <f t="shared" si="21"/>
        <v>353569.21599999996</v>
      </c>
    </row>
    <row r="76" spans="1:13">
      <c r="A76" s="359"/>
      <c r="B76" s="556" t="str">
        <f t="shared" si="22"/>
        <v>Other</v>
      </c>
      <c r="C76" s="415">
        <f t="shared" si="22"/>
        <v>0</v>
      </c>
      <c r="D76" s="415">
        <f t="shared" si="22"/>
        <v>0</v>
      </c>
      <c r="E76" s="415">
        <f t="shared" si="22"/>
        <v>0</v>
      </c>
      <c r="F76" s="415">
        <f t="shared" si="22"/>
        <v>0</v>
      </c>
      <c r="G76" s="415">
        <f t="shared" si="23"/>
        <v>0</v>
      </c>
      <c r="H76" s="413">
        <f t="shared" si="24"/>
        <v>0</v>
      </c>
      <c r="I76" s="414">
        <f t="shared" si="19"/>
        <v>0.15</v>
      </c>
      <c r="J76" s="414">
        <f t="shared" si="19"/>
        <v>0.70199999999999996</v>
      </c>
      <c r="K76" s="414">
        <f t="shared" si="19"/>
        <v>0.53100000000000003</v>
      </c>
      <c r="L76" s="391">
        <f t="shared" si="20"/>
        <v>0</v>
      </c>
      <c r="M76" s="386">
        <f t="shared" si="21"/>
        <v>0</v>
      </c>
    </row>
    <row r="77" spans="1:13">
      <c r="A77" s="359"/>
      <c r="B77" s="556"/>
      <c r="C77" s="415"/>
      <c r="D77" s="415"/>
      <c r="E77" s="415"/>
      <c r="F77" s="415"/>
      <c r="G77" s="415"/>
      <c r="H77" s="413"/>
      <c r="I77" s="416"/>
      <c r="J77" s="416"/>
      <c r="K77" s="416"/>
      <c r="L77" s="391"/>
      <c r="M77" s="386"/>
    </row>
    <row r="78" spans="1:13">
      <c r="A78" s="387" t="s">
        <v>268</v>
      </c>
      <c r="B78" s="556"/>
      <c r="C78" s="415"/>
      <c r="D78" s="415"/>
      <c r="E78" s="415"/>
      <c r="F78" s="415"/>
      <c r="G78" s="415"/>
      <c r="H78" s="413"/>
      <c r="I78" s="416"/>
      <c r="J78" s="416"/>
      <c r="K78" s="416"/>
      <c r="L78" s="391"/>
      <c r="M78" s="386"/>
    </row>
    <row r="79" spans="1:13">
      <c r="A79" s="359"/>
      <c r="B79" s="556" t="str">
        <f t="shared" ref="B79:F89" si="25">B36</f>
        <v>Maintenance Manager</v>
      </c>
      <c r="C79" s="415">
        <f t="shared" si="25"/>
        <v>0</v>
      </c>
      <c r="D79" s="415">
        <f t="shared" si="25"/>
        <v>1</v>
      </c>
      <c r="E79" s="415">
        <f t="shared" si="25"/>
        <v>0</v>
      </c>
      <c r="F79" s="415">
        <f t="shared" si="25"/>
        <v>12</v>
      </c>
      <c r="G79" s="415">
        <f>C79*E79/12+D79*F79/12</f>
        <v>1</v>
      </c>
      <c r="H79" s="413">
        <f t="shared" ref="H79:H89" si="26">H36*(1+$C$4)</f>
        <v>65000</v>
      </c>
      <c r="I79" s="414">
        <f t="shared" ref="I79:K89" si="27">I36</f>
        <v>0</v>
      </c>
      <c r="J79" s="414">
        <f t="shared" si="27"/>
        <v>0.70199999999999996</v>
      </c>
      <c r="K79" s="414">
        <f t="shared" si="27"/>
        <v>0.53100000000000003</v>
      </c>
      <c r="L79" s="391">
        <f t="shared" ref="L79:L89" si="28">(C79*($H79+($H79*$I79)+($H79*$J79)+($H79*$I79*$K79))*E79/12)</f>
        <v>0</v>
      </c>
      <c r="M79" s="386">
        <f t="shared" ref="M79:M89" si="29">(D79*($H79+($H79*$I79)+($H79*$J79)+($H79*$I79*$K79))*F79/12)</f>
        <v>110630</v>
      </c>
    </row>
    <row r="80" spans="1:13">
      <c r="A80" s="359"/>
      <c r="B80" s="556" t="str">
        <f t="shared" si="25"/>
        <v>Mechanical Engineer</v>
      </c>
      <c r="C80" s="415">
        <f t="shared" si="25"/>
        <v>0</v>
      </c>
      <c r="D80" s="415">
        <f t="shared" si="25"/>
        <v>0</v>
      </c>
      <c r="E80" s="415">
        <f t="shared" si="25"/>
        <v>0</v>
      </c>
      <c r="F80" s="415">
        <f t="shared" si="25"/>
        <v>0</v>
      </c>
      <c r="G80" s="415">
        <f t="shared" ref="G80:G89" si="30">C80*E80/12+D80*F80/12</f>
        <v>0</v>
      </c>
      <c r="H80" s="413">
        <f t="shared" si="26"/>
        <v>0</v>
      </c>
      <c r="I80" s="414">
        <f t="shared" si="27"/>
        <v>0</v>
      </c>
      <c r="J80" s="414">
        <f t="shared" si="27"/>
        <v>0.70199999999999996</v>
      </c>
      <c r="K80" s="414">
        <f t="shared" si="27"/>
        <v>0.53100000000000003</v>
      </c>
      <c r="L80" s="391">
        <f t="shared" si="28"/>
        <v>0</v>
      </c>
      <c r="M80" s="386">
        <f t="shared" si="29"/>
        <v>0</v>
      </c>
    </row>
    <row r="81" spans="1:17">
      <c r="A81" s="359"/>
      <c r="B81" s="556" t="str">
        <f t="shared" si="25"/>
        <v>Maintenance Planner</v>
      </c>
      <c r="C81" s="415">
        <f t="shared" si="25"/>
        <v>0</v>
      </c>
      <c r="D81" s="415">
        <f t="shared" si="25"/>
        <v>0</v>
      </c>
      <c r="E81" s="415">
        <f t="shared" si="25"/>
        <v>0</v>
      </c>
      <c r="F81" s="415">
        <f t="shared" si="25"/>
        <v>0</v>
      </c>
      <c r="G81" s="415">
        <f t="shared" si="30"/>
        <v>0</v>
      </c>
      <c r="H81" s="413">
        <f t="shared" si="26"/>
        <v>0</v>
      </c>
      <c r="I81" s="414">
        <f t="shared" si="27"/>
        <v>0.15</v>
      </c>
      <c r="J81" s="414">
        <f t="shared" si="27"/>
        <v>0.70199999999999996</v>
      </c>
      <c r="K81" s="414">
        <f t="shared" si="27"/>
        <v>0.53100000000000003</v>
      </c>
      <c r="L81" s="391">
        <f t="shared" si="28"/>
        <v>0</v>
      </c>
      <c r="M81" s="386">
        <f t="shared" si="29"/>
        <v>0</v>
      </c>
    </row>
    <row r="82" spans="1:17">
      <c r="A82" s="359"/>
      <c r="B82" s="556" t="str">
        <f t="shared" si="25"/>
        <v>Mechanic</v>
      </c>
      <c r="C82" s="415">
        <f t="shared" si="25"/>
        <v>0</v>
      </c>
      <c r="D82" s="415">
        <f t="shared" si="25"/>
        <v>1</v>
      </c>
      <c r="E82" s="415">
        <f t="shared" si="25"/>
        <v>0</v>
      </c>
      <c r="F82" s="415">
        <f t="shared" si="25"/>
        <v>12</v>
      </c>
      <c r="G82" s="415">
        <f t="shared" si="30"/>
        <v>1</v>
      </c>
      <c r="H82" s="413">
        <f t="shared" si="26"/>
        <v>38000</v>
      </c>
      <c r="I82" s="414">
        <f t="shared" si="27"/>
        <v>0.15</v>
      </c>
      <c r="J82" s="414">
        <f t="shared" si="27"/>
        <v>0.70199999999999996</v>
      </c>
      <c r="K82" s="414">
        <f t="shared" si="27"/>
        <v>0.53100000000000003</v>
      </c>
      <c r="L82" s="391">
        <f t="shared" si="28"/>
        <v>0</v>
      </c>
      <c r="M82" s="386">
        <f t="shared" si="29"/>
        <v>73402.7</v>
      </c>
    </row>
    <row r="83" spans="1:17">
      <c r="A83" s="359"/>
      <c r="B83" s="556" t="str">
        <f t="shared" si="25"/>
        <v>I&amp;C Engineer</v>
      </c>
      <c r="C83" s="415">
        <f t="shared" si="25"/>
        <v>0</v>
      </c>
      <c r="D83" s="415">
        <f t="shared" si="25"/>
        <v>0</v>
      </c>
      <c r="E83" s="415">
        <f t="shared" si="25"/>
        <v>0</v>
      </c>
      <c r="F83" s="415">
        <f t="shared" si="25"/>
        <v>0</v>
      </c>
      <c r="G83" s="415">
        <f t="shared" si="30"/>
        <v>0</v>
      </c>
      <c r="H83" s="413">
        <f t="shared" si="26"/>
        <v>0</v>
      </c>
      <c r="I83" s="414">
        <f t="shared" si="27"/>
        <v>0.15</v>
      </c>
      <c r="J83" s="414">
        <f t="shared" si="27"/>
        <v>0.70199999999999996</v>
      </c>
      <c r="K83" s="414">
        <f t="shared" si="27"/>
        <v>0.53100000000000003</v>
      </c>
      <c r="L83" s="391">
        <f t="shared" si="28"/>
        <v>0</v>
      </c>
      <c r="M83" s="386">
        <f t="shared" si="29"/>
        <v>0</v>
      </c>
    </row>
    <row r="84" spans="1:17">
      <c r="A84" s="359"/>
      <c r="B84" s="556" t="str">
        <f t="shared" si="25"/>
        <v>I&amp;C Technician</v>
      </c>
      <c r="C84" s="415">
        <f t="shared" si="25"/>
        <v>0</v>
      </c>
      <c r="D84" s="415">
        <f t="shared" si="25"/>
        <v>1</v>
      </c>
      <c r="E84" s="415">
        <f t="shared" si="25"/>
        <v>0</v>
      </c>
      <c r="F84" s="415">
        <f t="shared" si="25"/>
        <v>12</v>
      </c>
      <c r="G84" s="415">
        <f t="shared" si="30"/>
        <v>1</v>
      </c>
      <c r="H84" s="413">
        <f t="shared" si="26"/>
        <v>55000</v>
      </c>
      <c r="I84" s="414">
        <f t="shared" si="27"/>
        <v>0.15</v>
      </c>
      <c r="J84" s="414">
        <f t="shared" si="27"/>
        <v>0.70199999999999996</v>
      </c>
      <c r="K84" s="414">
        <f t="shared" si="27"/>
        <v>0.53100000000000003</v>
      </c>
      <c r="L84" s="391">
        <f t="shared" si="28"/>
        <v>0</v>
      </c>
      <c r="M84" s="386">
        <f t="shared" si="29"/>
        <v>106240.75</v>
      </c>
    </row>
    <row r="85" spans="1:17">
      <c r="A85" s="359"/>
      <c r="B85" s="556" t="str">
        <f t="shared" si="25"/>
        <v>Electrical Technician</v>
      </c>
      <c r="C85" s="415">
        <f t="shared" si="25"/>
        <v>0</v>
      </c>
      <c r="D85" s="415">
        <f t="shared" si="25"/>
        <v>1</v>
      </c>
      <c r="E85" s="415">
        <f t="shared" si="25"/>
        <v>0</v>
      </c>
      <c r="F85" s="415">
        <f t="shared" si="25"/>
        <v>12</v>
      </c>
      <c r="G85" s="415">
        <f t="shared" si="30"/>
        <v>1</v>
      </c>
      <c r="H85" s="413">
        <f t="shared" si="26"/>
        <v>45000</v>
      </c>
      <c r="I85" s="414">
        <f t="shared" si="27"/>
        <v>0.15</v>
      </c>
      <c r="J85" s="414">
        <f t="shared" si="27"/>
        <v>0.70199999999999996</v>
      </c>
      <c r="K85" s="414">
        <f t="shared" si="27"/>
        <v>0.53100000000000003</v>
      </c>
      <c r="L85" s="391">
        <f t="shared" si="28"/>
        <v>0</v>
      </c>
      <c r="M85" s="386">
        <f t="shared" si="29"/>
        <v>86924.25</v>
      </c>
    </row>
    <row r="86" spans="1:17">
      <c r="A86" s="359"/>
      <c r="B86" s="556" t="str">
        <f t="shared" si="25"/>
        <v>Other</v>
      </c>
      <c r="C86" s="415">
        <f t="shared" si="25"/>
        <v>0</v>
      </c>
      <c r="D86" s="415">
        <f t="shared" si="25"/>
        <v>0</v>
      </c>
      <c r="E86" s="415">
        <f t="shared" si="25"/>
        <v>0</v>
      </c>
      <c r="F86" s="415">
        <f t="shared" si="25"/>
        <v>0</v>
      </c>
      <c r="G86" s="415">
        <f t="shared" si="30"/>
        <v>0</v>
      </c>
      <c r="H86" s="413">
        <f t="shared" si="26"/>
        <v>0</v>
      </c>
      <c r="I86" s="414">
        <f t="shared" si="27"/>
        <v>0.15</v>
      </c>
      <c r="J86" s="414">
        <f t="shared" si="27"/>
        <v>0.70199999999999996</v>
      </c>
      <c r="K86" s="414">
        <f t="shared" si="27"/>
        <v>0.53100000000000003</v>
      </c>
      <c r="L86" s="391">
        <f t="shared" si="28"/>
        <v>0</v>
      </c>
      <c r="M86" s="386">
        <f t="shared" si="29"/>
        <v>0</v>
      </c>
    </row>
    <row r="87" spans="1:17">
      <c r="A87" s="359"/>
      <c r="B87" s="556" t="str">
        <f t="shared" si="25"/>
        <v>Other</v>
      </c>
      <c r="C87" s="415">
        <f t="shared" si="25"/>
        <v>0</v>
      </c>
      <c r="D87" s="415">
        <f t="shared" si="25"/>
        <v>0</v>
      </c>
      <c r="E87" s="415">
        <f t="shared" si="25"/>
        <v>0</v>
      </c>
      <c r="F87" s="415">
        <f t="shared" si="25"/>
        <v>0</v>
      </c>
      <c r="G87" s="415">
        <f t="shared" si="30"/>
        <v>0</v>
      </c>
      <c r="H87" s="413">
        <f t="shared" si="26"/>
        <v>0</v>
      </c>
      <c r="I87" s="414">
        <f t="shared" si="27"/>
        <v>0.15</v>
      </c>
      <c r="J87" s="414">
        <f t="shared" si="27"/>
        <v>0.70199999999999996</v>
      </c>
      <c r="K87" s="414">
        <f t="shared" si="27"/>
        <v>0.53100000000000003</v>
      </c>
      <c r="L87" s="391">
        <f t="shared" si="28"/>
        <v>0</v>
      </c>
      <c r="M87" s="386">
        <f t="shared" si="29"/>
        <v>0</v>
      </c>
    </row>
    <row r="88" spans="1:17">
      <c r="A88" s="359"/>
      <c r="B88" s="556" t="str">
        <f t="shared" si="25"/>
        <v>Other</v>
      </c>
      <c r="C88" s="415">
        <f t="shared" si="25"/>
        <v>0</v>
      </c>
      <c r="D88" s="415">
        <f t="shared" si="25"/>
        <v>0</v>
      </c>
      <c r="E88" s="415">
        <f t="shared" si="25"/>
        <v>0</v>
      </c>
      <c r="F88" s="415">
        <f t="shared" si="25"/>
        <v>0</v>
      </c>
      <c r="G88" s="415">
        <f t="shared" si="30"/>
        <v>0</v>
      </c>
      <c r="H88" s="413">
        <f t="shared" si="26"/>
        <v>0</v>
      </c>
      <c r="I88" s="414">
        <f t="shared" si="27"/>
        <v>0.15</v>
      </c>
      <c r="J88" s="414">
        <f t="shared" si="27"/>
        <v>0.70199999999999996</v>
      </c>
      <c r="K88" s="414">
        <f t="shared" si="27"/>
        <v>0.53100000000000003</v>
      </c>
      <c r="L88" s="391">
        <f t="shared" si="28"/>
        <v>0</v>
      </c>
      <c r="M88" s="386">
        <f t="shared" si="29"/>
        <v>0</v>
      </c>
    </row>
    <row r="89" spans="1:17">
      <c r="A89" s="417"/>
      <c r="B89" s="582" t="str">
        <f t="shared" si="25"/>
        <v>Other</v>
      </c>
      <c r="C89" s="418">
        <f t="shared" si="25"/>
        <v>0</v>
      </c>
      <c r="D89" s="418">
        <f t="shared" si="25"/>
        <v>0</v>
      </c>
      <c r="E89" s="418">
        <f t="shared" si="25"/>
        <v>0</v>
      </c>
      <c r="F89" s="418">
        <f t="shared" si="25"/>
        <v>0</v>
      </c>
      <c r="G89" s="418">
        <f t="shared" si="30"/>
        <v>0</v>
      </c>
      <c r="H89" s="538">
        <f t="shared" si="26"/>
        <v>0</v>
      </c>
      <c r="I89" s="419">
        <f t="shared" si="27"/>
        <v>0.15</v>
      </c>
      <c r="J89" s="419">
        <f t="shared" si="27"/>
        <v>0.70199999999999996</v>
      </c>
      <c r="K89" s="539">
        <f t="shared" si="27"/>
        <v>0.53100000000000003</v>
      </c>
      <c r="L89" s="402">
        <f t="shared" si="28"/>
        <v>0</v>
      </c>
      <c r="M89" s="403">
        <f t="shared" si="29"/>
        <v>0</v>
      </c>
    </row>
    <row r="90" spans="1:17" ht="15.75" thickBot="1">
      <c r="A90" s="408" t="s">
        <v>1364</v>
      </c>
      <c r="B90" s="404"/>
      <c r="C90" s="412">
        <f>SUM(C53:C89)</f>
        <v>0</v>
      </c>
      <c r="D90" s="412">
        <f>SUM(D53:D89)</f>
        <v>15</v>
      </c>
      <c r="E90" s="412"/>
      <c r="F90" s="405"/>
      <c r="G90" s="537">
        <f>SUM(G53:G89)</f>
        <v>15</v>
      </c>
      <c r="H90" s="406"/>
      <c r="I90" s="406"/>
      <c r="J90" s="406"/>
      <c r="K90" s="406"/>
      <c r="L90" s="411">
        <f>SUM(L53:L89)</f>
        <v>0</v>
      </c>
      <c r="M90" s="410">
        <f>SUM(M53:M89)</f>
        <v>1451918.666</v>
      </c>
    </row>
    <row r="91" spans="1:17" s="407" customFormat="1" ht="27.75" customHeight="1" thickBot="1">
      <c r="A91" s="467"/>
      <c r="B91" s="467"/>
      <c r="C91" s="468"/>
      <c r="D91" s="468"/>
      <c r="E91" s="468"/>
      <c r="F91" s="468"/>
      <c r="G91" s="468"/>
      <c r="H91" s="469"/>
      <c r="I91" s="533" t="s">
        <v>286</v>
      </c>
      <c r="J91" s="534"/>
      <c r="K91" s="534"/>
      <c r="L91" s="471"/>
      <c r="M91" s="472">
        <f>L90+M90</f>
        <v>1451918.666</v>
      </c>
      <c r="Q91" s="630"/>
    </row>
    <row r="92" spans="1:17" ht="55.5" customHeight="1" thickBot="1">
      <c r="A92" s="111"/>
      <c r="B92" s="111"/>
      <c r="C92" s="111"/>
      <c r="D92" s="111"/>
      <c r="E92" s="111"/>
      <c r="F92" s="111"/>
      <c r="G92" s="111"/>
      <c r="H92" s="381"/>
      <c r="I92" s="111"/>
      <c r="J92" s="111"/>
      <c r="K92" s="111"/>
    </row>
    <row r="93" spans="1:17" ht="58.5" customHeight="1" thickBot="1">
      <c r="A93" s="392"/>
      <c r="B93" s="409" t="s">
        <v>1362</v>
      </c>
      <c r="C93" s="393" t="str">
        <f>C7</f>
        <v>No. of Expats</v>
      </c>
      <c r="D93" s="393" t="str">
        <f t="shared" ref="D93:M93" si="31">D7</f>
        <v>No. of Locals</v>
      </c>
      <c r="E93" s="393" t="str">
        <f t="shared" si="31"/>
        <v>Months on Site per Year (Expat)</v>
      </c>
      <c r="F93" s="393" t="str">
        <f t="shared" si="31"/>
        <v>Months on Site per Year (Local)</v>
      </c>
      <c r="G93" s="393" t="str">
        <f t="shared" si="31"/>
        <v>Total Employees per Year</v>
      </c>
      <c r="H93" s="393" t="str">
        <f t="shared" si="31"/>
        <v>Annual Base Salary per Employee</v>
      </c>
      <c r="I93" s="393" t="str">
        <f t="shared" si="31"/>
        <v>Annual Overtime %</v>
      </c>
      <c r="J93" s="393" t="str">
        <f t="shared" si="31"/>
        <v>Benefits % on Base</v>
      </c>
      <c r="K93" s="393" t="str">
        <f t="shared" si="31"/>
        <v>Benefits % on Overtime</v>
      </c>
      <c r="L93" s="393" t="str">
        <f t="shared" si="31"/>
        <v>Total Expat Salary</v>
      </c>
      <c r="M93" s="393" t="str">
        <f t="shared" si="31"/>
        <v xml:space="preserve">Total Local Salary </v>
      </c>
    </row>
    <row r="94" spans="1:17">
      <c r="A94" s="148"/>
      <c r="B94" s="102"/>
      <c r="C94" s="152"/>
      <c r="D94" s="152"/>
      <c r="E94" s="152"/>
      <c r="F94" s="152"/>
      <c r="G94" s="152"/>
      <c r="H94" s="389"/>
      <c r="I94" s="152"/>
      <c r="J94" s="152"/>
      <c r="K94" s="152"/>
      <c r="L94" s="391"/>
      <c r="M94" s="386"/>
    </row>
    <row r="95" spans="1:17">
      <c r="A95" s="387" t="s">
        <v>266</v>
      </c>
      <c r="B95" s="102"/>
      <c r="C95" s="152"/>
      <c r="D95" s="152"/>
      <c r="E95" s="152"/>
      <c r="F95" s="152"/>
      <c r="G95" s="152"/>
      <c r="H95" s="389"/>
      <c r="I95" s="152"/>
      <c r="J95" s="152"/>
      <c r="K95" s="152"/>
      <c r="L95" s="391"/>
      <c r="M95" s="386"/>
    </row>
    <row r="96" spans="1:17">
      <c r="A96" s="359"/>
      <c r="B96" s="556" t="str">
        <f t="shared" ref="B96:B106" si="32">B53</f>
        <v>Plant Manager</v>
      </c>
      <c r="C96" s="415">
        <f>C53</f>
        <v>0</v>
      </c>
      <c r="D96" s="415">
        <f>D53</f>
        <v>1</v>
      </c>
      <c r="E96" s="415">
        <f>E53</f>
        <v>0</v>
      </c>
      <c r="F96" s="415">
        <f>F53</f>
        <v>12</v>
      </c>
      <c r="G96" s="415">
        <f>C96*E96/12+D96*F96/12</f>
        <v>1</v>
      </c>
      <c r="H96" s="413">
        <f>H53*(1+$C$4)</f>
        <v>87000</v>
      </c>
      <c r="I96" s="414">
        <f t="shared" ref="I96:K106" si="33">I53</f>
        <v>0</v>
      </c>
      <c r="J96" s="414">
        <f t="shared" si="33"/>
        <v>0.70199999999999996</v>
      </c>
      <c r="K96" s="414">
        <f t="shared" si="33"/>
        <v>0.53100000000000003</v>
      </c>
      <c r="L96" s="391">
        <f t="shared" ref="L96:L106" si="34">(C96*($H96+($H96*$I96)+($H96*$J96)+($H96*$I96*$K96))*E96/12)</f>
        <v>0</v>
      </c>
      <c r="M96" s="386">
        <f t="shared" ref="M96:M106" si="35">(D96*($H96+($H96*$I96)+($H96*$J96)+($H96*$I96*$K96))*F96/12)</f>
        <v>148074</v>
      </c>
    </row>
    <row r="97" spans="1:13">
      <c r="A97" s="359"/>
      <c r="B97" s="556" t="str">
        <f t="shared" si="32"/>
        <v>Assistant Plant Manager</v>
      </c>
      <c r="C97" s="415">
        <f t="shared" ref="C97:F106" si="36">C54</f>
        <v>0</v>
      </c>
      <c r="D97" s="415">
        <f t="shared" si="36"/>
        <v>0</v>
      </c>
      <c r="E97" s="415">
        <f t="shared" si="36"/>
        <v>0</v>
      </c>
      <c r="F97" s="415">
        <f t="shared" si="36"/>
        <v>0</v>
      </c>
      <c r="G97" s="415">
        <f t="shared" ref="G97:G106" si="37">C97*E97/12+D97*F97/12</f>
        <v>0</v>
      </c>
      <c r="H97" s="413">
        <f t="shared" ref="H97:H106" si="38">H54*(1+$C$4)</f>
        <v>0</v>
      </c>
      <c r="I97" s="414">
        <f t="shared" si="33"/>
        <v>0</v>
      </c>
      <c r="J97" s="414">
        <f t="shared" si="33"/>
        <v>0.70199999999999996</v>
      </c>
      <c r="K97" s="414">
        <f t="shared" si="33"/>
        <v>0.53100000000000003</v>
      </c>
      <c r="L97" s="391">
        <f t="shared" si="34"/>
        <v>0</v>
      </c>
      <c r="M97" s="386">
        <f t="shared" si="35"/>
        <v>0</v>
      </c>
    </row>
    <row r="98" spans="1:13">
      <c r="A98" s="359"/>
      <c r="B98" s="556" t="str">
        <f t="shared" si="32"/>
        <v>Plant Engineer</v>
      </c>
      <c r="C98" s="415">
        <f t="shared" si="36"/>
        <v>0</v>
      </c>
      <c r="D98" s="415">
        <f t="shared" si="36"/>
        <v>0</v>
      </c>
      <c r="E98" s="415">
        <f t="shared" si="36"/>
        <v>0</v>
      </c>
      <c r="F98" s="415">
        <f t="shared" si="36"/>
        <v>0</v>
      </c>
      <c r="G98" s="415">
        <f t="shared" si="37"/>
        <v>0</v>
      </c>
      <c r="H98" s="413">
        <f t="shared" si="38"/>
        <v>0</v>
      </c>
      <c r="I98" s="414">
        <f t="shared" si="33"/>
        <v>0</v>
      </c>
      <c r="J98" s="414">
        <f t="shared" si="33"/>
        <v>0.70199999999999996</v>
      </c>
      <c r="K98" s="414">
        <f t="shared" si="33"/>
        <v>0.53100000000000003</v>
      </c>
      <c r="L98" s="391">
        <f t="shared" si="34"/>
        <v>0</v>
      </c>
      <c r="M98" s="386">
        <f t="shared" si="35"/>
        <v>0</v>
      </c>
    </row>
    <row r="99" spans="1:13">
      <c r="A99" s="359"/>
      <c r="B99" s="556" t="str">
        <f t="shared" si="32"/>
        <v>Administration Manager</v>
      </c>
      <c r="C99" s="415">
        <f t="shared" si="36"/>
        <v>0</v>
      </c>
      <c r="D99" s="415">
        <f t="shared" si="36"/>
        <v>0</v>
      </c>
      <c r="E99" s="415">
        <f t="shared" si="36"/>
        <v>0</v>
      </c>
      <c r="F99" s="415">
        <f t="shared" si="36"/>
        <v>0</v>
      </c>
      <c r="G99" s="415">
        <f t="shared" si="37"/>
        <v>0</v>
      </c>
      <c r="H99" s="413">
        <f t="shared" si="38"/>
        <v>0</v>
      </c>
      <c r="I99" s="414">
        <f t="shared" si="33"/>
        <v>0</v>
      </c>
      <c r="J99" s="414">
        <f t="shared" si="33"/>
        <v>0.70199999999999996</v>
      </c>
      <c r="K99" s="414">
        <f t="shared" si="33"/>
        <v>0.53100000000000003</v>
      </c>
      <c r="L99" s="391">
        <f t="shared" si="34"/>
        <v>0</v>
      </c>
      <c r="M99" s="386">
        <f t="shared" si="35"/>
        <v>0</v>
      </c>
    </row>
    <row r="100" spans="1:13">
      <c r="A100" s="359"/>
      <c r="B100" s="556" t="str">
        <f t="shared" si="32"/>
        <v>Controller</v>
      </c>
      <c r="C100" s="415">
        <f t="shared" si="36"/>
        <v>0</v>
      </c>
      <c r="D100" s="415">
        <f t="shared" si="36"/>
        <v>0</v>
      </c>
      <c r="E100" s="415">
        <f t="shared" si="36"/>
        <v>0</v>
      </c>
      <c r="F100" s="415">
        <f t="shared" si="36"/>
        <v>0</v>
      </c>
      <c r="G100" s="415">
        <f t="shared" si="37"/>
        <v>0</v>
      </c>
      <c r="H100" s="413">
        <f t="shared" si="38"/>
        <v>0</v>
      </c>
      <c r="I100" s="414">
        <f t="shared" si="33"/>
        <v>0</v>
      </c>
      <c r="J100" s="414">
        <f t="shared" si="33"/>
        <v>0.70199999999999996</v>
      </c>
      <c r="K100" s="414">
        <f t="shared" si="33"/>
        <v>0.53100000000000003</v>
      </c>
      <c r="L100" s="391">
        <f t="shared" si="34"/>
        <v>0</v>
      </c>
      <c r="M100" s="386">
        <f t="shared" si="35"/>
        <v>0</v>
      </c>
    </row>
    <row r="101" spans="1:13">
      <c r="A101" s="359"/>
      <c r="B101" s="556" t="str">
        <f t="shared" si="32"/>
        <v>Accountant</v>
      </c>
      <c r="C101" s="415">
        <f t="shared" si="36"/>
        <v>0</v>
      </c>
      <c r="D101" s="415">
        <f t="shared" si="36"/>
        <v>0</v>
      </c>
      <c r="E101" s="415">
        <f t="shared" si="36"/>
        <v>0</v>
      </c>
      <c r="F101" s="415">
        <f t="shared" si="36"/>
        <v>0</v>
      </c>
      <c r="G101" s="415">
        <f t="shared" si="37"/>
        <v>0</v>
      </c>
      <c r="H101" s="413">
        <f t="shared" si="38"/>
        <v>0</v>
      </c>
      <c r="I101" s="414">
        <f t="shared" si="33"/>
        <v>0.1</v>
      </c>
      <c r="J101" s="414">
        <f t="shared" si="33"/>
        <v>0.70199999999999996</v>
      </c>
      <c r="K101" s="414">
        <f t="shared" si="33"/>
        <v>0.53100000000000003</v>
      </c>
      <c r="L101" s="391">
        <f t="shared" si="34"/>
        <v>0</v>
      </c>
      <c r="M101" s="386">
        <f t="shared" si="35"/>
        <v>0</v>
      </c>
    </row>
    <row r="102" spans="1:13">
      <c r="A102" s="359"/>
      <c r="B102" s="556" t="str">
        <f t="shared" si="32"/>
        <v>Administrative Assistant</v>
      </c>
      <c r="C102" s="415">
        <f t="shared" si="36"/>
        <v>0</v>
      </c>
      <c r="D102" s="415">
        <f t="shared" si="36"/>
        <v>1</v>
      </c>
      <c r="E102" s="415">
        <f t="shared" si="36"/>
        <v>0</v>
      </c>
      <c r="F102" s="415">
        <f t="shared" si="36"/>
        <v>12</v>
      </c>
      <c r="G102" s="415">
        <f t="shared" si="37"/>
        <v>1</v>
      </c>
      <c r="H102" s="413">
        <f t="shared" si="38"/>
        <v>27000</v>
      </c>
      <c r="I102" s="414">
        <f t="shared" si="33"/>
        <v>0.15</v>
      </c>
      <c r="J102" s="414">
        <f t="shared" si="33"/>
        <v>0.70199999999999996</v>
      </c>
      <c r="K102" s="414">
        <f t="shared" si="33"/>
        <v>0.53100000000000003</v>
      </c>
      <c r="L102" s="391">
        <f t="shared" si="34"/>
        <v>0</v>
      </c>
      <c r="M102" s="386">
        <f t="shared" si="35"/>
        <v>52154.55000000001</v>
      </c>
    </row>
    <row r="103" spans="1:13">
      <c r="A103" s="359"/>
      <c r="B103" s="556" t="str">
        <f t="shared" si="32"/>
        <v>Warehouse Supervisor</v>
      </c>
      <c r="C103" s="415">
        <f t="shared" si="36"/>
        <v>0</v>
      </c>
      <c r="D103" s="415">
        <f t="shared" si="36"/>
        <v>0</v>
      </c>
      <c r="E103" s="415">
        <f t="shared" si="36"/>
        <v>0</v>
      </c>
      <c r="F103" s="415">
        <f t="shared" si="36"/>
        <v>0</v>
      </c>
      <c r="G103" s="415">
        <f t="shared" si="37"/>
        <v>0</v>
      </c>
      <c r="H103" s="413">
        <f t="shared" si="38"/>
        <v>0</v>
      </c>
      <c r="I103" s="414">
        <f t="shared" si="33"/>
        <v>0</v>
      </c>
      <c r="J103" s="414">
        <f t="shared" si="33"/>
        <v>0.70199999999999996</v>
      </c>
      <c r="K103" s="414">
        <f t="shared" si="33"/>
        <v>0.53100000000000003</v>
      </c>
      <c r="L103" s="391">
        <f t="shared" si="34"/>
        <v>0</v>
      </c>
      <c r="M103" s="386">
        <f t="shared" si="35"/>
        <v>0</v>
      </c>
    </row>
    <row r="104" spans="1:13">
      <c r="A104" s="359"/>
      <c r="B104" s="556" t="str">
        <f t="shared" si="32"/>
        <v>Other</v>
      </c>
      <c r="C104" s="415">
        <f t="shared" si="36"/>
        <v>0</v>
      </c>
      <c r="D104" s="415">
        <f t="shared" si="36"/>
        <v>0</v>
      </c>
      <c r="E104" s="415">
        <f t="shared" si="36"/>
        <v>0</v>
      </c>
      <c r="F104" s="415">
        <f t="shared" si="36"/>
        <v>0</v>
      </c>
      <c r="G104" s="415">
        <f t="shared" si="37"/>
        <v>0</v>
      </c>
      <c r="H104" s="413">
        <f t="shared" si="38"/>
        <v>0</v>
      </c>
      <c r="I104" s="414">
        <f t="shared" si="33"/>
        <v>0</v>
      </c>
      <c r="J104" s="414">
        <f t="shared" si="33"/>
        <v>0.70199999999999996</v>
      </c>
      <c r="K104" s="414">
        <f t="shared" si="33"/>
        <v>0.53100000000000003</v>
      </c>
      <c r="L104" s="391">
        <f t="shared" si="34"/>
        <v>0</v>
      </c>
      <c r="M104" s="386">
        <f t="shared" si="35"/>
        <v>0</v>
      </c>
    </row>
    <row r="105" spans="1:13">
      <c r="A105" s="359"/>
      <c r="B105" s="556" t="str">
        <f t="shared" si="32"/>
        <v>Other</v>
      </c>
      <c r="C105" s="415">
        <f t="shared" si="36"/>
        <v>0</v>
      </c>
      <c r="D105" s="415">
        <f t="shared" si="36"/>
        <v>0</v>
      </c>
      <c r="E105" s="415">
        <f t="shared" si="36"/>
        <v>0</v>
      </c>
      <c r="F105" s="415">
        <f t="shared" si="36"/>
        <v>0</v>
      </c>
      <c r="G105" s="415">
        <f t="shared" si="37"/>
        <v>0</v>
      </c>
      <c r="H105" s="413">
        <f t="shared" si="38"/>
        <v>0</v>
      </c>
      <c r="I105" s="414">
        <f t="shared" si="33"/>
        <v>0</v>
      </c>
      <c r="J105" s="414">
        <f t="shared" si="33"/>
        <v>0.70199999999999996</v>
      </c>
      <c r="K105" s="414">
        <f t="shared" si="33"/>
        <v>0.53100000000000003</v>
      </c>
      <c r="L105" s="391">
        <f t="shared" si="34"/>
        <v>0</v>
      </c>
      <c r="M105" s="386">
        <f t="shared" si="35"/>
        <v>0</v>
      </c>
    </row>
    <row r="106" spans="1:13">
      <c r="A106" s="359"/>
      <c r="B106" s="556" t="str">
        <f t="shared" si="32"/>
        <v>Other</v>
      </c>
      <c r="C106" s="415">
        <f t="shared" si="36"/>
        <v>0</v>
      </c>
      <c r="D106" s="415">
        <f t="shared" si="36"/>
        <v>0</v>
      </c>
      <c r="E106" s="415">
        <f t="shared" si="36"/>
        <v>0</v>
      </c>
      <c r="F106" s="415">
        <f t="shared" si="36"/>
        <v>0</v>
      </c>
      <c r="G106" s="415">
        <f t="shared" si="37"/>
        <v>0</v>
      </c>
      <c r="H106" s="413">
        <f t="shared" si="38"/>
        <v>0</v>
      </c>
      <c r="I106" s="414">
        <f t="shared" si="33"/>
        <v>0</v>
      </c>
      <c r="J106" s="414">
        <f t="shared" si="33"/>
        <v>0.70199999999999996</v>
      </c>
      <c r="K106" s="414">
        <f t="shared" si="33"/>
        <v>0.53100000000000003</v>
      </c>
      <c r="L106" s="391">
        <f t="shared" si="34"/>
        <v>0</v>
      </c>
      <c r="M106" s="386">
        <f t="shared" si="35"/>
        <v>0</v>
      </c>
    </row>
    <row r="107" spans="1:13">
      <c r="A107" s="359"/>
      <c r="B107" s="556"/>
      <c r="C107" s="415"/>
      <c r="D107" s="415"/>
      <c r="E107" s="415"/>
      <c r="F107" s="415"/>
      <c r="G107" s="415"/>
      <c r="H107" s="413"/>
      <c r="I107" s="416"/>
      <c r="J107" s="416"/>
      <c r="K107" s="416"/>
      <c r="L107" s="391"/>
      <c r="M107" s="386"/>
    </row>
    <row r="108" spans="1:13">
      <c r="A108" s="387" t="s">
        <v>267</v>
      </c>
      <c r="B108" s="556"/>
      <c r="C108" s="415"/>
      <c r="D108" s="415"/>
      <c r="E108" s="415"/>
      <c r="F108" s="415"/>
      <c r="G108" s="415"/>
      <c r="H108" s="413"/>
      <c r="I108" s="416"/>
      <c r="J108" s="416"/>
      <c r="K108" s="416"/>
      <c r="L108" s="391"/>
      <c r="M108" s="386"/>
    </row>
    <row r="109" spans="1:13">
      <c r="A109" s="359"/>
      <c r="B109" s="556" t="str">
        <f t="shared" ref="B109:F119" si="39">B66</f>
        <v>Operations Manager</v>
      </c>
      <c r="C109" s="415">
        <f t="shared" si="39"/>
        <v>0</v>
      </c>
      <c r="D109" s="415">
        <f t="shared" si="39"/>
        <v>1</v>
      </c>
      <c r="E109" s="415">
        <f t="shared" si="39"/>
        <v>0</v>
      </c>
      <c r="F109" s="415">
        <f t="shared" si="39"/>
        <v>12</v>
      </c>
      <c r="G109" s="415">
        <f>C109*E109/12+D109*F109/12</f>
        <v>1</v>
      </c>
      <c r="H109" s="413">
        <f>H66*(1+$C$4)</f>
        <v>70000</v>
      </c>
      <c r="I109" s="414">
        <f t="shared" ref="I109:K119" si="40">I66</f>
        <v>0</v>
      </c>
      <c r="J109" s="414">
        <f t="shared" si="40"/>
        <v>0.70199999999999996</v>
      </c>
      <c r="K109" s="414">
        <f t="shared" si="40"/>
        <v>0.53100000000000003</v>
      </c>
      <c r="L109" s="391">
        <f t="shared" ref="L109:L119" si="41">(C109*($H109+($H109*$I109)+($H109*$J109)+($H109*$I109*$K109))*E109/12)</f>
        <v>0</v>
      </c>
      <c r="M109" s="386">
        <f t="shared" ref="M109:M119" si="42">(D109*($H109+($H109*$I109)+($H109*$J109)+($H109*$I109*$K109))*F109/12)</f>
        <v>119140</v>
      </c>
    </row>
    <row r="110" spans="1:13">
      <c r="A110" s="359"/>
      <c r="B110" s="556" t="str">
        <f t="shared" si="39"/>
        <v>Operations Shift Supervisors</v>
      </c>
      <c r="C110" s="415">
        <f t="shared" si="39"/>
        <v>0</v>
      </c>
      <c r="D110" s="415">
        <f t="shared" si="39"/>
        <v>0</v>
      </c>
      <c r="E110" s="415">
        <f t="shared" si="39"/>
        <v>0</v>
      </c>
      <c r="F110" s="415">
        <f t="shared" si="39"/>
        <v>0</v>
      </c>
      <c r="G110" s="415">
        <f t="shared" ref="G110:G119" si="43">C110*E110/12+D110*F110/12</f>
        <v>0</v>
      </c>
      <c r="H110" s="413">
        <f t="shared" ref="H110:H119" si="44">H67*(1+$C$4)</f>
        <v>0</v>
      </c>
      <c r="I110" s="414">
        <f t="shared" si="40"/>
        <v>0.15</v>
      </c>
      <c r="J110" s="414">
        <f t="shared" si="40"/>
        <v>0.70199999999999996</v>
      </c>
      <c r="K110" s="414">
        <f t="shared" si="40"/>
        <v>0.53100000000000003</v>
      </c>
      <c r="L110" s="391">
        <f t="shared" si="41"/>
        <v>0</v>
      </c>
      <c r="M110" s="386">
        <f t="shared" si="42"/>
        <v>0</v>
      </c>
    </row>
    <row r="111" spans="1:13">
      <c r="A111" s="359"/>
      <c r="B111" s="556" t="str">
        <f t="shared" si="39"/>
        <v>Control Room Operators</v>
      </c>
      <c r="C111" s="415">
        <f t="shared" si="39"/>
        <v>0</v>
      </c>
      <c r="D111" s="415">
        <f t="shared" si="39"/>
        <v>0</v>
      </c>
      <c r="E111" s="415">
        <f t="shared" si="39"/>
        <v>0</v>
      </c>
      <c r="F111" s="415">
        <f t="shared" si="39"/>
        <v>0</v>
      </c>
      <c r="G111" s="415">
        <f t="shared" si="43"/>
        <v>0</v>
      </c>
      <c r="H111" s="413">
        <f t="shared" si="44"/>
        <v>0</v>
      </c>
      <c r="I111" s="414">
        <f t="shared" si="40"/>
        <v>0.15</v>
      </c>
      <c r="J111" s="414">
        <f t="shared" si="40"/>
        <v>0.70199999999999996</v>
      </c>
      <c r="K111" s="414">
        <f t="shared" si="40"/>
        <v>0.53100000000000003</v>
      </c>
      <c r="L111" s="391">
        <f t="shared" si="41"/>
        <v>0</v>
      </c>
      <c r="M111" s="386">
        <f t="shared" si="42"/>
        <v>0</v>
      </c>
    </row>
    <row r="112" spans="1:13">
      <c r="A112" s="359"/>
      <c r="B112" s="556" t="str">
        <f t="shared" si="39"/>
        <v>Turbine Operators</v>
      </c>
      <c r="C112" s="415">
        <f t="shared" si="39"/>
        <v>0</v>
      </c>
      <c r="D112" s="415">
        <f t="shared" si="39"/>
        <v>0</v>
      </c>
      <c r="E112" s="415">
        <f t="shared" si="39"/>
        <v>0</v>
      </c>
      <c r="F112" s="415">
        <f t="shared" si="39"/>
        <v>0</v>
      </c>
      <c r="G112" s="415">
        <f t="shared" si="43"/>
        <v>0</v>
      </c>
      <c r="H112" s="413">
        <f t="shared" si="44"/>
        <v>0</v>
      </c>
      <c r="I112" s="414">
        <f t="shared" si="40"/>
        <v>0.15</v>
      </c>
      <c r="J112" s="414">
        <f t="shared" si="40"/>
        <v>0.70199999999999996</v>
      </c>
      <c r="K112" s="414">
        <f t="shared" si="40"/>
        <v>0.53100000000000003</v>
      </c>
      <c r="L112" s="391">
        <f t="shared" si="41"/>
        <v>0</v>
      </c>
      <c r="M112" s="386">
        <f t="shared" si="42"/>
        <v>0</v>
      </c>
    </row>
    <row r="113" spans="1:13">
      <c r="A113" s="359"/>
      <c r="B113" s="556" t="str">
        <f t="shared" si="39"/>
        <v>Water System Opertors</v>
      </c>
      <c r="C113" s="415">
        <f t="shared" si="39"/>
        <v>0</v>
      </c>
      <c r="D113" s="415">
        <f t="shared" si="39"/>
        <v>0</v>
      </c>
      <c r="E113" s="415">
        <f t="shared" si="39"/>
        <v>0</v>
      </c>
      <c r="F113" s="415">
        <f t="shared" si="39"/>
        <v>0</v>
      </c>
      <c r="G113" s="415">
        <f t="shared" si="43"/>
        <v>0</v>
      </c>
      <c r="H113" s="413">
        <f t="shared" si="44"/>
        <v>0</v>
      </c>
      <c r="I113" s="414">
        <f t="shared" si="40"/>
        <v>0.15</v>
      </c>
      <c r="J113" s="414">
        <f t="shared" si="40"/>
        <v>0.70199999999999996</v>
      </c>
      <c r="K113" s="414">
        <f t="shared" si="40"/>
        <v>0.53100000000000003</v>
      </c>
      <c r="L113" s="391">
        <f t="shared" si="41"/>
        <v>0</v>
      </c>
      <c r="M113" s="386">
        <f t="shared" si="42"/>
        <v>0</v>
      </c>
    </row>
    <row r="114" spans="1:13">
      <c r="A114" s="359"/>
      <c r="B114" s="556" t="str">
        <f t="shared" si="39"/>
        <v>Fuel Storage/Handling Operators</v>
      </c>
      <c r="C114" s="415">
        <f t="shared" si="39"/>
        <v>0</v>
      </c>
      <c r="D114" s="415">
        <f t="shared" si="39"/>
        <v>0</v>
      </c>
      <c r="E114" s="415">
        <f t="shared" si="39"/>
        <v>0</v>
      </c>
      <c r="F114" s="415">
        <f t="shared" si="39"/>
        <v>0</v>
      </c>
      <c r="G114" s="415">
        <f t="shared" si="43"/>
        <v>0</v>
      </c>
      <c r="H114" s="413">
        <f t="shared" si="44"/>
        <v>0</v>
      </c>
      <c r="I114" s="414">
        <f t="shared" si="40"/>
        <v>0.15</v>
      </c>
      <c r="J114" s="414">
        <f t="shared" si="40"/>
        <v>0.70199999999999996</v>
      </c>
      <c r="K114" s="414">
        <f t="shared" si="40"/>
        <v>0.53100000000000003</v>
      </c>
      <c r="L114" s="391">
        <f t="shared" si="41"/>
        <v>0</v>
      </c>
      <c r="M114" s="386">
        <f t="shared" si="42"/>
        <v>0</v>
      </c>
    </row>
    <row r="115" spans="1:13">
      <c r="A115" s="359"/>
      <c r="B115" s="556" t="str">
        <f t="shared" si="39"/>
        <v>Utility Operators</v>
      </c>
      <c r="C115" s="415">
        <f t="shared" si="39"/>
        <v>0</v>
      </c>
      <c r="D115" s="415">
        <f t="shared" si="39"/>
        <v>0</v>
      </c>
      <c r="E115" s="415">
        <f t="shared" si="39"/>
        <v>0</v>
      </c>
      <c r="F115" s="415">
        <f t="shared" si="39"/>
        <v>0</v>
      </c>
      <c r="G115" s="415">
        <f t="shared" si="43"/>
        <v>0</v>
      </c>
      <c r="H115" s="413">
        <f t="shared" si="44"/>
        <v>0</v>
      </c>
      <c r="I115" s="414">
        <f t="shared" si="40"/>
        <v>0.15</v>
      </c>
      <c r="J115" s="414">
        <f t="shared" si="40"/>
        <v>0.70199999999999996</v>
      </c>
      <c r="K115" s="414">
        <f t="shared" si="40"/>
        <v>0.53100000000000003</v>
      </c>
      <c r="L115" s="391">
        <f t="shared" si="41"/>
        <v>0</v>
      </c>
      <c r="M115" s="386">
        <f t="shared" si="42"/>
        <v>0</v>
      </c>
    </row>
    <row r="116" spans="1:13">
      <c r="A116" s="359"/>
      <c r="B116" s="556" t="str">
        <f t="shared" si="39"/>
        <v>Chemist</v>
      </c>
      <c r="C116" s="415">
        <f t="shared" si="39"/>
        <v>0</v>
      </c>
      <c r="D116" s="415">
        <f t="shared" si="39"/>
        <v>0</v>
      </c>
      <c r="E116" s="415">
        <f t="shared" si="39"/>
        <v>0</v>
      </c>
      <c r="F116" s="415">
        <f t="shared" si="39"/>
        <v>0</v>
      </c>
      <c r="G116" s="415">
        <f t="shared" si="43"/>
        <v>0</v>
      </c>
      <c r="H116" s="413">
        <f t="shared" si="44"/>
        <v>0</v>
      </c>
      <c r="I116" s="414">
        <f t="shared" si="40"/>
        <v>0.15</v>
      </c>
      <c r="J116" s="414">
        <f t="shared" si="40"/>
        <v>0.70199999999999996</v>
      </c>
      <c r="K116" s="414">
        <f t="shared" si="40"/>
        <v>0.53100000000000003</v>
      </c>
      <c r="L116" s="391">
        <f t="shared" si="41"/>
        <v>0</v>
      </c>
      <c r="M116" s="386">
        <f t="shared" si="42"/>
        <v>0</v>
      </c>
    </row>
    <row r="117" spans="1:13">
      <c r="A117" s="359"/>
      <c r="B117" s="556" t="str">
        <f t="shared" si="39"/>
        <v>Tech III</v>
      </c>
      <c r="C117" s="415">
        <f t="shared" si="39"/>
        <v>0</v>
      </c>
      <c r="D117" s="415">
        <f t="shared" si="39"/>
        <v>4</v>
      </c>
      <c r="E117" s="415">
        <f t="shared" si="39"/>
        <v>0</v>
      </c>
      <c r="F117" s="415">
        <f t="shared" si="39"/>
        <v>12</v>
      </c>
      <c r="G117" s="415">
        <f t="shared" si="43"/>
        <v>4</v>
      </c>
      <c r="H117" s="413">
        <f t="shared" si="44"/>
        <v>52000</v>
      </c>
      <c r="I117" s="414">
        <f t="shared" si="40"/>
        <v>0.15</v>
      </c>
      <c r="J117" s="414">
        <f t="shared" si="40"/>
        <v>0.70199999999999996</v>
      </c>
      <c r="K117" s="414">
        <f t="shared" si="40"/>
        <v>0.53100000000000003</v>
      </c>
      <c r="L117" s="391">
        <f t="shared" si="41"/>
        <v>0</v>
      </c>
      <c r="M117" s="386">
        <f t="shared" si="42"/>
        <v>401783.2</v>
      </c>
    </row>
    <row r="118" spans="1:13">
      <c r="A118" s="359"/>
      <c r="B118" s="556" t="str">
        <f t="shared" si="39"/>
        <v>Tech II</v>
      </c>
      <c r="C118" s="415">
        <f t="shared" si="39"/>
        <v>0</v>
      </c>
      <c r="D118" s="415">
        <f t="shared" si="39"/>
        <v>4</v>
      </c>
      <c r="E118" s="415">
        <f t="shared" si="39"/>
        <v>0</v>
      </c>
      <c r="F118" s="415">
        <f t="shared" si="39"/>
        <v>12</v>
      </c>
      <c r="G118" s="415">
        <f t="shared" si="43"/>
        <v>4</v>
      </c>
      <c r="H118" s="413">
        <f t="shared" si="44"/>
        <v>45760</v>
      </c>
      <c r="I118" s="414">
        <f t="shared" si="40"/>
        <v>0.15</v>
      </c>
      <c r="J118" s="414">
        <f t="shared" si="40"/>
        <v>0.70199999999999996</v>
      </c>
      <c r="K118" s="414">
        <f t="shared" si="40"/>
        <v>0.53100000000000003</v>
      </c>
      <c r="L118" s="391">
        <f t="shared" si="41"/>
        <v>0</v>
      </c>
      <c r="M118" s="386">
        <f t="shared" si="42"/>
        <v>353569.21599999996</v>
      </c>
    </row>
    <row r="119" spans="1:13">
      <c r="A119" s="359"/>
      <c r="B119" s="556" t="str">
        <f t="shared" si="39"/>
        <v>Other</v>
      </c>
      <c r="C119" s="415">
        <f t="shared" si="39"/>
        <v>0</v>
      </c>
      <c r="D119" s="415">
        <f t="shared" si="39"/>
        <v>0</v>
      </c>
      <c r="E119" s="415">
        <f t="shared" si="39"/>
        <v>0</v>
      </c>
      <c r="F119" s="415">
        <f t="shared" si="39"/>
        <v>0</v>
      </c>
      <c r="G119" s="415">
        <f t="shared" si="43"/>
        <v>0</v>
      </c>
      <c r="H119" s="413">
        <f t="shared" si="44"/>
        <v>0</v>
      </c>
      <c r="I119" s="414">
        <f t="shared" si="40"/>
        <v>0.15</v>
      </c>
      <c r="J119" s="414">
        <f t="shared" si="40"/>
        <v>0.70199999999999996</v>
      </c>
      <c r="K119" s="414">
        <f t="shared" si="40"/>
        <v>0.53100000000000003</v>
      </c>
      <c r="L119" s="391">
        <f t="shared" si="41"/>
        <v>0</v>
      </c>
      <c r="M119" s="386">
        <f t="shared" si="42"/>
        <v>0</v>
      </c>
    </row>
    <row r="120" spans="1:13">
      <c r="A120" s="359"/>
      <c r="B120" s="556"/>
      <c r="C120" s="415"/>
      <c r="D120" s="415"/>
      <c r="E120" s="415"/>
      <c r="F120" s="415"/>
      <c r="G120" s="415"/>
      <c r="H120" s="413"/>
      <c r="I120" s="416"/>
      <c r="J120" s="416"/>
      <c r="K120" s="416"/>
      <c r="L120" s="391"/>
      <c r="M120" s="386"/>
    </row>
    <row r="121" spans="1:13">
      <c r="A121" s="387" t="s">
        <v>268</v>
      </c>
      <c r="B121" s="556"/>
      <c r="C121" s="415"/>
      <c r="D121" s="415"/>
      <c r="E121" s="415"/>
      <c r="F121" s="415"/>
      <c r="G121" s="415"/>
      <c r="H121" s="413"/>
      <c r="I121" s="416"/>
      <c r="J121" s="416"/>
      <c r="K121" s="416"/>
      <c r="L121" s="391"/>
      <c r="M121" s="386"/>
    </row>
    <row r="122" spans="1:13">
      <c r="A122" s="359"/>
      <c r="B122" s="556" t="str">
        <f t="shared" ref="B122:F132" si="45">B79</f>
        <v>Maintenance Manager</v>
      </c>
      <c r="C122" s="415">
        <f t="shared" si="45"/>
        <v>0</v>
      </c>
      <c r="D122" s="415">
        <f t="shared" si="45"/>
        <v>1</v>
      </c>
      <c r="E122" s="415">
        <f t="shared" si="45"/>
        <v>0</v>
      </c>
      <c r="F122" s="415">
        <f t="shared" si="45"/>
        <v>12</v>
      </c>
      <c r="G122" s="415">
        <f>C122*E122/12+D122*F122/12</f>
        <v>1</v>
      </c>
      <c r="H122" s="413">
        <f>H79*(1+$C$4)</f>
        <v>65000</v>
      </c>
      <c r="I122" s="414">
        <f t="shared" ref="I122:K132" si="46">I79</f>
        <v>0</v>
      </c>
      <c r="J122" s="414">
        <f t="shared" si="46"/>
        <v>0.70199999999999996</v>
      </c>
      <c r="K122" s="414">
        <f t="shared" si="46"/>
        <v>0.53100000000000003</v>
      </c>
      <c r="L122" s="391">
        <f t="shared" ref="L122:L132" si="47">(C122*($H122+($H122*$I122)+($H122*$J122)+($H122*$I122*$K122))*E122/12)</f>
        <v>0</v>
      </c>
      <c r="M122" s="386">
        <f t="shared" ref="M122:M132" si="48">(D122*($H122+($H122*$I122)+($H122*$J122)+($H122*$I122*$K122))*F122/12)</f>
        <v>110630</v>
      </c>
    </row>
    <row r="123" spans="1:13">
      <c r="A123" s="359"/>
      <c r="B123" s="556" t="str">
        <f t="shared" si="45"/>
        <v>Mechanical Engineer</v>
      </c>
      <c r="C123" s="415">
        <f t="shared" si="45"/>
        <v>0</v>
      </c>
      <c r="D123" s="415">
        <f t="shared" si="45"/>
        <v>0</v>
      </c>
      <c r="E123" s="415">
        <f t="shared" si="45"/>
        <v>0</v>
      </c>
      <c r="F123" s="415">
        <f t="shared" si="45"/>
        <v>0</v>
      </c>
      <c r="G123" s="415">
        <f t="shared" ref="G123:G132" si="49">C123*E123/12+D123*F123/12</f>
        <v>0</v>
      </c>
      <c r="H123" s="413">
        <f t="shared" ref="H123:H132" si="50">H80*(1+$C$4)</f>
        <v>0</v>
      </c>
      <c r="I123" s="414">
        <f t="shared" si="46"/>
        <v>0</v>
      </c>
      <c r="J123" s="414">
        <f t="shared" si="46"/>
        <v>0.70199999999999996</v>
      </c>
      <c r="K123" s="414">
        <f t="shared" si="46"/>
        <v>0.53100000000000003</v>
      </c>
      <c r="L123" s="391">
        <f t="shared" si="47"/>
        <v>0</v>
      </c>
      <c r="M123" s="386">
        <f t="shared" si="48"/>
        <v>0</v>
      </c>
    </row>
    <row r="124" spans="1:13">
      <c r="A124" s="359"/>
      <c r="B124" s="556" t="str">
        <f t="shared" si="45"/>
        <v>Maintenance Planner</v>
      </c>
      <c r="C124" s="415">
        <f t="shared" si="45"/>
        <v>0</v>
      </c>
      <c r="D124" s="415">
        <f t="shared" si="45"/>
        <v>0</v>
      </c>
      <c r="E124" s="415">
        <f t="shared" si="45"/>
        <v>0</v>
      </c>
      <c r="F124" s="415">
        <f t="shared" si="45"/>
        <v>0</v>
      </c>
      <c r="G124" s="415">
        <f t="shared" si="49"/>
        <v>0</v>
      </c>
      <c r="H124" s="413">
        <f t="shared" si="50"/>
        <v>0</v>
      </c>
      <c r="I124" s="414">
        <f t="shared" si="46"/>
        <v>0.15</v>
      </c>
      <c r="J124" s="414">
        <f t="shared" si="46"/>
        <v>0.70199999999999996</v>
      </c>
      <c r="K124" s="414">
        <f t="shared" si="46"/>
        <v>0.53100000000000003</v>
      </c>
      <c r="L124" s="391">
        <f t="shared" si="47"/>
        <v>0</v>
      </c>
      <c r="M124" s="386">
        <f t="shared" si="48"/>
        <v>0</v>
      </c>
    </row>
    <row r="125" spans="1:13">
      <c r="A125" s="359"/>
      <c r="B125" s="556" t="str">
        <f t="shared" si="45"/>
        <v>Mechanic</v>
      </c>
      <c r="C125" s="415">
        <f t="shared" si="45"/>
        <v>0</v>
      </c>
      <c r="D125" s="415">
        <f t="shared" si="45"/>
        <v>1</v>
      </c>
      <c r="E125" s="415">
        <f t="shared" si="45"/>
        <v>0</v>
      </c>
      <c r="F125" s="415">
        <f t="shared" si="45"/>
        <v>12</v>
      </c>
      <c r="G125" s="415">
        <f t="shared" si="49"/>
        <v>1</v>
      </c>
      <c r="H125" s="413">
        <f t="shared" si="50"/>
        <v>38000</v>
      </c>
      <c r="I125" s="414">
        <f t="shared" si="46"/>
        <v>0.15</v>
      </c>
      <c r="J125" s="414">
        <f t="shared" si="46"/>
        <v>0.70199999999999996</v>
      </c>
      <c r="K125" s="414">
        <f t="shared" si="46"/>
        <v>0.53100000000000003</v>
      </c>
      <c r="L125" s="391">
        <f t="shared" si="47"/>
        <v>0</v>
      </c>
      <c r="M125" s="386">
        <f t="shared" si="48"/>
        <v>73402.7</v>
      </c>
    </row>
    <row r="126" spans="1:13">
      <c r="A126" s="359"/>
      <c r="B126" s="556" t="str">
        <f t="shared" si="45"/>
        <v>I&amp;C Engineer</v>
      </c>
      <c r="C126" s="415">
        <f t="shared" si="45"/>
        <v>0</v>
      </c>
      <c r="D126" s="415">
        <f t="shared" si="45"/>
        <v>0</v>
      </c>
      <c r="E126" s="415">
        <f t="shared" si="45"/>
        <v>0</v>
      </c>
      <c r="F126" s="415">
        <f t="shared" si="45"/>
        <v>0</v>
      </c>
      <c r="G126" s="415">
        <f t="shared" si="49"/>
        <v>0</v>
      </c>
      <c r="H126" s="413">
        <f t="shared" si="50"/>
        <v>0</v>
      </c>
      <c r="I126" s="414">
        <f t="shared" si="46"/>
        <v>0.15</v>
      </c>
      <c r="J126" s="414">
        <f t="shared" si="46"/>
        <v>0.70199999999999996</v>
      </c>
      <c r="K126" s="414">
        <f t="shared" si="46"/>
        <v>0.53100000000000003</v>
      </c>
      <c r="L126" s="391">
        <f t="shared" si="47"/>
        <v>0</v>
      </c>
      <c r="M126" s="386">
        <f t="shared" si="48"/>
        <v>0</v>
      </c>
    </row>
    <row r="127" spans="1:13">
      <c r="A127" s="359"/>
      <c r="B127" s="556" t="str">
        <f t="shared" si="45"/>
        <v>I&amp;C Technician</v>
      </c>
      <c r="C127" s="415">
        <f t="shared" si="45"/>
        <v>0</v>
      </c>
      <c r="D127" s="415">
        <f t="shared" si="45"/>
        <v>1</v>
      </c>
      <c r="E127" s="415">
        <f t="shared" si="45"/>
        <v>0</v>
      </c>
      <c r="F127" s="415">
        <f t="shared" si="45"/>
        <v>12</v>
      </c>
      <c r="G127" s="415">
        <f t="shared" si="49"/>
        <v>1</v>
      </c>
      <c r="H127" s="413">
        <f t="shared" si="50"/>
        <v>55000</v>
      </c>
      <c r="I127" s="414">
        <f t="shared" si="46"/>
        <v>0.15</v>
      </c>
      <c r="J127" s="414">
        <f t="shared" si="46"/>
        <v>0.70199999999999996</v>
      </c>
      <c r="K127" s="414">
        <f t="shared" si="46"/>
        <v>0.53100000000000003</v>
      </c>
      <c r="L127" s="391">
        <f t="shared" si="47"/>
        <v>0</v>
      </c>
      <c r="M127" s="386">
        <f t="shared" si="48"/>
        <v>106240.75</v>
      </c>
    </row>
    <row r="128" spans="1:13">
      <c r="A128" s="359"/>
      <c r="B128" s="556" t="str">
        <f t="shared" si="45"/>
        <v>Electrical Technician</v>
      </c>
      <c r="C128" s="415">
        <f t="shared" si="45"/>
        <v>0</v>
      </c>
      <c r="D128" s="415">
        <f t="shared" si="45"/>
        <v>1</v>
      </c>
      <c r="E128" s="415">
        <f t="shared" si="45"/>
        <v>0</v>
      </c>
      <c r="F128" s="415">
        <f t="shared" si="45"/>
        <v>12</v>
      </c>
      <c r="G128" s="415">
        <f t="shared" si="49"/>
        <v>1</v>
      </c>
      <c r="H128" s="413">
        <f t="shared" si="50"/>
        <v>45000</v>
      </c>
      <c r="I128" s="414">
        <f t="shared" si="46"/>
        <v>0.15</v>
      </c>
      <c r="J128" s="414">
        <f t="shared" si="46"/>
        <v>0.70199999999999996</v>
      </c>
      <c r="K128" s="414">
        <f t="shared" si="46"/>
        <v>0.53100000000000003</v>
      </c>
      <c r="L128" s="391">
        <f t="shared" si="47"/>
        <v>0</v>
      </c>
      <c r="M128" s="386">
        <f t="shared" si="48"/>
        <v>86924.25</v>
      </c>
    </row>
    <row r="129" spans="1:17">
      <c r="A129" s="359"/>
      <c r="B129" s="556" t="str">
        <f t="shared" si="45"/>
        <v>Other</v>
      </c>
      <c r="C129" s="415">
        <f t="shared" si="45"/>
        <v>0</v>
      </c>
      <c r="D129" s="415">
        <f t="shared" si="45"/>
        <v>0</v>
      </c>
      <c r="E129" s="415">
        <f t="shared" si="45"/>
        <v>0</v>
      </c>
      <c r="F129" s="415">
        <f t="shared" si="45"/>
        <v>0</v>
      </c>
      <c r="G129" s="415">
        <f t="shared" si="49"/>
        <v>0</v>
      </c>
      <c r="H129" s="413">
        <f t="shared" si="50"/>
        <v>0</v>
      </c>
      <c r="I129" s="414">
        <f t="shared" si="46"/>
        <v>0.15</v>
      </c>
      <c r="J129" s="414">
        <f t="shared" si="46"/>
        <v>0.70199999999999996</v>
      </c>
      <c r="K129" s="414">
        <f t="shared" si="46"/>
        <v>0.53100000000000003</v>
      </c>
      <c r="L129" s="391">
        <f t="shared" si="47"/>
        <v>0</v>
      </c>
      <c r="M129" s="386">
        <f t="shared" si="48"/>
        <v>0</v>
      </c>
    </row>
    <row r="130" spans="1:17">
      <c r="A130" s="359"/>
      <c r="B130" s="556" t="str">
        <f t="shared" si="45"/>
        <v>Other</v>
      </c>
      <c r="C130" s="415">
        <f t="shared" si="45"/>
        <v>0</v>
      </c>
      <c r="D130" s="415">
        <f t="shared" si="45"/>
        <v>0</v>
      </c>
      <c r="E130" s="415">
        <f t="shared" si="45"/>
        <v>0</v>
      </c>
      <c r="F130" s="415">
        <f t="shared" si="45"/>
        <v>0</v>
      </c>
      <c r="G130" s="415">
        <f t="shared" si="49"/>
        <v>0</v>
      </c>
      <c r="H130" s="413">
        <f t="shared" si="50"/>
        <v>0</v>
      </c>
      <c r="I130" s="414">
        <f t="shared" si="46"/>
        <v>0.15</v>
      </c>
      <c r="J130" s="414">
        <f t="shared" si="46"/>
        <v>0.70199999999999996</v>
      </c>
      <c r="K130" s="414">
        <f t="shared" si="46"/>
        <v>0.53100000000000003</v>
      </c>
      <c r="L130" s="391">
        <f t="shared" si="47"/>
        <v>0</v>
      </c>
      <c r="M130" s="386">
        <f t="shared" si="48"/>
        <v>0</v>
      </c>
    </row>
    <row r="131" spans="1:17">
      <c r="A131" s="359"/>
      <c r="B131" s="556" t="str">
        <f t="shared" si="45"/>
        <v>Other</v>
      </c>
      <c r="C131" s="415">
        <f t="shared" si="45"/>
        <v>0</v>
      </c>
      <c r="D131" s="415">
        <f t="shared" si="45"/>
        <v>0</v>
      </c>
      <c r="E131" s="415">
        <f t="shared" si="45"/>
        <v>0</v>
      </c>
      <c r="F131" s="415">
        <f t="shared" si="45"/>
        <v>0</v>
      </c>
      <c r="G131" s="415">
        <f t="shared" si="49"/>
        <v>0</v>
      </c>
      <c r="H131" s="413">
        <f t="shared" si="50"/>
        <v>0</v>
      </c>
      <c r="I131" s="414">
        <f t="shared" si="46"/>
        <v>0.15</v>
      </c>
      <c r="J131" s="414">
        <f t="shared" si="46"/>
        <v>0.70199999999999996</v>
      </c>
      <c r="K131" s="414">
        <f t="shared" si="46"/>
        <v>0.53100000000000003</v>
      </c>
      <c r="L131" s="391">
        <f t="shared" si="47"/>
        <v>0</v>
      </c>
      <c r="M131" s="386">
        <f t="shared" si="48"/>
        <v>0</v>
      </c>
    </row>
    <row r="132" spans="1:17">
      <c r="A132" s="417"/>
      <c r="B132" s="582" t="str">
        <f t="shared" si="45"/>
        <v>Other</v>
      </c>
      <c r="C132" s="418">
        <f t="shared" si="45"/>
        <v>0</v>
      </c>
      <c r="D132" s="418">
        <f t="shared" si="45"/>
        <v>0</v>
      </c>
      <c r="E132" s="418">
        <f t="shared" si="45"/>
        <v>0</v>
      </c>
      <c r="F132" s="418">
        <f t="shared" si="45"/>
        <v>0</v>
      </c>
      <c r="G132" s="418">
        <f t="shared" si="49"/>
        <v>0</v>
      </c>
      <c r="H132" s="413">
        <f t="shared" si="50"/>
        <v>0</v>
      </c>
      <c r="I132" s="414">
        <f t="shared" si="46"/>
        <v>0.15</v>
      </c>
      <c r="J132" s="414">
        <f t="shared" si="46"/>
        <v>0.70199999999999996</v>
      </c>
      <c r="K132" s="419">
        <f t="shared" si="46"/>
        <v>0.53100000000000003</v>
      </c>
      <c r="L132" s="402">
        <f t="shared" si="47"/>
        <v>0</v>
      </c>
      <c r="M132" s="403">
        <f t="shared" si="48"/>
        <v>0</v>
      </c>
    </row>
    <row r="133" spans="1:17" ht="15.75" thickBot="1">
      <c r="A133" s="408" t="s">
        <v>1364</v>
      </c>
      <c r="B133" s="404"/>
      <c r="C133" s="412">
        <f>SUM(C96:C132)</f>
        <v>0</v>
      </c>
      <c r="D133" s="412">
        <f>SUM(D96:D132)</f>
        <v>15</v>
      </c>
      <c r="E133" s="412"/>
      <c r="F133" s="405"/>
      <c r="G133" s="537">
        <f>SUM(G96:G132)</f>
        <v>15</v>
      </c>
      <c r="H133" s="406"/>
      <c r="I133" s="406"/>
      <c r="J133" s="406"/>
      <c r="K133" s="406"/>
      <c r="L133" s="411">
        <f>SUM(L96:L132)</f>
        <v>0</v>
      </c>
      <c r="M133" s="410">
        <f>SUM(M96:M132)</f>
        <v>1451918.666</v>
      </c>
    </row>
    <row r="134" spans="1:17" s="407" customFormat="1" ht="27.75" customHeight="1" thickBot="1">
      <c r="A134" s="467"/>
      <c r="B134" s="467"/>
      <c r="C134" s="468"/>
      <c r="D134" s="468"/>
      <c r="E134" s="468"/>
      <c r="F134" s="468"/>
      <c r="G134" s="468"/>
      <c r="H134" s="469"/>
      <c r="I134" s="533" t="s">
        <v>287</v>
      </c>
      <c r="J134" s="534"/>
      <c r="K134" s="471"/>
      <c r="L134" s="471"/>
      <c r="M134" s="472">
        <f>L133+M133</f>
        <v>1451918.666</v>
      </c>
      <c r="Q134" s="630"/>
    </row>
    <row r="135" spans="1:17" ht="43.5" customHeight="1" thickBot="1"/>
    <row r="136" spans="1:17" ht="58.5" customHeight="1" thickBot="1">
      <c r="A136" s="392"/>
      <c r="B136" s="409" t="s">
        <v>1367</v>
      </c>
      <c r="C136" s="393" t="str">
        <f>C7</f>
        <v>No. of Expats</v>
      </c>
      <c r="D136" s="393" t="str">
        <f t="shared" ref="D136:M136" si="51">D7</f>
        <v>No. of Locals</v>
      </c>
      <c r="E136" s="393" t="str">
        <f t="shared" si="51"/>
        <v>Months on Site per Year (Expat)</v>
      </c>
      <c r="F136" s="393" t="str">
        <f t="shared" si="51"/>
        <v>Months on Site per Year (Local)</v>
      </c>
      <c r="G136" s="393" t="str">
        <f t="shared" si="51"/>
        <v>Total Employees per Year</v>
      </c>
      <c r="H136" s="393" t="str">
        <f t="shared" si="51"/>
        <v>Annual Base Salary per Employee</v>
      </c>
      <c r="I136" s="393" t="str">
        <f t="shared" si="51"/>
        <v>Annual Overtime %</v>
      </c>
      <c r="J136" s="393" t="str">
        <f t="shared" si="51"/>
        <v>Benefits % on Base</v>
      </c>
      <c r="K136" s="393" t="str">
        <f t="shared" si="51"/>
        <v>Benefits % on Overtime</v>
      </c>
      <c r="L136" s="393" t="str">
        <f t="shared" si="51"/>
        <v>Total Expat Salary</v>
      </c>
      <c r="M136" s="393" t="str">
        <f t="shared" si="51"/>
        <v xml:space="preserve">Total Local Salary </v>
      </c>
    </row>
    <row r="137" spans="1:17">
      <c r="A137" s="148"/>
      <c r="B137" s="102"/>
      <c r="C137" s="152"/>
      <c r="D137" s="152"/>
      <c r="E137" s="152"/>
      <c r="F137" s="152"/>
      <c r="G137" s="152"/>
      <c r="H137" s="389"/>
      <c r="I137" s="152"/>
      <c r="J137" s="152"/>
      <c r="K137" s="152"/>
      <c r="L137" s="391"/>
      <c r="M137" s="386"/>
    </row>
    <row r="138" spans="1:17">
      <c r="A138" s="387" t="s">
        <v>266</v>
      </c>
      <c r="B138" s="102"/>
      <c r="C138" s="152"/>
      <c r="D138" s="152"/>
      <c r="E138" s="152"/>
      <c r="F138" s="152"/>
      <c r="G138" s="152"/>
      <c r="H138" s="389"/>
      <c r="I138" s="152"/>
      <c r="J138" s="152"/>
      <c r="K138" s="152"/>
      <c r="L138" s="391"/>
      <c r="M138" s="386"/>
    </row>
    <row r="139" spans="1:17">
      <c r="A139" s="359"/>
      <c r="B139" s="556" t="str">
        <f t="shared" ref="B139:B149" si="52">B96</f>
        <v>Plant Manager</v>
      </c>
      <c r="C139" s="415">
        <f>C96</f>
        <v>0</v>
      </c>
      <c r="D139" s="415">
        <f>D96</f>
        <v>1</v>
      </c>
      <c r="E139" s="415">
        <f>E96</f>
        <v>0</v>
      </c>
      <c r="F139" s="415">
        <f>F96</f>
        <v>12</v>
      </c>
      <c r="G139" s="415">
        <f>C139*E139/12+D139*F139/12</f>
        <v>1</v>
      </c>
      <c r="H139" s="413">
        <f>H96*(1+$C$4)</f>
        <v>87000</v>
      </c>
      <c r="I139" s="414">
        <f t="shared" ref="I139:K149" si="53">I96</f>
        <v>0</v>
      </c>
      <c r="J139" s="414">
        <f t="shared" si="53"/>
        <v>0.70199999999999996</v>
      </c>
      <c r="K139" s="414">
        <f t="shared" si="53"/>
        <v>0.53100000000000003</v>
      </c>
      <c r="L139" s="391">
        <f t="shared" ref="L139:L149" si="54">(C139*($H139+($H139*$I139)+($H139*$J139)+($H139*$I139*$K139))*E139/12)</f>
        <v>0</v>
      </c>
      <c r="M139" s="386">
        <f t="shared" ref="M139:M149" si="55">(D139*($H139+($H139*$I139)+($H139*$J139)+($H139*$I139*$K139))*F139/12)</f>
        <v>148074</v>
      </c>
    </row>
    <row r="140" spans="1:17">
      <c r="A140" s="359"/>
      <c r="B140" s="556" t="str">
        <f t="shared" si="52"/>
        <v>Assistant Plant Manager</v>
      </c>
      <c r="C140" s="415">
        <f t="shared" ref="C140:F149" si="56">C97</f>
        <v>0</v>
      </c>
      <c r="D140" s="415">
        <f t="shared" si="56"/>
        <v>0</v>
      </c>
      <c r="E140" s="415">
        <f t="shared" si="56"/>
        <v>0</v>
      </c>
      <c r="F140" s="415">
        <f t="shared" si="56"/>
        <v>0</v>
      </c>
      <c r="G140" s="415">
        <f t="shared" ref="G140:G149" si="57">C140*E140/12+D140*F140/12</f>
        <v>0</v>
      </c>
      <c r="H140" s="413">
        <f t="shared" ref="H140:H149" si="58">H97*(1+$C$4)</f>
        <v>0</v>
      </c>
      <c r="I140" s="414">
        <f t="shared" si="53"/>
        <v>0</v>
      </c>
      <c r="J140" s="414">
        <f t="shared" si="53"/>
        <v>0.70199999999999996</v>
      </c>
      <c r="K140" s="414">
        <f t="shared" si="53"/>
        <v>0.53100000000000003</v>
      </c>
      <c r="L140" s="391">
        <f t="shared" si="54"/>
        <v>0</v>
      </c>
      <c r="M140" s="386">
        <f t="shared" si="55"/>
        <v>0</v>
      </c>
    </row>
    <row r="141" spans="1:17">
      <c r="A141" s="359"/>
      <c r="B141" s="556" t="str">
        <f t="shared" si="52"/>
        <v>Plant Engineer</v>
      </c>
      <c r="C141" s="415">
        <f t="shared" si="56"/>
        <v>0</v>
      </c>
      <c r="D141" s="415">
        <f t="shared" si="56"/>
        <v>0</v>
      </c>
      <c r="E141" s="415">
        <f t="shared" si="56"/>
        <v>0</v>
      </c>
      <c r="F141" s="415">
        <f t="shared" si="56"/>
        <v>0</v>
      </c>
      <c r="G141" s="415">
        <f t="shared" si="57"/>
        <v>0</v>
      </c>
      <c r="H141" s="413">
        <f t="shared" si="58"/>
        <v>0</v>
      </c>
      <c r="I141" s="414">
        <f t="shared" si="53"/>
        <v>0</v>
      </c>
      <c r="J141" s="414">
        <f t="shared" si="53"/>
        <v>0.70199999999999996</v>
      </c>
      <c r="K141" s="414">
        <f t="shared" si="53"/>
        <v>0.53100000000000003</v>
      </c>
      <c r="L141" s="391">
        <f t="shared" si="54"/>
        <v>0</v>
      </c>
      <c r="M141" s="386">
        <f t="shared" si="55"/>
        <v>0</v>
      </c>
    </row>
    <row r="142" spans="1:17">
      <c r="A142" s="359"/>
      <c r="B142" s="556" t="str">
        <f t="shared" si="52"/>
        <v>Administration Manager</v>
      </c>
      <c r="C142" s="415">
        <f t="shared" si="56"/>
        <v>0</v>
      </c>
      <c r="D142" s="415">
        <f t="shared" si="56"/>
        <v>0</v>
      </c>
      <c r="E142" s="415">
        <f t="shared" si="56"/>
        <v>0</v>
      </c>
      <c r="F142" s="415">
        <f t="shared" si="56"/>
        <v>0</v>
      </c>
      <c r="G142" s="415">
        <f t="shared" si="57"/>
        <v>0</v>
      </c>
      <c r="H142" s="413">
        <f t="shared" si="58"/>
        <v>0</v>
      </c>
      <c r="I142" s="414">
        <f t="shared" si="53"/>
        <v>0</v>
      </c>
      <c r="J142" s="414">
        <f t="shared" si="53"/>
        <v>0.70199999999999996</v>
      </c>
      <c r="K142" s="414">
        <f t="shared" si="53"/>
        <v>0.53100000000000003</v>
      </c>
      <c r="L142" s="391">
        <f t="shared" si="54"/>
        <v>0</v>
      </c>
      <c r="M142" s="386">
        <f t="shared" si="55"/>
        <v>0</v>
      </c>
    </row>
    <row r="143" spans="1:17">
      <c r="A143" s="359"/>
      <c r="B143" s="556" t="str">
        <f t="shared" si="52"/>
        <v>Controller</v>
      </c>
      <c r="C143" s="415">
        <f t="shared" si="56"/>
        <v>0</v>
      </c>
      <c r="D143" s="415">
        <f t="shared" si="56"/>
        <v>0</v>
      </c>
      <c r="E143" s="415">
        <f t="shared" si="56"/>
        <v>0</v>
      </c>
      <c r="F143" s="415">
        <f t="shared" si="56"/>
        <v>0</v>
      </c>
      <c r="G143" s="415">
        <f t="shared" si="57"/>
        <v>0</v>
      </c>
      <c r="H143" s="413">
        <f t="shared" si="58"/>
        <v>0</v>
      </c>
      <c r="I143" s="414">
        <f t="shared" si="53"/>
        <v>0</v>
      </c>
      <c r="J143" s="414">
        <f t="shared" si="53"/>
        <v>0.70199999999999996</v>
      </c>
      <c r="K143" s="414">
        <f t="shared" si="53"/>
        <v>0.53100000000000003</v>
      </c>
      <c r="L143" s="391">
        <f t="shared" si="54"/>
        <v>0</v>
      </c>
      <c r="M143" s="386">
        <f t="shared" si="55"/>
        <v>0</v>
      </c>
    </row>
    <row r="144" spans="1:17">
      <c r="A144" s="359"/>
      <c r="B144" s="556" t="str">
        <f t="shared" si="52"/>
        <v>Accountant</v>
      </c>
      <c r="C144" s="415">
        <f t="shared" si="56"/>
        <v>0</v>
      </c>
      <c r="D144" s="415">
        <f t="shared" si="56"/>
        <v>0</v>
      </c>
      <c r="E144" s="415">
        <f t="shared" si="56"/>
        <v>0</v>
      </c>
      <c r="F144" s="415">
        <f t="shared" si="56"/>
        <v>0</v>
      </c>
      <c r="G144" s="415">
        <f t="shared" si="57"/>
        <v>0</v>
      </c>
      <c r="H144" s="413">
        <f t="shared" si="58"/>
        <v>0</v>
      </c>
      <c r="I144" s="414">
        <f t="shared" si="53"/>
        <v>0.1</v>
      </c>
      <c r="J144" s="414">
        <f t="shared" si="53"/>
        <v>0.70199999999999996</v>
      </c>
      <c r="K144" s="414">
        <f t="shared" si="53"/>
        <v>0.53100000000000003</v>
      </c>
      <c r="L144" s="391">
        <f t="shared" si="54"/>
        <v>0</v>
      </c>
      <c r="M144" s="386">
        <f t="shared" si="55"/>
        <v>0</v>
      </c>
    </row>
    <row r="145" spans="1:13">
      <c r="A145" s="359"/>
      <c r="B145" s="556" t="str">
        <f t="shared" si="52"/>
        <v>Administrative Assistant</v>
      </c>
      <c r="C145" s="415">
        <f t="shared" si="56"/>
        <v>0</v>
      </c>
      <c r="D145" s="415">
        <f t="shared" si="56"/>
        <v>1</v>
      </c>
      <c r="E145" s="415">
        <f t="shared" si="56"/>
        <v>0</v>
      </c>
      <c r="F145" s="415">
        <f t="shared" si="56"/>
        <v>12</v>
      </c>
      <c r="G145" s="415">
        <f t="shared" si="57"/>
        <v>1</v>
      </c>
      <c r="H145" s="413">
        <f t="shared" si="58"/>
        <v>27000</v>
      </c>
      <c r="I145" s="414">
        <f t="shared" si="53"/>
        <v>0.15</v>
      </c>
      <c r="J145" s="414">
        <f t="shared" si="53"/>
        <v>0.70199999999999996</v>
      </c>
      <c r="K145" s="414">
        <f t="shared" si="53"/>
        <v>0.53100000000000003</v>
      </c>
      <c r="L145" s="391">
        <f t="shared" si="54"/>
        <v>0</v>
      </c>
      <c r="M145" s="386">
        <f t="shared" si="55"/>
        <v>52154.55000000001</v>
      </c>
    </row>
    <row r="146" spans="1:13">
      <c r="A146" s="359"/>
      <c r="B146" s="556" t="str">
        <f t="shared" si="52"/>
        <v>Warehouse Supervisor</v>
      </c>
      <c r="C146" s="415">
        <f t="shared" si="56"/>
        <v>0</v>
      </c>
      <c r="D146" s="415">
        <f t="shared" si="56"/>
        <v>0</v>
      </c>
      <c r="E146" s="415">
        <f t="shared" si="56"/>
        <v>0</v>
      </c>
      <c r="F146" s="415">
        <f t="shared" si="56"/>
        <v>0</v>
      </c>
      <c r="G146" s="415">
        <f t="shared" si="57"/>
        <v>0</v>
      </c>
      <c r="H146" s="413">
        <f t="shared" si="58"/>
        <v>0</v>
      </c>
      <c r="I146" s="414">
        <f t="shared" si="53"/>
        <v>0</v>
      </c>
      <c r="J146" s="414">
        <f t="shared" si="53"/>
        <v>0.70199999999999996</v>
      </c>
      <c r="K146" s="414">
        <f t="shared" si="53"/>
        <v>0.53100000000000003</v>
      </c>
      <c r="L146" s="391">
        <f t="shared" si="54"/>
        <v>0</v>
      </c>
      <c r="M146" s="386">
        <f t="shared" si="55"/>
        <v>0</v>
      </c>
    </row>
    <row r="147" spans="1:13">
      <c r="A147" s="359"/>
      <c r="B147" s="556" t="str">
        <f t="shared" si="52"/>
        <v>Other</v>
      </c>
      <c r="C147" s="415">
        <f t="shared" si="56"/>
        <v>0</v>
      </c>
      <c r="D147" s="415">
        <f t="shared" si="56"/>
        <v>0</v>
      </c>
      <c r="E147" s="415">
        <f t="shared" si="56"/>
        <v>0</v>
      </c>
      <c r="F147" s="415">
        <f t="shared" si="56"/>
        <v>0</v>
      </c>
      <c r="G147" s="415">
        <f t="shared" si="57"/>
        <v>0</v>
      </c>
      <c r="H147" s="413">
        <f t="shared" si="58"/>
        <v>0</v>
      </c>
      <c r="I147" s="414">
        <f t="shared" si="53"/>
        <v>0</v>
      </c>
      <c r="J147" s="414">
        <f t="shared" si="53"/>
        <v>0.70199999999999996</v>
      </c>
      <c r="K147" s="414">
        <f t="shared" si="53"/>
        <v>0.53100000000000003</v>
      </c>
      <c r="L147" s="391">
        <f t="shared" si="54"/>
        <v>0</v>
      </c>
      <c r="M147" s="386">
        <f t="shared" si="55"/>
        <v>0</v>
      </c>
    </row>
    <row r="148" spans="1:13">
      <c r="A148" s="359"/>
      <c r="B148" s="556" t="str">
        <f t="shared" si="52"/>
        <v>Other</v>
      </c>
      <c r="C148" s="415">
        <f t="shared" si="56"/>
        <v>0</v>
      </c>
      <c r="D148" s="415">
        <f t="shared" si="56"/>
        <v>0</v>
      </c>
      <c r="E148" s="415">
        <f t="shared" si="56"/>
        <v>0</v>
      </c>
      <c r="F148" s="415">
        <f t="shared" si="56"/>
        <v>0</v>
      </c>
      <c r="G148" s="415">
        <f t="shared" si="57"/>
        <v>0</v>
      </c>
      <c r="H148" s="413">
        <f t="shared" si="58"/>
        <v>0</v>
      </c>
      <c r="I148" s="414">
        <f t="shared" si="53"/>
        <v>0</v>
      </c>
      <c r="J148" s="414">
        <f t="shared" si="53"/>
        <v>0.70199999999999996</v>
      </c>
      <c r="K148" s="414">
        <f t="shared" si="53"/>
        <v>0.53100000000000003</v>
      </c>
      <c r="L148" s="391">
        <f t="shared" si="54"/>
        <v>0</v>
      </c>
      <c r="M148" s="386">
        <f t="shared" si="55"/>
        <v>0</v>
      </c>
    </row>
    <row r="149" spans="1:13">
      <c r="A149" s="359"/>
      <c r="B149" s="556" t="str">
        <f t="shared" si="52"/>
        <v>Other</v>
      </c>
      <c r="C149" s="415">
        <f t="shared" si="56"/>
        <v>0</v>
      </c>
      <c r="D149" s="415">
        <f t="shared" si="56"/>
        <v>0</v>
      </c>
      <c r="E149" s="415">
        <f t="shared" si="56"/>
        <v>0</v>
      </c>
      <c r="F149" s="415">
        <f t="shared" si="56"/>
        <v>0</v>
      </c>
      <c r="G149" s="415">
        <f t="shared" si="57"/>
        <v>0</v>
      </c>
      <c r="H149" s="413">
        <f t="shared" si="58"/>
        <v>0</v>
      </c>
      <c r="I149" s="414">
        <f t="shared" si="53"/>
        <v>0</v>
      </c>
      <c r="J149" s="414">
        <f t="shared" si="53"/>
        <v>0.70199999999999996</v>
      </c>
      <c r="K149" s="414">
        <f t="shared" si="53"/>
        <v>0.53100000000000003</v>
      </c>
      <c r="L149" s="391">
        <f t="shared" si="54"/>
        <v>0</v>
      </c>
      <c r="M149" s="386">
        <f t="shared" si="55"/>
        <v>0</v>
      </c>
    </row>
    <row r="150" spans="1:13">
      <c r="A150" s="359"/>
      <c r="B150" s="556"/>
      <c r="C150" s="415"/>
      <c r="D150" s="415"/>
      <c r="E150" s="415"/>
      <c r="F150" s="415"/>
      <c r="G150" s="415"/>
      <c r="H150" s="413"/>
      <c r="I150" s="416"/>
      <c r="J150" s="416"/>
      <c r="K150" s="416"/>
      <c r="L150" s="391"/>
      <c r="M150" s="386"/>
    </row>
    <row r="151" spans="1:13">
      <c r="A151" s="387" t="s">
        <v>267</v>
      </c>
      <c r="B151" s="556"/>
      <c r="C151" s="415"/>
      <c r="D151" s="415"/>
      <c r="E151" s="415"/>
      <c r="F151" s="415"/>
      <c r="G151" s="415"/>
      <c r="H151" s="413"/>
      <c r="I151" s="416"/>
      <c r="J151" s="416"/>
      <c r="K151" s="416"/>
      <c r="L151" s="391"/>
      <c r="M151" s="386"/>
    </row>
    <row r="152" spans="1:13">
      <c r="A152" s="359"/>
      <c r="B152" s="556" t="str">
        <f t="shared" ref="B152:F162" si="59">B109</f>
        <v>Operations Manager</v>
      </c>
      <c r="C152" s="415">
        <f t="shared" si="59"/>
        <v>0</v>
      </c>
      <c r="D152" s="415">
        <f t="shared" si="59"/>
        <v>1</v>
      </c>
      <c r="E152" s="415">
        <f t="shared" si="59"/>
        <v>0</v>
      </c>
      <c r="F152" s="415">
        <f t="shared" si="59"/>
        <v>12</v>
      </c>
      <c r="G152" s="415">
        <f>C152*E152/12+D152*F152/12</f>
        <v>1</v>
      </c>
      <c r="H152" s="413">
        <f>H109*(1+$C$4)</f>
        <v>70000</v>
      </c>
      <c r="I152" s="414">
        <f t="shared" ref="I152:K162" si="60">I109</f>
        <v>0</v>
      </c>
      <c r="J152" s="414">
        <f t="shared" si="60"/>
        <v>0.70199999999999996</v>
      </c>
      <c r="K152" s="414">
        <f t="shared" si="60"/>
        <v>0.53100000000000003</v>
      </c>
      <c r="L152" s="391">
        <f t="shared" ref="L152:L162" si="61">(C152*($H152+($H152*$I152)+($H152*$J152)+($H152*$I152*$K152))*E152/12)</f>
        <v>0</v>
      </c>
      <c r="M152" s="386">
        <f t="shared" ref="M152:M162" si="62">(D152*($H152+($H152*$I152)+($H152*$J152)+($H152*$I152*$K152))*F152/12)</f>
        <v>119140</v>
      </c>
    </row>
    <row r="153" spans="1:13">
      <c r="A153" s="359"/>
      <c r="B153" s="556" t="str">
        <f t="shared" si="59"/>
        <v>Operations Shift Supervisors</v>
      </c>
      <c r="C153" s="415">
        <f t="shared" si="59"/>
        <v>0</v>
      </c>
      <c r="D153" s="415">
        <f t="shared" si="59"/>
        <v>0</v>
      </c>
      <c r="E153" s="415">
        <f t="shared" si="59"/>
        <v>0</v>
      </c>
      <c r="F153" s="415">
        <f t="shared" si="59"/>
        <v>0</v>
      </c>
      <c r="G153" s="415">
        <f t="shared" ref="G153:G162" si="63">C153*E153/12+D153*F153/12</f>
        <v>0</v>
      </c>
      <c r="H153" s="413">
        <f t="shared" ref="H153:H162" si="64">H110*(1+$C$4)</f>
        <v>0</v>
      </c>
      <c r="I153" s="414">
        <f t="shared" si="60"/>
        <v>0.15</v>
      </c>
      <c r="J153" s="414">
        <f t="shared" si="60"/>
        <v>0.70199999999999996</v>
      </c>
      <c r="K153" s="414">
        <f t="shared" si="60"/>
        <v>0.53100000000000003</v>
      </c>
      <c r="L153" s="391">
        <f t="shared" si="61"/>
        <v>0</v>
      </c>
      <c r="M153" s="386">
        <f t="shared" si="62"/>
        <v>0</v>
      </c>
    </row>
    <row r="154" spans="1:13">
      <c r="A154" s="359"/>
      <c r="B154" s="556" t="str">
        <f t="shared" si="59"/>
        <v>Control Room Operators</v>
      </c>
      <c r="C154" s="415">
        <f t="shared" si="59"/>
        <v>0</v>
      </c>
      <c r="D154" s="415">
        <f t="shared" si="59"/>
        <v>0</v>
      </c>
      <c r="E154" s="415">
        <f t="shared" si="59"/>
        <v>0</v>
      </c>
      <c r="F154" s="415">
        <f t="shared" si="59"/>
        <v>0</v>
      </c>
      <c r="G154" s="415">
        <f t="shared" si="63"/>
        <v>0</v>
      </c>
      <c r="H154" s="413">
        <f t="shared" si="64"/>
        <v>0</v>
      </c>
      <c r="I154" s="414">
        <f t="shared" si="60"/>
        <v>0.15</v>
      </c>
      <c r="J154" s="414">
        <f t="shared" si="60"/>
        <v>0.70199999999999996</v>
      </c>
      <c r="K154" s="414">
        <f t="shared" si="60"/>
        <v>0.53100000000000003</v>
      </c>
      <c r="L154" s="391">
        <f t="shared" si="61"/>
        <v>0</v>
      </c>
      <c r="M154" s="386">
        <f t="shared" si="62"/>
        <v>0</v>
      </c>
    </row>
    <row r="155" spans="1:13">
      <c r="A155" s="359"/>
      <c r="B155" s="556" t="str">
        <f t="shared" si="59"/>
        <v>Turbine Operators</v>
      </c>
      <c r="C155" s="415">
        <f t="shared" si="59"/>
        <v>0</v>
      </c>
      <c r="D155" s="415">
        <f t="shared" si="59"/>
        <v>0</v>
      </c>
      <c r="E155" s="415">
        <f t="shared" si="59"/>
        <v>0</v>
      </c>
      <c r="F155" s="415">
        <f t="shared" si="59"/>
        <v>0</v>
      </c>
      <c r="G155" s="415">
        <f t="shared" si="63"/>
        <v>0</v>
      </c>
      <c r="H155" s="413">
        <f t="shared" si="64"/>
        <v>0</v>
      </c>
      <c r="I155" s="414">
        <f t="shared" si="60"/>
        <v>0.15</v>
      </c>
      <c r="J155" s="414">
        <f t="shared" si="60"/>
        <v>0.70199999999999996</v>
      </c>
      <c r="K155" s="414">
        <f t="shared" si="60"/>
        <v>0.53100000000000003</v>
      </c>
      <c r="L155" s="391">
        <f t="shared" si="61"/>
        <v>0</v>
      </c>
      <c r="M155" s="386">
        <f t="shared" si="62"/>
        <v>0</v>
      </c>
    </row>
    <row r="156" spans="1:13">
      <c r="A156" s="359"/>
      <c r="B156" s="556" t="str">
        <f t="shared" si="59"/>
        <v>Water System Opertors</v>
      </c>
      <c r="C156" s="415">
        <f t="shared" si="59"/>
        <v>0</v>
      </c>
      <c r="D156" s="415">
        <f t="shared" si="59"/>
        <v>0</v>
      </c>
      <c r="E156" s="415">
        <f t="shared" si="59"/>
        <v>0</v>
      </c>
      <c r="F156" s="415">
        <f t="shared" si="59"/>
        <v>0</v>
      </c>
      <c r="G156" s="415">
        <f t="shared" si="63"/>
        <v>0</v>
      </c>
      <c r="H156" s="413">
        <f t="shared" si="64"/>
        <v>0</v>
      </c>
      <c r="I156" s="414">
        <f t="shared" si="60"/>
        <v>0.15</v>
      </c>
      <c r="J156" s="414">
        <f t="shared" si="60"/>
        <v>0.70199999999999996</v>
      </c>
      <c r="K156" s="414">
        <f t="shared" si="60"/>
        <v>0.53100000000000003</v>
      </c>
      <c r="L156" s="391">
        <f t="shared" si="61"/>
        <v>0</v>
      </c>
      <c r="M156" s="386">
        <f t="shared" si="62"/>
        <v>0</v>
      </c>
    </row>
    <row r="157" spans="1:13">
      <c r="A157" s="359"/>
      <c r="B157" s="556" t="str">
        <f t="shared" si="59"/>
        <v>Fuel Storage/Handling Operators</v>
      </c>
      <c r="C157" s="415">
        <f t="shared" si="59"/>
        <v>0</v>
      </c>
      <c r="D157" s="415">
        <f t="shared" si="59"/>
        <v>0</v>
      </c>
      <c r="E157" s="415">
        <f t="shared" si="59"/>
        <v>0</v>
      </c>
      <c r="F157" s="415">
        <f t="shared" si="59"/>
        <v>0</v>
      </c>
      <c r="G157" s="415">
        <f t="shared" si="63"/>
        <v>0</v>
      </c>
      <c r="H157" s="413">
        <f t="shared" si="64"/>
        <v>0</v>
      </c>
      <c r="I157" s="414">
        <f t="shared" si="60"/>
        <v>0.15</v>
      </c>
      <c r="J157" s="414">
        <f t="shared" si="60"/>
        <v>0.70199999999999996</v>
      </c>
      <c r="K157" s="414">
        <f t="shared" si="60"/>
        <v>0.53100000000000003</v>
      </c>
      <c r="L157" s="391">
        <f t="shared" si="61"/>
        <v>0</v>
      </c>
      <c r="M157" s="386">
        <f t="shared" si="62"/>
        <v>0</v>
      </c>
    </row>
    <row r="158" spans="1:13">
      <c r="A158" s="359"/>
      <c r="B158" s="556" t="str">
        <f t="shared" si="59"/>
        <v>Utility Operators</v>
      </c>
      <c r="C158" s="415">
        <f t="shared" si="59"/>
        <v>0</v>
      </c>
      <c r="D158" s="415">
        <f t="shared" si="59"/>
        <v>0</v>
      </c>
      <c r="E158" s="415">
        <f t="shared" si="59"/>
        <v>0</v>
      </c>
      <c r="F158" s="415">
        <f t="shared" si="59"/>
        <v>0</v>
      </c>
      <c r="G158" s="415">
        <f t="shared" si="63"/>
        <v>0</v>
      </c>
      <c r="H158" s="413">
        <f t="shared" si="64"/>
        <v>0</v>
      </c>
      <c r="I158" s="414">
        <f t="shared" si="60"/>
        <v>0.15</v>
      </c>
      <c r="J158" s="414">
        <f t="shared" si="60"/>
        <v>0.70199999999999996</v>
      </c>
      <c r="K158" s="414">
        <f t="shared" si="60"/>
        <v>0.53100000000000003</v>
      </c>
      <c r="L158" s="391">
        <f t="shared" si="61"/>
        <v>0</v>
      </c>
      <c r="M158" s="386">
        <f t="shared" si="62"/>
        <v>0</v>
      </c>
    </row>
    <row r="159" spans="1:13">
      <c r="A159" s="359"/>
      <c r="B159" s="556" t="str">
        <f t="shared" si="59"/>
        <v>Chemist</v>
      </c>
      <c r="C159" s="415">
        <f t="shared" si="59"/>
        <v>0</v>
      </c>
      <c r="D159" s="415">
        <f t="shared" si="59"/>
        <v>0</v>
      </c>
      <c r="E159" s="415">
        <f t="shared" si="59"/>
        <v>0</v>
      </c>
      <c r="F159" s="415">
        <f t="shared" si="59"/>
        <v>0</v>
      </c>
      <c r="G159" s="415">
        <f t="shared" si="63"/>
        <v>0</v>
      </c>
      <c r="H159" s="413">
        <f t="shared" si="64"/>
        <v>0</v>
      </c>
      <c r="I159" s="414">
        <f t="shared" si="60"/>
        <v>0.15</v>
      </c>
      <c r="J159" s="414">
        <f t="shared" si="60"/>
        <v>0.70199999999999996</v>
      </c>
      <c r="K159" s="414">
        <f t="shared" si="60"/>
        <v>0.53100000000000003</v>
      </c>
      <c r="L159" s="391">
        <f t="shared" si="61"/>
        <v>0</v>
      </c>
      <c r="M159" s="386">
        <f t="shared" si="62"/>
        <v>0</v>
      </c>
    </row>
    <row r="160" spans="1:13">
      <c r="A160" s="359"/>
      <c r="B160" s="556" t="str">
        <f t="shared" si="59"/>
        <v>Tech III</v>
      </c>
      <c r="C160" s="415">
        <f t="shared" si="59"/>
        <v>0</v>
      </c>
      <c r="D160" s="415">
        <f t="shared" si="59"/>
        <v>4</v>
      </c>
      <c r="E160" s="415">
        <f t="shared" si="59"/>
        <v>0</v>
      </c>
      <c r="F160" s="415">
        <f t="shared" si="59"/>
        <v>12</v>
      </c>
      <c r="G160" s="415">
        <f t="shared" si="63"/>
        <v>4</v>
      </c>
      <c r="H160" s="413">
        <f t="shared" si="64"/>
        <v>52000</v>
      </c>
      <c r="I160" s="414">
        <f t="shared" si="60"/>
        <v>0.15</v>
      </c>
      <c r="J160" s="414">
        <f t="shared" si="60"/>
        <v>0.70199999999999996</v>
      </c>
      <c r="K160" s="414">
        <f t="shared" si="60"/>
        <v>0.53100000000000003</v>
      </c>
      <c r="L160" s="391">
        <f t="shared" si="61"/>
        <v>0</v>
      </c>
      <c r="M160" s="386">
        <f t="shared" si="62"/>
        <v>401783.2</v>
      </c>
    </row>
    <row r="161" spans="1:13">
      <c r="A161" s="359"/>
      <c r="B161" s="556" t="str">
        <f t="shared" si="59"/>
        <v>Tech II</v>
      </c>
      <c r="C161" s="415">
        <f t="shared" si="59"/>
        <v>0</v>
      </c>
      <c r="D161" s="415">
        <f t="shared" si="59"/>
        <v>4</v>
      </c>
      <c r="E161" s="415">
        <f t="shared" si="59"/>
        <v>0</v>
      </c>
      <c r="F161" s="415">
        <f t="shared" si="59"/>
        <v>12</v>
      </c>
      <c r="G161" s="415">
        <f t="shared" si="63"/>
        <v>4</v>
      </c>
      <c r="H161" s="413">
        <f t="shared" si="64"/>
        <v>45760</v>
      </c>
      <c r="I161" s="414">
        <f t="shared" si="60"/>
        <v>0.15</v>
      </c>
      <c r="J161" s="414">
        <f t="shared" si="60"/>
        <v>0.70199999999999996</v>
      </c>
      <c r="K161" s="414">
        <f t="shared" si="60"/>
        <v>0.53100000000000003</v>
      </c>
      <c r="L161" s="391">
        <f t="shared" si="61"/>
        <v>0</v>
      </c>
      <c r="M161" s="386">
        <f t="shared" si="62"/>
        <v>353569.21599999996</v>
      </c>
    </row>
    <row r="162" spans="1:13">
      <c r="A162" s="359"/>
      <c r="B162" s="556" t="str">
        <f t="shared" si="59"/>
        <v>Other</v>
      </c>
      <c r="C162" s="415">
        <f t="shared" si="59"/>
        <v>0</v>
      </c>
      <c r="D162" s="415">
        <f t="shared" si="59"/>
        <v>0</v>
      </c>
      <c r="E162" s="415">
        <f t="shared" si="59"/>
        <v>0</v>
      </c>
      <c r="F162" s="415">
        <f t="shared" si="59"/>
        <v>0</v>
      </c>
      <c r="G162" s="415">
        <f t="shared" si="63"/>
        <v>0</v>
      </c>
      <c r="H162" s="413">
        <f t="shared" si="64"/>
        <v>0</v>
      </c>
      <c r="I162" s="414">
        <f t="shared" si="60"/>
        <v>0.15</v>
      </c>
      <c r="J162" s="414">
        <f t="shared" si="60"/>
        <v>0.70199999999999996</v>
      </c>
      <c r="K162" s="414">
        <f t="shared" si="60"/>
        <v>0.53100000000000003</v>
      </c>
      <c r="L162" s="391">
        <f t="shared" si="61"/>
        <v>0</v>
      </c>
      <c r="M162" s="386">
        <f t="shared" si="62"/>
        <v>0</v>
      </c>
    </row>
    <row r="163" spans="1:13">
      <c r="A163" s="359"/>
      <c r="B163" s="556"/>
      <c r="C163" s="415"/>
      <c r="D163" s="415"/>
      <c r="E163" s="415"/>
      <c r="F163" s="415"/>
      <c r="G163" s="415"/>
      <c r="H163" s="413"/>
      <c r="I163" s="416"/>
      <c r="J163" s="416"/>
      <c r="K163" s="416"/>
      <c r="L163" s="391"/>
      <c r="M163" s="386"/>
    </row>
    <row r="164" spans="1:13">
      <c r="A164" s="387" t="s">
        <v>268</v>
      </c>
      <c r="B164" s="556"/>
      <c r="C164" s="415"/>
      <c r="D164" s="415"/>
      <c r="E164" s="415"/>
      <c r="F164" s="415"/>
      <c r="G164" s="415"/>
      <c r="H164" s="413"/>
      <c r="I164" s="416"/>
      <c r="J164" s="416"/>
      <c r="K164" s="416"/>
      <c r="L164" s="391"/>
      <c r="M164" s="386"/>
    </row>
    <row r="165" spans="1:13">
      <c r="A165" s="359"/>
      <c r="B165" s="556" t="str">
        <f t="shared" ref="B165:F175" si="65">B122</f>
        <v>Maintenance Manager</v>
      </c>
      <c r="C165" s="415">
        <f t="shared" si="65"/>
        <v>0</v>
      </c>
      <c r="D165" s="415">
        <f t="shared" si="65"/>
        <v>1</v>
      </c>
      <c r="E165" s="415">
        <f t="shared" si="65"/>
        <v>0</v>
      </c>
      <c r="F165" s="415">
        <f t="shared" si="65"/>
        <v>12</v>
      </c>
      <c r="G165" s="415">
        <f>C165*E165/12+D165*F165/12</f>
        <v>1</v>
      </c>
      <c r="H165" s="413">
        <f>H122*(1+$C$4)</f>
        <v>65000</v>
      </c>
      <c r="I165" s="414">
        <f t="shared" ref="I165:K175" si="66">I122</f>
        <v>0</v>
      </c>
      <c r="J165" s="414">
        <f t="shared" si="66"/>
        <v>0.70199999999999996</v>
      </c>
      <c r="K165" s="414">
        <f t="shared" si="66"/>
        <v>0.53100000000000003</v>
      </c>
      <c r="L165" s="391">
        <f t="shared" ref="L165:L175" si="67">(C165*($H165+($H165*$I165)+($H165*$J165)+($H165*$I165*$K165))*E165/12)</f>
        <v>0</v>
      </c>
      <c r="M165" s="386">
        <f t="shared" ref="M165:M175" si="68">(D165*($H165+($H165*$I165)+($H165*$J165)+($H165*$I165*$K165))*F165/12)</f>
        <v>110630</v>
      </c>
    </row>
    <row r="166" spans="1:13">
      <c r="A166" s="359"/>
      <c r="B166" s="556" t="str">
        <f t="shared" si="65"/>
        <v>Mechanical Engineer</v>
      </c>
      <c r="C166" s="415">
        <f t="shared" si="65"/>
        <v>0</v>
      </c>
      <c r="D166" s="415">
        <f t="shared" si="65"/>
        <v>0</v>
      </c>
      <c r="E166" s="415">
        <f t="shared" si="65"/>
        <v>0</v>
      </c>
      <c r="F166" s="415">
        <f t="shared" si="65"/>
        <v>0</v>
      </c>
      <c r="G166" s="415">
        <f t="shared" ref="G166:G175" si="69">C166*E166/12+D166*F166/12</f>
        <v>0</v>
      </c>
      <c r="H166" s="413">
        <f t="shared" ref="H166:H175" si="70">H123*(1+$C$4)</f>
        <v>0</v>
      </c>
      <c r="I166" s="414">
        <f t="shared" si="66"/>
        <v>0</v>
      </c>
      <c r="J166" s="414">
        <f t="shared" si="66"/>
        <v>0.70199999999999996</v>
      </c>
      <c r="K166" s="414">
        <f t="shared" si="66"/>
        <v>0.53100000000000003</v>
      </c>
      <c r="L166" s="391">
        <f t="shared" si="67"/>
        <v>0</v>
      </c>
      <c r="M166" s="386">
        <f t="shared" si="68"/>
        <v>0</v>
      </c>
    </row>
    <row r="167" spans="1:13">
      <c r="A167" s="359"/>
      <c r="B167" s="556" t="str">
        <f t="shared" si="65"/>
        <v>Maintenance Planner</v>
      </c>
      <c r="C167" s="415">
        <f t="shared" si="65"/>
        <v>0</v>
      </c>
      <c r="D167" s="415">
        <f t="shared" si="65"/>
        <v>0</v>
      </c>
      <c r="E167" s="415">
        <f t="shared" si="65"/>
        <v>0</v>
      </c>
      <c r="F167" s="415">
        <f t="shared" si="65"/>
        <v>0</v>
      </c>
      <c r="G167" s="415">
        <f t="shared" si="69"/>
        <v>0</v>
      </c>
      <c r="H167" s="413">
        <f t="shared" si="70"/>
        <v>0</v>
      </c>
      <c r="I167" s="414">
        <f t="shared" si="66"/>
        <v>0.15</v>
      </c>
      <c r="J167" s="414">
        <f t="shared" si="66"/>
        <v>0.70199999999999996</v>
      </c>
      <c r="K167" s="414">
        <f t="shared" si="66"/>
        <v>0.53100000000000003</v>
      </c>
      <c r="L167" s="391">
        <f t="shared" si="67"/>
        <v>0</v>
      </c>
      <c r="M167" s="386">
        <f t="shared" si="68"/>
        <v>0</v>
      </c>
    </row>
    <row r="168" spans="1:13">
      <c r="A168" s="359"/>
      <c r="B168" s="556" t="str">
        <f t="shared" si="65"/>
        <v>Mechanic</v>
      </c>
      <c r="C168" s="415">
        <f t="shared" si="65"/>
        <v>0</v>
      </c>
      <c r="D168" s="415">
        <f t="shared" si="65"/>
        <v>1</v>
      </c>
      <c r="E168" s="415">
        <f t="shared" si="65"/>
        <v>0</v>
      </c>
      <c r="F168" s="415">
        <f t="shared" si="65"/>
        <v>12</v>
      </c>
      <c r="G168" s="415">
        <f t="shared" si="69"/>
        <v>1</v>
      </c>
      <c r="H168" s="413">
        <f t="shared" si="70"/>
        <v>38000</v>
      </c>
      <c r="I168" s="414">
        <f t="shared" si="66"/>
        <v>0.15</v>
      </c>
      <c r="J168" s="414">
        <f t="shared" si="66"/>
        <v>0.70199999999999996</v>
      </c>
      <c r="K168" s="414">
        <f t="shared" si="66"/>
        <v>0.53100000000000003</v>
      </c>
      <c r="L168" s="391">
        <f t="shared" si="67"/>
        <v>0</v>
      </c>
      <c r="M168" s="386">
        <f t="shared" si="68"/>
        <v>73402.7</v>
      </c>
    </row>
    <row r="169" spans="1:13">
      <c r="A169" s="359"/>
      <c r="B169" s="556" t="str">
        <f t="shared" si="65"/>
        <v>I&amp;C Engineer</v>
      </c>
      <c r="C169" s="415">
        <f t="shared" si="65"/>
        <v>0</v>
      </c>
      <c r="D169" s="415">
        <f t="shared" si="65"/>
        <v>0</v>
      </c>
      <c r="E169" s="415">
        <f t="shared" si="65"/>
        <v>0</v>
      </c>
      <c r="F169" s="415">
        <f t="shared" si="65"/>
        <v>0</v>
      </c>
      <c r="G169" s="415">
        <f t="shared" si="69"/>
        <v>0</v>
      </c>
      <c r="H169" s="413">
        <f t="shared" si="70"/>
        <v>0</v>
      </c>
      <c r="I169" s="414">
        <f t="shared" si="66"/>
        <v>0.15</v>
      </c>
      <c r="J169" s="414">
        <f t="shared" si="66"/>
        <v>0.70199999999999996</v>
      </c>
      <c r="K169" s="414">
        <f t="shared" si="66"/>
        <v>0.53100000000000003</v>
      </c>
      <c r="L169" s="391">
        <f t="shared" si="67"/>
        <v>0</v>
      </c>
      <c r="M169" s="386">
        <f t="shared" si="68"/>
        <v>0</v>
      </c>
    </row>
    <row r="170" spans="1:13">
      <c r="A170" s="359"/>
      <c r="B170" s="556" t="str">
        <f t="shared" si="65"/>
        <v>I&amp;C Technician</v>
      </c>
      <c r="C170" s="415">
        <f t="shared" si="65"/>
        <v>0</v>
      </c>
      <c r="D170" s="415">
        <f t="shared" si="65"/>
        <v>1</v>
      </c>
      <c r="E170" s="415">
        <f t="shared" si="65"/>
        <v>0</v>
      </c>
      <c r="F170" s="415">
        <f t="shared" si="65"/>
        <v>12</v>
      </c>
      <c r="G170" s="415">
        <f t="shared" si="69"/>
        <v>1</v>
      </c>
      <c r="H170" s="413">
        <f t="shared" si="70"/>
        <v>55000</v>
      </c>
      <c r="I170" s="414">
        <f t="shared" si="66"/>
        <v>0.15</v>
      </c>
      <c r="J170" s="414">
        <f t="shared" si="66"/>
        <v>0.70199999999999996</v>
      </c>
      <c r="K170" s="414">
        <f t="shared" si="66"/>
        <v>0.53100000000000003</v>
      </c>
      <c r="L170" s="391">
        <f t="shared" si="67"/>
        <v>0</v>
      </c>
      <c r="M170" s="386">
        <f t="shared" si="68"/>
        <v>106240.75</v>
      </c>
    </row>
    <row r="171" spans="1:13">
      <c r="A171" s="359"/>
      <c r="B171" s="556" t="str">
        <f t="shared" si="65"/>
        <v>Electrical Technician</v>
      </c>
      <c r="C171" s="415">
        <f t="shared" si="65"/>
        <v>0</v>
      </c>
      <c r="D171" s="415">
        <f t="shared" si="65"/>
        <v>1</v>
      </c>
      <c r="E171" s="415">
        <f t="shared" si="65"/>
        <v>0</v>
      </c>
      <c r="F171" s="415">
        <f t="shared" si="65"/>
        <v>12</v>
      </c>
      <c r="G171" s="415">
        <f t="shared" si="69"/>
        <v>1</v>
      </c>
      <c r="H171" s="413">
        <f t="shared" si="70"/>
        <v>45000</v>
      </c>
      <c r="I171" s="414">
        <f t="shared" si="66"/>
        <v>0.15</v>
      </c>
      <c r="J171" s="414">
        <f t="shared" si="66"/>
        <v>0.70199999999999996</v>
      </c>
      <c r="K171" s="414">
        <f t="shared" si="66"/>
        <v>0.53100000000000003</v>
      </c>
      <c r="L171" s="391">
        <f t="shared" si="67"/>
        <v>0</v>
      </c>
      <c r="M171" s="386">
        <f t="shared" si="68"/>
        <v>86924.25</v>
      </c>
    </row>
    <row r="172" spans="1:13">
      <c r="A172" s="359"/>
      <c r="B172" s="556" t="str">
        <f t="shared" si="65"/>
        <v>Other</v>
      </c>
      <c r="C172" s="415">
        <f t="shared" si="65"/>
        <v>0</v>
      </c>
      <c r="D172" s="415">
        <f t="shared" si="65"/>
        <v>0</v>
      </c>
      <c r="E172" s="415">
        <f t="shared" si="65"/>
        <v>0</v>
      </c>
      <c r="F172" s="415">
        <f t="shared" si="65"/>
        <v>0</v>
      </c>
      <c r="G172" s="415">
        <f t="shared" si="69"/>
        <v>0</v>
      </c>
      <c r="H172" s="413">
        <f t="shared" si="70"/>
        <v>0</v>
      </c>
      <c r="I172" s="414">
        <f t="shared" si="66"/>
        <v>0.15</v>
      </c>
      <c r="J172" s="414">
        <f t="shared" si="66"/>
        <v>0.70199999999999996</v>
      </c>
      <c r="K172" s="414">
        <f t="shared" si="66"/>
        <v>0.53100000000000003</v>
      </c>
      <c r="L172" s="391">
        <f t="shared" si="67"/>
        <v>0</v>
      </c>
      <c r="M172" s="386">
        <f t="shared" si="68"/>
        <v>0</v>
      </c>
    </row>
    <row r="173" spans="1:13">
      <c r="A173" s="359"/>
      <c r="B173" s="556" t="str">
        <f t="shared" si="65"/>
        <v>Other</v>
      </c>
      <c r="C173" s="415">
        <f t="shared" si="65"/>
        <v>0</v>
      </c>
      <c r="D173" s="415">
        <f t="shared" si="65"/>
        <v>0</v>
      </c>
      <c r="E173" s="415">
        <f t="shared" si="65"/>
        <v>0</v>
      </c>
      <c r="F173" s="415">
        <f t="shared" si="65"/>
        <v>0</v>
      </c>
      <c r="G173" s="415">
        <f t="shared" si="69"/>
        <v>0</v>
      </c>
      <c r="H173" s="413">
        <f t="shared" si="70"/>
        <v>0</v>
      </c>
      <c r="I173" s="414">
        <f t="shared" si="66"/>
        <v>0.15</v>
      </c>
      <c r="J173" s="414">
        <f t="shared" si="66"/>
        <v>0.70199999999999996</v>
      </c>
      <c r="K173" s="414">
        <f t="shared" si="66"/>
        <v>0.53100000000000003</v>
      </c>
      <c r="L173" s="391">
        <f t="shared" si="67"/>
        <v>0</v>
      </c>
      <c r="M173" s="386">
        <f t="shared" si="68"/>
        <v>0</v>
      </c>
    </row>
    <row r="174" spans="1:13">
      <c r="A174" s="359"/>
      <c r="B174" s="556" t="str">
        <f t="shared" si="65"/>
        <v>Other</v>
      </c>
      <c r="C174" s="415">
        <f t="shared" si="65"/>
        <v>0</v>
      </c>
      <c r="D174" s="415">
        <f t="shared" si="65"/>
        <v>0</v>
      </c>
      <c r="E174" s="415">
        <f t="shared" si="65"/>
        <v>0</v>
      </c>
      <c r="F174" s="415">
        <f t="shared" si="65"/>
        <v>0</v>
      </c>
      <c r="G174" s="415">
        <f t="shared" si="69"/>
        <v>0</v>
      </c>
      <c r="H174" s="413">
        <f t="shared" si="70"/>
        <v>0</v>
      </c>
      <c r="I174" s="414">
        <f t="shared" si="66"/>
        <v>0.15</v>
      </c>
      <c r="J174" s="414">
        <f t="shared" si="66"/>
        <v>0.70199999999999996</v>
      </c>
      <c r="K174" s="414">
        <f t="shared" si="66"/>
        <v>0.53100000000000003</v>
      </c>
      <c r="L174" s="391">
        <f t="shared" si="67"/>
        <v>0</v>
      </c>
      <c r="M174" s="386">
        <f t="shared" si="68"/>
        <v>0</v>
      </c>
    </row>
    <row r="175" spans="1:13">
      <c r="A175" s="417"/>
      <c r="B175" s="582" t="str">
        <f t="shared" si="65"/>
        <v>Other</v>
      </c>
      <c r="C175" s="418">
        <f t="shared" si="65"/>
        <v>0</v>
      </c>
      <c r="D175" s="418">
        <f t="shared" si="65"/>
        <v>0</v>
      </c>
      <c r="E175" s="418">
        <f t="shared" si="65"/>
        <v>0</v>
      </c>
      <c r="F175" s="418">
        <f t="shared" si="65"/>
        <v>0</v>
      </c>
      <c r="G175" s="418">
        <f t="shared" si="69"/>
        <v>0</v>
      </c>
      <c r="H175" s="413">
        <f t="shared" si="70"/>
        <v>0</v>
      </c>
      <c r="I175" s="419">
        <f t="shared" si="66"/>
        <v>0.15</v>
      </c>
      <c r="J175" s="419">
        <f t="shared" si="66"/>
        <v>0.70199999999999996</v>
      </c>
      <c r="K175" s="419">
        <f t="shared" si="66"/>
        <v>0.53100000000000003</v>
      </c>
      <c r="L175" s="402">
        <f t="shared" si="67"/>
        <v>0</v>
      </c>
      <c r="M175" s="403">
        <f t="shared" si="68"/>
        <v>0</v>
      </c>
    </row>
    <row r="176" spans="1:13" ht="15.75" thickBot="1">
      <c r="A176" s="408" t="s">
        <v>1364</v>
      </c>
      <c r="B176" s="404"/>
      <c r="C176" s="412">
        <f>SUM(C139:C175)</f>
        <v>0</v>
      </c>
      <c r="D176" s="412">
        <f>SUM(D139:D175)</f>
        <v>15</v>
      </c>
      <c r="E176" s="412"/>
      <c r="F176" s="405"/>
      <c r="G176" s="537">
        <f>SUM(G139:G175)</f>
        <v>15</v>
      </c>
      <c r="H176" s="536"/>
      <c r="J176" s="406"/>
      <c r="K176" s="406"/>
      <c r="L176" s="411">
        <f>SUM(L139:L175)</f>
        <v>0</v>
      </c>
      <c r="M176" s="410">
        <f>SUM(M139:M175)</f>
        <v>1451918.666</v>
      </c>
    </row>
    <row r="177" spans="1:17" s="407" customFormat="1" ht="27.75" customHeight="1" thickBot="1">
      <c r="A177" s="467"/>
      <c r="B177" s="467"/>
      <c r="C177" s="468"/>
      <c r="D177" s="468"/>
      <c r="E177" s="468"/>
      <c r="F177" s="468"/>
      <c r="G177" s="468"/>
      <c r="H177" s="469"/>
      <c r="I177" s="470" t="s">
        <v>288</v>
      </c>
      <c r="J177" s="471"/>
      <c r="K177" s="471"/>
      <c r="L177" s="471"/>
      <c r="M177" s="472">
        <f>L176+M176</f>
        <v>1451918.666</v>
      </c>
      <c r="Q177" s="630"/>
    </row>
  </sheetData>
  <printOptions horizontalCentered="1"/>
  <pageMargins left="0.75" right="0.75" top="1" bottom="1" header="0.5" footer="0.5"/>
  <pageSetup scale="60" orientation="landscape" r:id="rId1"/>
  <headerFooter alignWithMargins="0">
    <oddFooter>&amp;L&amp;D&amp;CPage___&amp;R&amp;F
&amp;A</oddFooter>
  </headerFooter>
  <rowBreaks count="3" manualBreakCount="3">
    <brk id="48" max="16383" man="1"/>
    <brk id="91" max="16383" man="1"/>
    <brk id="13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9" r:id="rId4" name="Drop Down 13">
              <controlPr defaultSize="0" print="0" autoFill="0" autoLine="0" autoPict="0">
                <anchor moveWithCells="1">
                  <from>
                    <xdr:col>3</xdr:col>
                    <xdr:colOff>152400</xdr:colOff>
                    <xdr:row>4</xdr:row>
                    <xdr:rowOff>28575</xdr:rowOff>
                  </from>
                  <to>
                    <xdr:col>5</xdr:col>
                    <xdr:colOff>762000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BY145"/>
  <sheetViews>
    <sheetView showGridLines="0" zoomScale="75" workbookViewId="0">
      <pane xSplit="4" ySplit="4" topLeftCell="E44" activePane="bottomRight" state="frozen"/>
      <selection pane="topRight" activeCell="E1" sqref="E1"/>
      <selection pane="bottomLeft" activeCell="A4" sqref="A4"/>
      <selection pane="bottomRight" activeCell="F31" sqref="F31"/>
    </sheetView>
  </sheetViews>
  <sheetFormatPr defaultRowHeight="15"/>
  <cols>
    <col min="1" max="1" width="1.7109375" style="530" customWidth="1"/>
    <col min="2" max="2" width="5.7109375" style="509" customWidth="1"/>
    <col min="3" max="3" width="38.7109375" style="376" customWidth="1"/>
    <col min="4" max="4" width="4.5703125" style="376" customWidth="1"/>
    <col min="5" max="5" width="15.5703125" style="377" customWidth="1"/>
    <col min="6" max="10" width="13.42578125" style="377" customWidth="1"/>
    <col min="11" max="11" width="13.140625" style="377" customWidth="1"/>
    <col min="12" max="19" width="13.140625" style="376" customWidth="1"/>
    <col min="20" max="22" width="9.140625" style="376"/>
    <col min="23" max="23" width="16.85546875" style="376" bestFit="1" customWidth="1"/>
    <col min="24" max="16384" width="9.140625" style="376"/>
  </cols>
  <sheetData>
    <row r="1" spans="1:19" ht="15.75">
      <c r="B1" s="527" t="s">
        <v>1346</v>
      </c>
    </row>
    <row r="2" spans="1:19">
      <c r="B2" s="558" t="s">
        <v>442</v>
      </c>
    </row>
    <row r="4" spans="1:19" s="621" customFormat="1" ht="45" customHeight="1">
      <c r="A4" s="619">
        <v>1</v>
      </c>
      <c r="B4" s="620"/>
      <c r="E4" s="622" t="s">
        <v>1340</v>
      </c>
      <c r="F4" s="622" t="s">
        <v>1343</v>
      </c>
      <c r="G4" s="622" t="s">
        <v>1345</v>
      </c>
      <c r="H4" s="622" t="s">
        <v>1344</v>
      </c>
      <c r="I4" s="622" t="s">
        <v>1341</v>
      </c>
      <c r="J4" s="622" t="s">
        <v>1342</v>
      </c>
      <c r="K4" s="622" t="s">
        <v>1244</v>
      </c>
      <c r="L4" s="622"/>
      <c r="M4" s="622"/>
      <c r="N4" s="622"/>
      <c r="O4" s="622"/>
      <c r="P4" s="622"/>
      <c r="Q4" s="622"/>
      <c r="R4" s="622"/>
      <c r="S4" s="622"/>
    </row>
    <row r="5" spans="1:19" s="379" customFormat="1" ht="19.5" customHeight="1">
      <c r="A5" s="531">
        <f>A4+1</f>
        <v>2</v>
      </c>
      <c r="B5" s="583" t="s">
        <v>1347</v>
      </c>
      <c r="E5" s="380"/>
      <c r="F5" s="380"/>
      <c r="G5" s="380"/>
      <c r="H5" s="380"/>
      <c r="I5" s="380"/>
      <c r="J5" s="380"/>
      <c r="K5" s="380"/>
    </row>
    <row r="6" spans="1:19" s="379" customFormat="1" ht="15.75" customHeight="1">
      <c r="A6" s="531">
        <f t="shared" ref="A6:A64" si="0">A5+1</f>
        <v>3</v>
      </c>
      <c r="B6" s="528"/>
      <c r="E6" s="380"/>
      <c r="F6" s="380"/>
      <c r="G6" s="380"/>
      <c r="H6" s="380"/>
      <c r="I6" s="380"/>
      <c r="J6" s="380"/>
      <c r="K6" s="380"/>
    </row>
    <row r="7" spans="1:19" s="381" customFormat="1" ht="12.75">
      <c r="A7" s="531">
        <f t="shared" si="0"/>
        <v>4</v>
      </c>
      <c r="B7" s="529" t="str">
        <f>'Plant Configuration'!B12</f>
        <v>Administration Staff</v>
      </c>
      <c r="E7" s="111"/>
      <c r="F7" s="111"/>
      <c r="G7" s="111"/>
      <c r="H7" s="111"/>
      <c r="I7" s="111"/>
      <c r="J7" s="111"/>
      <c r="K7" s="111"/>
      <c r="L7" s="111"/>
    </row>
    <row r="8" spans="1:19" s="381" customFormat="1" ht="12.75">
      <c r="A8" s="531">
        <f t="shared" si="0"/>
        <v>5</v>
      </c>
      <c r="B8" s="529"/>
      <c r="C8" s="513" t="str">
        <f>'Plant Configuration'!C13</f>
        <v>Plant Manager</v>
      </c>
      <c r="E8" s="382">
        <v>87000</v>
      </c>
      <c r="F8" s="382">
        <v>87000</v>
      </c>
      <c r="G8" s="382">
        <v>87000</v>
      </c>
      <c r="H8" s="382">
        <v>87000</v>
      </c>
      <c r="I8" s="382">
        <v>87000</v>
      </c>
      <c r="J8" s="382">
        <v>87000</v>
      </c>
      <c r="K8" s="382"/>
      <c r="L8" s="382"/>
      <c r="M8" s="382"/>
      <c r="N8" s="382"/>
      <c r="O8" s="382"/>
      <c r="P8" s="382"/>
      <c r="Q8" s="382"/>
      <c r="R8" s="382"/>
      <c r="S8" s="382"/>
    </row>
    <row r="9" spans="1:19" s="381" customFormat="1" ht="12.75">
      <c r="A9" s="531">
        <f t="shared" si="0"/>
        <v>6</v>
      </c>
      <c r="B9" s="529"/>
      <c r="C9" s="513" t="str">
        <f>'Plant Configuration'!C14</f>
        <v>Assistant Plant Manager</v>
      </c>
      <c r="E9" s="382">
        <v>75000</v>
      </c>
      <c r="F9" s="382">
        <v>75000</v>
      </c>
      <c r="G9" s="382">
        <v>75000</v>
      </c>
      <c r="H9" s="382">
        <v>75000</v>
      </c>
      <c r="I9" s="382">
        <v>75000</v>
      </c>
      <c r="J9" s="382">
        <v>75000</v>
      </c>
      <c r="K9" s="382"/>
      <c r="L9" s="382"/>
      <c r="M9" s="382"/>
      <c r="N9" s="382"/>
      <c r="O9" s="382"/>
      <c r="P9" s="382"/>
      <c r="Q9" s="382"/>
      <c r="R9" s="382"/>
      <c r="S9" s="382"/>
    </row>
    <row r="10" spans="1:19" s="381" customFormat="1" ht="12.75">
      <c r="A10" s="531">
        <f t="shared" si="0"/>
        <v>7</v>
      </c>
      <c r="B10" s="529"/>
      <c r="C10" s="513" t="str">
        <f>'Plant Configuration'!C15</f>
        <v>Plant Engineer</v>
      </c>
      <c r="E10" s="382">
        <v>65000</v>
      </c>
      <c r="F10" s="382">
        <v>65000</v>
      </c>
      <c r="G10" s="382">
        <v>65000</v>
      </c>
      <c r="H10" s="382">
        <v>65000</v>
      </c>
      <c r="I10" s="382">
        <v>65000</v>
      </c>
      <c r="J10" s="382">
        <v>65000</v>
      </c>
      <c r="K10" s="382"/>
      <c r="L10" s="382"/>
      <c r="M10" s="382"/>
      <c r="N10" s="382"/>
      <c r="O10" s="382"/>
      <c r="P10" s="382"/>
      <c r="Q10" s="382"/>
      <c r="R10" s="382"/>
      <c r="S10" s="382"/>
    </row>
    <row r="11" spans="1:19" s="381" customFormat="1" ht="12.75">
      <c r="A11" s="531">
        <f t="shared" si="0"/>
        <v>8</v>
      </c>
      <c r="B11" s="529"/>
      <c r="C11" s="513" t="str">
        <f>'Plant Configuration'!C16</f>
        <v>Administration Manager</v>
      </c>
      <c r="E11" s="382">
        <v>60000</v>
      </c>
      <c r="F11" s="382">
        <v>60000</v>
      </c>
      <c r="G11" s="382">
        <v>60000</v>
      </c>
      <c r="H11" s="382">
        <v>60000</v>
      </c>
      <c r="I11" s="382">
        <v>60000</v>
      </c>
      <c r="J11" s="382">
        <v>60000</v>
      </c>
      <c r="K11" s="382"/>
      <c r="L11" s="382"/>
      <c r="M11" s="382"/>
      <c r="N11" s="382"/>
      <c r="O11" s="382"/>
      <c r="P11" s="382"/>
      <c r="Q11" s="382"/>
      <c r="R11" s="382"/>
      <c r="S11" s="382"/>
    </row>
    <row r="12" spans="1:19" s="381" customFormat="1" ht="12.75">
      <c r="A12" s="531">
        <f t="shared" si="0"/>
        <v>9</v>
      </c>
      <c r="B12" s="529"/>
      <c r="C12" s="513" t="str">
        <f>'Plant Configuration'!C17</f>
        <v>Controller</v>
      </c>
      <c r="E12" s="382">
        <v>45000</v>
      </c>
      <c r="F12" s="382">
        <v>45000</v>
      </c>
      <c r="G12" s="382">
        <v>45000</v>
      </c>
      <c r="H12" s="382">
        <v>45000</v>
      </c>
      <c r="I12" s="382">
        <v>45000</v>
      </c>
      <c r="J12" s="382">
        <v>45000</v>
      </c>
      <c r="K12" s="382"/>
      <c r="L12" s="382"/>
      <c r="M12" s="382"/>
      <c r="N12" s="382"/>
      <c r="O12" s="382"/>
      <c r="P12" s="382"/>
      <c r="Q12" s="382"/>
      <c r="R12" s="382"/>
      <c r="S12" s="382"/>
    </row>
    <row r="13" spans="1:19" s="381" customFormat="1" ht="12.75">
      <c r="A13" s="531">
        <f t="shared" si="0"/>
        <v>10</v>
      </c>
      <c r="B13" s="529"/>
      <c r="C13" s="513" t="str">
        <f>'Plant Configuration'!C18</f>
        <v>Accountant</v>
      </c>
      <c r="E13" s="382">
        <v>40000</v>
      </c>
      <c r="F13" s="382">
        <v>40000</v>
      </c>
      <c r="G13" s="382">
        <v>40000</v>
      </c>
      <c r="H13" s="382">
        <v>40000</v>
      </c>
      <c r="I13" s="382">
        <v>40000</v>
      </c>
      <c r="J13" s="382">
        <v>40000</v>
      </c>
      <c r="K13" s="382"/>
      <c r="L13" s="382"/>
      <c r="M13" s="382"/>
      <c r="N13" s="382"/>
      <c r="O13" s="382"/>
      <c r="P13" s="382"/>
      <c r="Q13" s="382"/>
      <c r="R13" s="382"/>
      <c r="S13" s="382"/>
    </row>
    <row r="14" spans="1:19" s="381" customFormat="1" ht="12.75">
      <c r="A14" s="531">
        <f t="shared" si="0"/>
        <v>11</v>
      </c>
      <c r="B14" s="529"/>
      <c r="C14" s="513" t="str">
        <f>'Plant Configuration'!C19</f>
        <v>Administrative Assistant</v>
      </c>
      <c r="E14" s="382">
        <v>27000</v>
      </c>
      <c r="F14" s="382">
        <v>27000</v>
      </c>
      <c r="G14" s="382">
        <v>27000</v>
      </c>
      <c r="H14" s="382">
        <v>27000</v>
      </c>
      <c r="I14" s="382">
        <v>27000</v>
      </c>
      <c r="J14" s="382">
        <v>27000</v>
      </c>
      <c r="K14" s="382"/>
      <c r="L14" s="382"/>
      <c r="M14" s="382"/>
      <c r="N14" s="382"/>
      <c r="O14" s="382"/>
      <c r="P14" s="382"/>
      <c r="Q14" s="382"/>
      <c r="R14" s="382"/>
      <c r="S14" s="382"/>
    </row>
    <row r="15" spans="1:19" s="381" customFormat="1" ht="12.75">
      <c r="A15" s="531">
        <f t="shared" si="0"/>
        <v>12</v>
      </c>
      <c r="B15" s="529"/>
      <c r="C15" s="513" t="str">
        <f>'Plant Configuration'!C20</f>
        <v>Warehouse Supervisor</v>
      </c>
      <c r="E15" s="382">
        <v>30000</v>
      </c>
      <c r="F15" s="382">
        <v>30000</v>
      </c>
      <c r="G15" s="382">
        <v>30000</v>
      </c>
      <c r="H15" s="382">
        <v>30000</v>
      </c>
      <c r="I15" s="382">
        <v>30000</v>
      </c>
      <c r="J15" s="382">
        <v>30000</v>
      </c>
      <c r="K15" s="382"/>
      <c r="L15" s="382"/>
      <c r="M15" s="382"/>
      <c r="N15" s="382"/>
      <c r="O15" s="382"/>
      <c r="P15" s="382"/>
      <c r="Q15" s="382"/>
      <c r="R15" s="382"/>
      <c r="S15" s="382"/>
    </row>
    <row r="16" spans="1:19" s="381" customFormat="1" ht="12.75">
      <c r="A16" s="531">
        <f t="shared" si="0"/>
        <v>13</v>
      </c>
      <c r="B16" s="529"/>
      <c r="C16" s="513" t="str">
        <f>'Plant Configuration'!C21</f>
        <v>Other</v>
      </c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</row>
    <row r="17" spans="1:19" s="381" customFormat="1" ht="12.75">
      <c r="A17" s="531">
        <f t="shared" si="0"/>
        <v>14</v>
      </c>
      <c r="B17" s="529"/>
      <c r="C17" s="513" t="str">
        <f>'Plant Configuration'!C22</f>
        <v>Other</v>
      </c>
      <c r="E17" s="382"/>
      <c r="F17" s="382"/>
      <c r="G17" s="382"/>
      <c r="H17" s="382"/>
      <c r="I17" s="382"/>
      <c r="J17" s="382"/>
      <c r="K17" s="382"/>
      <c r="L17" s="382"/>
      <c r="M17" s="382"/>
      <c r="N17" s="382"/>
      <c r="O17" s="382"/>
      <c r="P17" s="382"/>
      <c r="Q17" s="382"/>
      <c r="R17" s="382"/>
      <c r="S17" s="382"/>
    </row>
    <row r="18" spans="1:19" s="381" customFormat="1" ht="12.75">
      <c r="A18" s="531">
        <f t="shared" si="0"/>
        <v>15</v>
      </c>
      <c r="B18" s="529"/>
      <c r="C18" s="513" t="str">
        <f>'Plant Configuration'!C23</f>
        <v>Other</v>
      </c>
      <c r="E18" s="38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2"/>
      <c r="Q18" s="382"/>
      <c r="R18" s="382"/>
      <c r="S18" s="382"/>
    </row>
    <row r="19" spans="1:19" s="111" customFormat="1" ht="12.75">
      <c r="A19" s="531">
        <f t="shared" si="0"/>
        <v>16</v>
      </c>
      <c r="B19" s="529"/>
      <c r="C19" s="513"/>
    </row>
    <row r="20" spans="1:19" s="381" customFormat="1" ht="12.75">
      <c r="A20" s="531">
        <f t="shared" si="0"/>
        <v>17</v>
      </c>
      <c r="B20" s="529" t="str">
        <f>'Plant Configuration'!B25</f>
        <v>Operations Staff</v>
      </c>
      <c r="C20" s="513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</row>
    <row r="21" spans="1:19" s="381" customFormat="1" ht="12.75">
      <c r="A21" s="531">
        <f t="shared" si="0"/>
        <v>18</v>
      </c>
      <c r="B21" s="529"/>
      <c r="C21" s="513" t="str">
        <f>'Plant Configuration'!C26</f>
        <v>Operations Manager</v>
      </c>
      <c r="E21" s="382">
        <v>70000</v>
      </c>
      <c r="F21" s="382">
        <v>70000</v>
      </c>
      <c r="G21" s="382">
        <v>70000</v>
      </c>
      <c r="H21" s="382">
        <v>70000</v>
      </c>
      <c r="I21" s="382">
        <v>70000</v>
      </c>
      <c r="J21" s="382">
        <v>70000</v>
      </c>
      <c r="K21" s="382"/>
      <c r="L21" s="382"/>
      <c r="M21" s="382"/>
      <c r="N21" s="382"/>
      <c r="O21" s="382"/>
      <c r="P21" s="382"/>
      <c r="Q21" s="382"/>
      <c r="R21" s="382"/>
      <c r="S21" s="382"/>
    </row>
    <row r="22" spans="1:19" s="381" customFormat="1" ht="12.75">
      <c r="A22" s="531">
        <f t="shared" si="0"/>
        <v>19</v>
      </c>
      <c r="B22" s="529"/>
      <c r="C22" s="513" t="str">
        <f>'Plant Configuration'!C27</f>
        <v>Operations Shift Supervisors</v>
      </c>
      <c r="E22" s="382">
        <v>60000</v>
      </c>
      <c r="F22" s="382">
        <v>60000</v>
      </c>
      <c r="G22" s="382">
        <v>60000</v>
      </c>
      <c r="H22" s="382">
        <v>60000</v>
      </c>
      <c r="I22" s="382">
        <v>60000</v>
      </c>
      <c r="J22" s="382">
        <v>60000</v>
      </c>
      <c r="K22" s="382"/>
      <c r="L22" s="382"/>
      <c r="M22" s="382"/>
      <c r="N22" s="382"/>
      <c r="O22" s="382"/>
      <c r="P22" s="382"/>
      <c r="Q22" s="382"/>
      <c r="R22" s="382"/>
      <c r="S22" s="382"/>
    </row>
    <row r="23" spans="1:19" s="381" customFormat="1" ht="12.75">
      <c r="A23" s="531">
        <f t="shared" si="0"/>
        <v>20</v>
      </c>
      <c r="B23" s="529"/>
      <c r="C23" s="513" t="str">
        <f>'Plant Configuration'!C28</f>
        <v>Control Room Operators</v>
      </c>
      <c r="E23" s="382">
        <v>55000</v>
      </c>
      <c r="F23" s="382">
        <v>55000</v>
      </c>
      <c r="G23" s="382">
        <v>55000</v>
      </c>
      <c r="H23" s="382">
        <v>55000</v>
      </c>
      <c r="I23" s="382">
        <v>55000</v>
      </c>
      <c r="J23" s="382">
        <v>55000</v>
      </c>
      <c r="K23" s="382"/>
      <c r="L23" s="382"/>
      <c r="M23" s="382"/>
      <c r="N23" s="382"/>
      <c r="O23" s="382"/>
      <c r="P23" s="382"/>
      <c r="Q23" s="382"/>
      <c r="R23" s="382"/>
      <c r="S23" s="382"/>
    </row>
    <row r="24" spans="1:19" s="381" customFormat="1" ht="12.75">
      <c r="A24" s="531">
        <f t="shared" si="0"/>
        <v>21</v>
      </c>
      <c r="B24" s="529"/>
      <c r="C24" s="513" t="str">
        <f>'Plant Configuration'!C29</f>
        <v>Turbine Operators</v>
      </c>
      <c r="E24" s="382">
        <v>45000</v>
      </c>
      <c r="F24" s="382">
        <v>45000</v>
      </c>
      <c r="G24" s="382">
        <v>45000</v>
      </c>
      <c r="H24" s="382">
        <v>45000</v>
      </c>
      <c r="I24" s="382">
        <v>45000</v>
      </c>
      <c r="J24" s="382">
        <v>45000</v>
      </c>
      <c r="K24" s="382"/>
      <c r="L24" s="382"/>
      <c r="M24" s="382"/>
      <c r="N24" s="382"/>
      <c r="O24" s="382"/>
      <c r="P24" s="382"/>
      <c r="Q24" s="382"/>
      <c r="R24" s="382"/>
      <c r="S24" s="382"/>
    </row>
    <row r="25" spans="1:19" s="381" customFormat="1" ht="12.75">
      <c r="A25" s="531">
        <f t="shared" si="0"/>
        <v>22</v>
      </c>
      <c r="B25" s="529"/>
      <c r="C25" s="513" t="str">
        <f>'Plant Configuration'!C30</f>
        <v>Water System Opertors</v>
      </c>
      <c r="E25" s="382">
        <v>35000</v>
      </c>
      <c r="F25" s="382">
        <v>35000</v>
      </c>
      <c r="G25" s="382">
        <v>35000</v>
      </c>
      <c r="H25" s="382">
        <v>35000</v>
      </c>
      <c r="I25" s="382">
        <v>35000</v>
      </c>
      <c r="J25" s="382">
        <v>35000</v>
      </c>
      <c r="K25" s="382"/>
      <c r="L25" s="382"/>
      <c r="M25" s="382"/>
      <c r="N25" s="382"/>
      <c r="O25" s="382"/>
      <c r="P25" s="382"/>
      <c r="Q25" s="382"/>
      <c r="R25" s="382"/>
      <c r="S25" s="382"/>
    </row>
    <row r="26" spans="1:19" s="381" customFormat="1" ht="12.75">
      <c r="A26" s="531">
        <f t="shared" si="0"/>
        <v>23</v>
      </c>
      <c r="B26" s="529"/>
      <c r="C26" s="513" t="str">
        <f>'Plant Configuration'!C31</f>
        <v>Fuel Storage/Handling Operators</v>
      </c>
      <c r="E26" s="382">
        <v>30000</v>
      </c>
      <c r="F26" s="382">
        <v>30000</v>
      </c>
      <c r="G26" s="382">
        <v>30000</v>
      </c>
      <c r="H26" s="382">
        <v>30000</v>
      </c>
      <c r="I26" s="382">
        <v>30000</v>
      </c>
      <c r="J26" s="382">
        <v>30000</v>
      </c>
      <c r="K26" s="382"/>
      <c r="L26" s="382"/>
      <c r="M26" s="382"/>
      <c r="N26" s="382"/>
      <c r="O26" s="382"/>
      <c r="P26" s="382"/>
      <c r="Q26" s="382"/>
      <c r="R26" s="382"/>
      <c r="S26" s="382"/>
    </row>
    <row r="27" spans="1:19" s="381" customFormat="1" ht="12.75">
      <c r="A27" s="531">
        <f t="shared" si="0"/>
        <v>24</v>
      </c>
      <c r="B27" s="529"/>
      <c r="C27" s="513" t="str">
        <f>'Plant Configuration'!C32</f>
        <v>Utility Operators</v>
      </c>
      <c r="E27" s="382">
        <v>33000</v>
      </c>
      <c r="F27" s="382">
        <v>33000</v>
      </c>
      <c r="G27" s="382">
        <v>33000</v>
      </c>
      <c r="H27" s="382">
        <v>33000</v>
      </c>
      <c r="I27" s="382">
        <v>33000</v>
      </c>
      <c r="J27" s="382">
        <v>33000</v>
      </c>
      <c r="K27" s="382"/>
      <c r="L27" s="382"/>
      <c r="M27" s="382"/>
      <c r="N27" s="382"/>
      <c r="O27" s="382"/>
      <c r="P27" s="382"/>
      <c r="Q27" s="382"/>
      <c r="R27" s="382"/>
      <c r="S27" s="382"/>
    </row>
    <row r="28" spans="1:19" s="381" customFormat="1" ht="12.75">
      <c r="A28" s="531">
        <f t="shared" si="0"/>
        <v>25</v>
      </c>
      <c r="B28" s="529"/>
      <c r="C28" s="513" t="str">
        <f>'Plant Configuration'!C33</f>
        <v>Chemist</v>
      </c>
      <c r="E28" s="382">
        <v>40000</v>
      </c>
      <c r="F28" s="382">
        <v>40000</v>
      </c>
      <c r="G28" s="382">
        <v>40000</v>
      </c>
      <c r="H28" s="382">
        <v>40000</v>
      </c>
      <c r="I28" s="382">
        <v>40000</v>
      </c>
      <c r="J28" s="382">
        <v>40000</v>
      </c>
      <c r="K28" s="382"/>
      <c r="L28" s="382"/>
      <c r="M28" s="382"/>
      <c r="N28" s="382"/>
      <c r="O28" s="382"/>
      <c r="P28" s="382"/>
      <c r="Q28" s="382"/>
      <c r="R28" s="382"/>
      <c r="S28" s="382"/>
    </row>
    <row r="29" spans="1:19" s="381" customFormat="1" ht="12.75">
      <c r="A29" s="531">
        <f t="shared" si="0"/>
        <v>26</v>
      </c>
      <c r="B29" s="529"/>
      <c r="C29" s="513" t="str">
        <f>'Plant Configuration'!C34</f>
        <v>Tech III</v>
      </c>
      <c r="E29" s="382">
        <f t="shared" ref="E29:J29" si="1">25*2080</f>
        <v>52000</v>
      </c>
      <c r="F29" s="382">
        <f t="shared" si="1"/>
        <v>52000</v>
      </c>
      <c r="G29" s="382">
        <f t="shared" si="1"/>
        <v>52000</v>
      </c>
      <c r="H29" s="382">
        <f t="shared" si="1"/>
        <v>52000</v>
      </c>
      <c r="I29" s="382">
        <f t="shared" si="1"/>
        <v>52000</v>
      </c>
      <c r="J29" s="382">
        <f t="shared" si="1"/>
        <v>52000</v>
      </c>
      <c r="K29" s="382"/>
      <c r="L29" s="382"/>
      <c r="M29" s="382"/>
      <c r="N29" s="382"/>
      <c r="O29" s="382"/>
      <c r="P29" s="382"/>
      <c r="Q29" s="382"/>
      <c r="R29" s="382"/>
      <c r="S29" s="382"/>
    </row>
    <row r="30" spans="1:19" s="381" customFormat="1" ht="12.75">
      <c r="A30" s="531">
        <f t="shared" si="0"/>
        <v>27</v>
      </c>
      <c r="B30" s="529"/>
      <c r="C30" s="513" t="str">
        <f>'Plant Configuration'!C35</f>
        <v>Tech II</v>
      </c>
      <c r="E30" s="382">
        <f t="shared" ref="E30:J30" si="2">22*2080</f>
        <v>45760</v>
      </c>
      <c r="F30" s="382">
        <f t="shared" si="2"/>
        <v>45760</v>
      </c>
      <c r="G30" s="382">
        <f t="shared" si="2"/>
        <v>45760</v>
      </c>
      <c r="H30" s="382">
        <f t="shared" si="2"/>
        <v>45760</v>
      </c>
      <c r="I30" s="382">
        <f t="shared" si="2"/>
        <v>45760</v>
      </c>
      <c r="J30" s="382">
        <f t="shared" si="2"/>
        <v>45760</v>
      </c>
      <c r="K30" s="382"/>
      <c r="L30" s="382"/>
      <c r="M30" s="382"/>
      <c r="N30" s="382"/>
      <c r="O30" s="382"/>
      <c r="P30" s="382"/>
      <c r="Q30" s="382"/>
      <c r="R30" s="382"/>
      <c r="S30" s="382"/>
    </row>
    <row r="31" spans="1:19" s="381" customFormat="1" ht="12.75">
      <c r="A31" s="531">
        <f t="shared" si="0"/>
        <v>28</v>
      </c>
      <c r="B31" s="529"/>
      <c r="C31" s="513" t="str">
        <f>'Plant Configuration'!C36</f>
        <v>Other</v>
      </c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  <c r="P31" s="382"/>
      <c r="Q31" s="382"/>
      <c r="R31" s="382"/>
      <c r="S31" s="382"/>
    </row>
    <row r="32" spans="1:19" s="111" customFormat="1" ht="12.75">
      <c r="A32" s="531">
        <f t="shared" si="0"/>
        <v>29</v>
      </c>
      <c r="B32" s="529"/>
      <c r="C32" s="513"/>
    </row>
    <row r="33" spans="1:19" s="381" customFormat="1" ht="12.75">
      <c r="A33" s="531">
        <f t="shared" si="0"/>
        <v>30</v>
      </c>
      <c r="B33" s="529" t="str">
        <f>'Plant Configuration'!B38</f>
        <v>Maintenance Staff</v>
      </c>
      <c r="C33" s="513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</row>
    <row r="34" spans="1:19" s="381" customFormat="1" ht="12.75">
      <c r="A34" s="531">
        <f t="shared" si="0"/>
        <v>31</v>
      </c>
      <c r="B34" s="529"/>
      <c r="C34" s="513" t="str">
        <f>'Plant Configuration'!C39</f>
        <v>Maintenance Manager</v>
      </c>
      <c r="E34" s="382">
        <v>65000</v>
      </c>
      <c r="F34" s="382">
        <v>65000</v>
      </c>
      <c r="G34" s="382">
        <v>65000</v>
      </c>
      <c r="H34" s="382">
        <v>65000</v>
      </c>
      <c r="I34" s="382">
        <v>65000</v>
      </c>
      <c r="J34" s="382">
        <v>65000</v>
      </c>
      <c r="K34" s="382"/>
      <c r="L34" s="382"/>
      <c r="M34" s="382"/>
      <c r="N34" s="382"/>
      <c r="O34" s="382"/>
      <c r="P34" s="382"/>
      <c r="Q34" s="382"/>
      <c r="R34" s="382"/>
      <c r="S34" s="382"/>
    </row>
    <row r="35" spans="1:19" s="381" customFormat="1" ht="12.75">
      <c r="A35" s="531">
        <f t="shared" si="0"/>
        <v>32</v>
      </c>
      <c r="B35" s="529"/>
      <c r="C35" s="513" t="str">
        <f>'Plant Configuration'!C40</f>
        <v>Mechanical Engineer</v>
      </c>
      <c r="E35" s="382">
        <v>50000</v>
      </c>
      <c r="F35" s="382">
        <v>50000</v>
      </c>
      <c r="G35" s="382">
        <v>50000</v>
      </c>
      <c r="H35" s="382">
        <v>50000</v>
      </c>
      <c r="I35" s="382">
        <v>50000</v>
      </c>
      <c r="J35" s="382">
        <v>50000</v>
      </c>
      <c r="K35" s="382"/>
      <c r="L35" s="382"/>
      <c r="M35" s="382"/>
      <c r="N35" s="382"/>
      <c r="O35" s="382"/>
      <c r="P35" s="382"/>
      <c r="Q35" s="382"/>
      <c r="R35" s="382"/>
      <c r="S35" s="382"/>
    </row>
    <row r="36" spans="1:19" s="381" customFormat="1" ht="12.75">
      <c r="A36" s="531">
        <f t="shared" si="0"/>
        <v>33</v>
      </c>
      <c r="B36" s="529"/>
      <c r="C36" s="513" t="str">
        <f>'Plant Configuration'!C41</f>
        <v>Maintenance Planner</v>
      </c>
      <c r="E36" s="382">
        <v>40000</v>
      </c>
      <c r="F36" s="382">
        <v>40000</v>
      </c>
      <c r="G36" s="382">
        <v>40000</v>
      </c>
      <c r="H36" s="382">
        <v>40000</v>
      </c>
      <c r="I36" s="382">
        <v>40000</v>
      </c>
      <c r="J36" s="382">
        <v>40000</v>
      </c>
      <c r="K36" s="382"/>
      <c r="L36" s="382"/>
      <c r="M36" s="382"/>
      <c r="N36" s="382"/>
      <c r="O36" s="382"/>
      <c r="P36" s="382"/>
      <c r="Q36" s="382"/>
      <c r="R36" s="382"/>
      <c r="S36" s="382"/>
    </row>
    <row r="37" spans="1:19" s="381" customFormat="1" ht="12.75">
      <c r="A37" s="531">
        <f t="shared" si="0"/>
        <v>34</v>
      </c>
      <c r="B37" s="529"/>
      <c r="C37" s="513" t="str">
        <f>'Plant Configuration'!C42</f>
        <v>Mechanic</v>
      </c>
      <c r="E37" s="382">
        <v>38000</v>
      </c>
      <c r="F37" s="382">
        <v>38000</v>
      </c>
      <c r="G37" s="382">
        <v>38000</v>
      </c>
      <c r="H37" s="382">
        <v>38000</v>
      </c>
      <c r="I37" s="382">
        <v>38000</v>
      </c>
      <c r="J37" s="382">
        <v>38000</v>
      </c>
      <c r="K37" s="382"/>
      <c r="L37" s="382"/>
      <c r="M37" s="382"/>
      <c r="N37" s="382"/>
      <c r="O37" s="382"/>
      <c r="P37" s="382"/>
      <c r="Q37" s="382"/>
      <c r="R37" s="382"/>
      <c r="S37" s="382"/>
    </row>
    <row r="38" spans="1:19" s="381" customFormat="1" ht="12.75">
      <c r="A38" s="531">
        <f t="shared" si="0"/>
        <v>35</v>
      </c>
      <c r="B38" s="529"/>
      <c r="C38" s="513" t="str">
        <f>'Plant Configuration'!C43</f>
        <v>I&amp;C Engineer</v>
      </c>
      <c r="E38" s="382">
        <v>60000</v>
      </c>
      <c r="F38" s="382">
        <v>60000</v>
      </c>
      <c r="G38" s="382">
        <v>60000</v>
      </c>
      <c r="H38" s="382">
        <v>60000</v>
      </c>
      <c r="I38" s="382">
        <v>60000</v>
      </c>
      <c r="J38" s="382">
        <v>60000</v>
      </c>
      <c r="K38" s="382"/>
      <c r="L38" s="382"/>
      <c r="M38" s="382"/>
      <c r="N38" s="382"/>
      <c r="O38" s="382"/>
      <c r="P38" s="382"/>
      <c r="Q38" s="382"/>
      <c r="R38" s="382"/>
      <c r="S38" s="382"/>
    </row>
    <row r="39" spans="1:19" s="381" customFormat="1" ht="12.75">
      <c r="A39" s="531">
        <f t="shared" si="0"/>
        <v>36</v>
      </c>
      <c r="B39" s="529"/>
      <c r="C39" s="513" t="str">
        <f>'Plant Configuration'!C44</f>
        <v>I&amp;C Technician</v>
      </c>
      <c r="E39" s="382">
        <v>55000</v>
      </c>
      <c r="F39" s="382">
        <v>55000</v>
      </c>
      <c r="G39" s="382">
        <v>55000</v>
      </c>
      <c r="H39" s="382">
        <v>55000</v>
      </c>
      <c r="I39" s="382">
        <v>55000</v>
      </c>
      <c r="J39" s="382">
        <v>55000</v>
      </c>
      <c r="K39" s="382"/>
      <c r="L39" s="382"/>
      <c r="M39" s="382"/>
      <c r="N39" s="382"/>
      <c r="O39" s="382"/>
      <c r="P39" s="382"/>
      <c r="Q39" s="382"/>
      <c r="R39" s="382"/>
      <c r="S39" s="382"/>
    </row>
    <row r="40" spans="1:19" s="381" customFormat="1" ht="12.75">
      <c r="A40" s="531">
        <f t="shared" si="0"/>
        <v>37</v>
      </c>
      <c r="B40" s="529"/>
      <c r="C40" s="513" t="str">
        <f>'Plant Configuration'!C45</f>
        <v>Electrical Technician</v>
      </c>
      <c r="E40" s="382">
        <v>45000</v>
      </c>
      <c r="F40" s="382">
        <v>45000</v>
      </c>
      <c r="G40" s="382">
        <v>45000</v>
      </c>
      <c r="H40" s="382">
        <v>45000</v>
      </c>
      <c r="I40" s="382">
        <v>45000</v>
      </c>
      <c r="J40" s="382">
        <v>45000</v>
      </c>
      <c r="K40" s="382"/>
      <c r="L40" s="382"/>
      <c r="M40" s="382"/>
      <c r="N40" s="382"/>
      <c r="O40" s="382"/>
      <c r="P40" s="382"/>
      <c r="Q40" s="382"/>
      <c r="R40" s="382"/>
      <c r="S40" s="382"/>
    </row>
    <row r="41" spans="1:19" s="381" customFormat="1" ht="12.75">
      <c r="A41" s="531">
        <f t="shared" si="0"/>
        <v>38</v>
      </c>
      <c r="B41" s="529"/>
      <c r="C41" s="513" t="str">
        <f>'Plant Configuration'!C46</f>
        <v>Other</v>
      </c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382"/>
      <c r="P41" s="382"/>
      <c r="Q41" s="382"/>
      <c r="R41" s="382"/>
      <c r="S41" s="382"/>
    </row>
    <row r="42" spans="1:19" s="381" customFormat="1" ht="12.75">
      <c r="A42" s="531">
        <f t="shared" si="0"/>
        <v>39</v>
      </c>
      <c r="B42" s="529"/>
      <c r="C42" s="513" t="str">
        <f>'Plant Configuration'!C47</f>
        <v>Other</v>
      </c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</row>
    <row r="43" spans="1:19" s="381" customFormat="1" ht="12.75">
      <c r="A43" s="531">
        <f t="shared" si="0"/>
        <v>40</v>
      </c>
      <c r="B43" s="529"/>
      <c r="C43" s="513" t="str">
        <f>'Plant Configuration'!C48</f>
        <v>Other</v>
      </c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</row>
    <row r="44" spans="1:19" s="381" customFormat="1" ht="12.75">
      <c r="A44" s="531">
        <f t="shared" si="0"/>
        <v>41</v>
      </c>
      <c r="B44" s="529"/>
      <c r="C44" s="513" t="str">
        <f>'Plant Configuration'!C49</f>
        <v>Other</v>
      </c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</row>
    <row r="45" spans="1:19" s="381" customFormat="1" ht="12.75">
      <c r="A45" s="531">
        <f t="shared" si="0"/>
        <v>42</v>
      </c>
      <c r="B45" s="509"/>
      <c r="E45" s="383"/>
      <c r="F45" s="383"/>
      <c r="G45" s="383"/>
      <c r="H45" s="383"/>
      <c r="I45" s="383"/>
      <c r="J45" s="383"/>
      <c r="K45" s="383"/>
    </row>
    <row r="46" spans="1:19" s="381" customFormat="1" ht="12.75">
      <c r="A46" s="531">
        <f t="shared" si="0"/>
        <v>43</v>
      </c>
      <c r="B46" s="509"/>
      <c r="E46" s="383"/>
      <c r="F46" s="383"/>
      <c r="G46" s="383"/>
      <c r="H46" s="383"/>
      <c r="I46" s="383"/>
      <c r="J46" s="383"/>
      <c r="K46" s="383"/>
    </row>
    <row r="47" spans="1:19" s="381" customFormat="1" ht="18">
      <c r="A47" s="531">
        <f t="shared" si="0"/>
        <v>44</v>
      </c>
      <c r="B47" s="559" t="s">
        <v>194</v>
      </c>
      <c r="E47" s="383"/>
      <c r="F47" s="383"/>
      <c r="G47" s="383"/>
      <c r="H47" s="383"/>
      <c r="I47" s="383"/>
      <c r="J47" s="383"/>
      <c r="K47" s="383"/>
    </row>
    <row r="48" spans="1:19" s="381" customFormat="1" ht="12.75">
      <c r="A48" s="531">
        <f t="shared" si="0"/>
        <v>45</v>
      </c>
      <c r="B48" s="509"/>
      <c r="C48" s="575"/>
      <c r="E48" s="383"/>
      <c r="F48" s="383"/>
      <c r="G48" s="383"/>
      <c r="H48" s="383"/>
      <c r="I48" s="383"/>
      <c r="J48" s="383"/>
      <c r="K48" s="383"/>
    </row>
    <row r="49" spans="1:67" s="381" customFormat="1" ht="12.75">
      <c r="A49" s="531">
        <f t="shared" si="0"/>
        <v>46</v>
      </c>
      <c r="B49" s="509"/>
      <c r="C49" s="596" t="s">
        <v>444</v>
      </c>
      <c r="E49" s="593">
        <f t="shared" ref="E49:J49" si="3">(SUM(E8:E10)+SUM(E21:E24)+SUM(E34:E40))/14</f>
        <v>57857.142857142855</v>
      </c>
      <c r="F49" s="593">
        <f t="shared" si="3"/>
        <v>57857.142857142855</v>
      </c>
      <c r="G49" s="593">
        <f t="shared" si="3"/>
        <v>57857.142857142855</v>
      </c>
      <c r="H49" s="593">
        <f t="shared" si="3"/>
        <v>57857.142857142855</v>
      </c>
      <c r="I49" s="593">
        <f t="shared" si="3"/>
        <v>57857.142857142855</v>
      </c>
      <c r="J49" s="593">
        <f t="shared" si="3"/>
        <v>57857.142857142855</v>
      </c>
      <c r="K49" s="382"/>
      <c r="L49" s="510"/>
      <c r="M49" s="510"/>
      <c r="N49" s="510"/>
      <c r="O49" s="510"/>
      <c r="P49" s="510"/>
      <c r="Q49" s="510"/>
      <c r="R49" s="510"/>
      <c r="S49" s="510"/>
    </row>
    <row r="50" spans="1:67" s="381" customFormat="1" ht="16.5" customHeight="1">
      <c r="A50" s="531">
        <f>A88+1</f>
        <v>87</v>
      </c>
      <c r="B50" s="509"/>
      <c r="C50" s="573" t="s">
        <v>624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</row>
    <row r="51" spans="1:67" s="381" customFormat="1" ht="12.75">
      <c r="A51" s="531"/>
      <c r="B51" s="509"/>
      <c r="C51" s="572" t="s">
        <v>317</v>
      </c>
      <c r="E51" s="594">
        <v>0.1434</v>
      </c>
      <c r="F51" s="594">
        <v>0.1434</v>
      </c>
      <c r="G51" s="594">
        <v>0.1434</v>
      </c>
      <c r="H51" s="594">
        <v>0.1434</v>
      </c>
      <c r="I51" s="594">
        <v>0.1434</v>
      </c>
      <c r="J51" s="594">
        <v>0.1434</v>
      </c>
      <c r="K51" s="584"/>
      <c r="L51" s="585"/>
      <c r="M51" s="585"/>
      <c r="N51" s="585"/>
      <c r="O51" s="585"/>
      <c r="P51" s="585"/>
      <c r="Q51" s="585"/>
      <c r="R51" s="585"/>
      <c r="S51" s="585"/>
      <c r="T51" s="586"/>
      <c r="U51" s="586"/>
      <c r="V51" s="586"/>
      <c r="W51" s="586"/>
      <c r="X51" s="586"/>
      <c r="Y51" s="586"/>
      <c r="Z51" s="586"/>
      <c r="AA51" s="586"/>
      <c r="AB51" s="586"/>
      <c r="AC51" s="586"/>
      <c r="AD51" s="586"/>
      <c r="AE51" s="586"/>
      <c r="AF51" s="586"/>
      <c r="AG51" s="586"/>
      <c r="AH51" s="586"/>
      <c r="AI51" s="586"/>
      <c r="AJ51" s="586"/>
      <c r="AK51" s="586"/>
      <c r="AL51" s="586"/>
      <c r="AM51" s="586"/>
      <c r="AN51" s="586"/>
      <c r="AO51" s="586"/>
      <c r="AP51" s="586"/>
      <c r="AQ51" s="586"/>
      <c r="AR51" s="586"/>
      <c r="AS51" s="586"/>
      <c r="AT51" s="586"/>
      <c r="AU51" s="586"/>
      <c r="AV51" s="586"/>
      <c r="AW51" s="586"/>
      <c r="AX51" s="586"/>
      <c r="AY51" s="586"/>
      <c r="AZ51" s="586"/>
      <c r="BA51" s="586"/>
    </row>
    <row r="52" spans="1:67" s="381" customFormat="1" ht="12.75">
      <c r="A52" s="531"/>
      <c r="B52" s="509"/>
      <c r="C52" s="572" t="s">
        <v>318</v>
      </c>
      <c r="E52" s="594">
        <v>7.7799999999999994E-2</v>
      </c>
      <c r="F52" s="594">
        <v>7.7799999999999994E-2</v>
      </c>
      <c r="G52" s="594">
        <v>7.7799999999999994E-2</v>
      </c>
      <c r="H52" s="594">
        <v>7.7799999999999994E-2</v>
      </c>
      <c r="I52" s="594">
        <v>7.7799999999999994E-2</v>
      </c>
      <c r="J52" s="594">
        <v>7.7799999999999994E-2</v>
      </c>
      <c r="K52" s="584"/>
      <c r="L52" s="585"/>
      <c r="M52" s="585"/>
      <c r="N52" s="585"/>
      <c r="O52" s="585"/>
      <c r="P52" s="585"/>
      <c r="Q52" s="585"/>
      <c r="R52" s="585"/>
      <c r="S52" s="585"/>
      <c r="T52" s="586"/>
      <c r="U52" s="586"/>
      <c r="V52" s="586"/>
      <c r="W52" s="586"/>
      <c r="X52" s="586"/>
      <c r="Y52" s="586"/>
      <c r="Z52" s="586"/>
      <c r="AA52" s="586"/>
      <c r="AB52" s="586"/>
      <c r="AC52" s="586"/>
      <c r="AD52" s="586"/>
      <c r="AE52" s="586"/>
      <c r="AF52" s="586"/>
      <c r="AG52" s="586"/>
      <c r="AH52" s="586"/>
      <c r="AI52" s="586"/>
      <c r="AJ52" s="586"/>
      <c r="AK52" s="586"/>
      <c r="AL52" s="586"/>
      <c r="AM52" s="586"/>
      <c r="AN52" s="586"/>
      <c r="AO52" s="586"/>
      <c r="AP52" s="586"/>
      <c r="AQ52" s="586"/>
      <c r="AR52" s="586"/>
      <c r="AS52" s="586"/>
      <c r="AT52" s="586"/>
      <c r="AU52" s="586"/>
      <c r="AV52" s="586"/>
      <c r="AW52" s="586"/>
      <c r="AX52" s="586"/>
      <c r="AY52" s="586"/>
      <c r="AZ52" s="586"/>
      <c r="BA52" s="586"/>
    </row>
    <row r="53" spans="1:67" s="381" customFormat="1" ht="12.75">
      <c r="A53" s="531"/>
      <c r="B53" s="509"/>
      <c r="C53" s="572" t="s">
        <v>319</v>
      </c>
      <c r="E53" s="594">
        <v>0.25</v>
      </c>
      <c r="F53" s="594">
        <v>0.25</v>
      </c>
      <c r="G53" s="594">
        <v>0.25</v>
      </c>
      <c r="H53" s="594">
        <v>0.25</v>
      </c>
      <c r="I53" s="594">
        <v>0.25</v>
      </c>
      <c r="J53" s="594">
        <v>0.25</v>
      </c>
      <c r="K53" s="584"/>
      <c r="L53" s="585"/>
      <c r="M53" s="585"/>
      <c r="N53" s="585"/>
      <c r="O53" s="585"/>
      <c r="P53" s="585"/>
      <c r="Q53" s="585"/>
      <c r="R53" s="585"/>
      <c r="S53" s="585"/>
      <c r="T53" s="586"/>
      <c r="U53" s="586"/>
      <c r="V53" s="586"/>
      <c r="W53" s="586"/>
      <c r="X53" s="586"/>
      <c r="Y53" s="586"/>
      <c r="Z53" s="586"/>
      <c r="AA53" s="586"/>
      <c r="AB53" s="586"/>
      <c r="AC53" s="586"/>
      <c r="AD53" s="586"/>
      <c r="AE53" s="586"/>
      <c r="AF53" s="586"/>
      <c r="AG53" s="586"/>
      <c r="AH53" s="586"/>
      <c r="AI53" s="586"/>
      <c r="AJ53" s="586"/>
      <c r="AK53" s="586"/>
      <c r="AL53" s="586"/>
      <c r="AM53" s="586"/>
      <c r="AN53" s="586"/>
      <c r="AO53" s="586"/>
      <c r="AP53" s="586"/>
      <c r="AQ53" s="586"/>
      <c r="AR53" s="586"/>
      <c r="AS53" s="586"/>
      <c r="AT53" s="586"/>
      <c r="AU53" s="586"/>
      <c r="AV53" s="586"/>
      <c r="AW53" s="586"/>
      <c r="AX53" s="586"/>
      <c r="AY53" s="586"/>
      <c r="AZ53" s="586"/>
      <c r="BA53" s="586"/>
    </row>
    <row r="54" spans="1:67" s="381" customFormat="1" ht="12.75">
      <c r="A54" s="531"/>
      <c r="B54" s="509"/>
      <c r="C54" s="572" t="s">
        <v>320</v>
      </c>
      <c r="E54" s="594">
        <f t="shared" ref="E54:J54" si="4">440*12/E49</f>
        <v>9.1259259259259262E-2</v>
      </c>
      <c r="F54" s="594">
        <f t="shared" si="4"/>
        <v>9.1259259259259262E-2</v>
      </c>
      <c r="G54" s="594">
        <f t="shared" si="4"/>
        <v>9.1259259259259262E-2</v>
      </c>
      <c r="H54" s="594">
        <f t="shared" si="4"/>
        <v>9.1259259259259262E-2</v>
      </c>
      <c r="I54" s="594">
        <f t="shared" si="4"/>
        <v>9.1259259259259262E-2</v>
      </c>
      <c r="J54" s="594">
        <f t="shared" si="4"/>
        <v>9.1259259259259262E-2</v>
      </c>
      <c r="K54" s="584"/>
      <c r="L54" s="585"/>
      <c r="M54" s="585"/>
      <c r="N54" s="585"/>
      <c r="O54" s="585"/>
      <c r="P54" s="585"/>
      <c r="Q54" s="585"/>
      <c r="R54" s="585"/>
      <c r="S54" s="585"/>
      <c r="T54" s="586"/>
      <c r="U54" s="586"/>
      <c r="V54" s="586"/>
      <c r="W54" s="586"/>
      <c r="X54" s="586"/>
      <c r="Y54" s="586"/>
      <c r="Z54" s="586"/>
      <c r="AA54" s="586"/>
      <c r="AB54" s="586"/>
      <c r="AC54" s="586"/>
      <c r="AD54" s="586"/>
      <c r="AE54" s="586"/>
      <c r="AF54" s="586"/>
      <c r="AG54" s="586"/>
      <c r="AH54" s="586"/>
      <c r="AI54" s="586"/>
      <c r="AJ54" s="586"/>
      <c r="AK54" s="586"/>
      <c r="AL54" s="586"/>
      <c r="AM54" s="586"/>
      <c r="AN54" s="586"/>
      <c r="AO54" s="586"/>
      <c r="AP54" s="586"/>
      <c r="AQ54" s="586"/>
      <c r="AR54" s="586"/>
      <c r="AS54" s="586"/>
      <c r="AT54" s="586"/>
      <c r="AU54" s="586"/>
      <c r="AV54" s="586"/>
      <c r="AW54" s="586"/>
      <c r="AX54" s="586"/>
      <c r="AY54" s="586"/>
      <c r="AZ54" s="586"/>
      <c r="BA54" s="586"/>
    </row>
    <row r="55" spans="1:67" s="381" customFormat="1" ht="12.75">
      <c r="A55" s="531"/>
      <c r="B55" s="509"/>
      <c r="C55" s="572" t="s">
        <v>321</v>
      </c>
      <c r="E55" s="594">
        <v>0.01</v>
      </c>
      <c r="F55" s="594">
        <v>0.01</v>
      </c>
      <c r="G55" s="594">
        <v>0.01</v>
      </c>
      <c r="H55" s="594">
        <v>0.01</v>
      </c>
      <c r="I55" s="594">
        <v>0.01</v>
      </c>
      <c r="J55" s="594">
        <v>0.01</v>
      </c>
      <c r="K55" s="584"/>
      <c r="L55" s="585"/>
      <c r="M55" s="585"/>
      <c r="N55" s="585"/>
      <c r="O55" s="585"/>
      <c r="P55" s="585"/>
      <c r="Q55" s="585"/>
      <c r="R55" s="585"/>
      <c r="S55" s="585"/>
      <c r="T55" s="586"/>
      <c r="U55" s="586"/>
      <c r="V55" s="586"/>
      <c r="W55" s="586"/>
      <c r="X55" s="586"/>
      <c r="Y55" s="586"/>
      <c r="Z55" s="586"/>
      <c r="AA55" s="586"/>
      <c r="AB55" s="586"/>
      <c r="AC55" s="586"/>
      <c r="AD55" s="586"/>
      <c r="AE55" s="586"/>
      <c r="AF55" s="586"/>
      <c r="AG55" s="586"/>
      <c r="AH55" s="586"/>
      <c r="AI55" s="586"/>
      <c r="AJ55" s="586"/>
      <c r="AK55" s="586"/>
      <c r="AL55" s="586"/>
      <c r="AM55" s="586"/>
      <c r="AN55" s="586"/>
      <c r="AO55" s="586"/>
      <c r="AP55" s="586"/>
      <c r="AQ55" s="586"/>
      <c r="AR55" s="586"/>
      <c r="AS55" s="586"/>
      <c r="AT55" s="586"/>
      <c r="AU55" s="586"/>
      <c r="AV55" s="586"/>
      <c r="AW55" s="586"/>
      <c r="AX55" s="586"/>
      <c r="AY55" s="586"/>
      <c r="AZ55" s="586"/>
      <c r="BA55" s="586"/>
    </row>
    <row r="56" spans="1:67" s="381" customFormat="1" ht="12.75">
      <c r="A56" s="531"/>
      <c r="B56" s="509"/>
      <c r="C56" s="572" t="s">
        <v>322</v>
      </c>
      <c r="E56" s="594">
        <v>0.05</v>
      </c>
      <c r="F56" s="594">
        <v>0.05</v>
      </c>
      <c r="G56" s="594">
        <v>0.05</v>
      </c>
      <c r="H56" s="594">
        <v>0.05</v>
      </c>
      <c r="I56" s="594">
        <v>0.05</v>
      </c>
      <c r="J56" s="594">
        <v>0.05</v>
      </c>
      <c r="K56" s="584"/>
      <c r="L56" s="585"/>
      <c r="M56" s="585"/>
      <c r="N56" s="585"/>
      <c r="O56" s="585"/>
      <c r="P56" s="585"/>
      <c r="Q56" s="585"/>
      <c r="R56" s="585"/>
      <c r="S56" s="585"/>
      <c r="T56" s="586"/>
      <c r="U56" s="586"/>
      <c r="V56" s="586"/>
      <c r="W56" s="586"/>
      <c r="X56" s="586"/>
      <c r="Y56" s="586"/>
      <c r="Z56" s="586"/>
      <c r="AA56" s="586"/>
      <c r="AB56" s="586"/>
      <c r="AC56" s="586"/>
      <c r="AD56" s="586"/>
      <c r="AE56" s="586"/>
      <c r="AF56" s="586"/>
      <c r="AG56" s="586"/>
      <c r="AH56" s="586"/>
      <c r="AI56" s="586"/>
      <c r="AJ56" s="586"/>
      <c r="AK56" s="586"/>
      <c r="AL56" s="586"/>
      <c r="AM56" s="586"/>
      <c r="AN56" s="586"/>
      <c r="AO56" s="586"/>
      <c r="AP56" s="586"/>
      <c r="AQ56" s="586"/>
      <c r="AR56" s="586"/>
      <c r="AS56" s="586"/>
      <c r="AT56" s="586"/>
      <c r="AU56" s="586"/>
      <c r="AV56" s="586"/>
      <c r="AW56" s="586"/>
      <c r="AX56" s="586"/>
      <c r="AY56" s="586"/>
      <c r="AZ56" s="586"/>
      <c r="BA56" s="586"/>
    </row>
    <row r="57" spans="1:67" s="381" customFormat="1" ht="12.75">
      <c r="A57" s="531"/>
      <c r="B57" s="509"/>
      <c r="C57" s="572" t="s">
        <v>323</v>
      </c>
      <c r="E57" s="594">
        <v>0.05</v>
      </c>
      <c r="F57" s="594">
        <v>0.05</v>
      </c>
      <c r="G57" s="594">
        <v>0.05</v>
      </c>
      <c r="H57" s="594">
        <v>0.05</v>
      </c>
      <c r="I57" s="594">
        <v>0.05</v>
      </c>
      <c r="J57" s="594">
        <v>0.05</v>
      </c>
      <c r="K57" s="584"/>
      <c r="L57" s="585"/>
      <c r="M57" s="585"/>
      <c r="N57" s="585"/>
      <c r="O57" s="585"/>
      <c r="P57" s="585"/>
      <c r="Q57" s="585"/>
      <c r="R57" s="585"/>
      <c r="S57" s="585"/>
      <c r="T57" s="586"/>
      <c r="U57" s="586"/>
      <c r="V57" s="586"/>
      <c r="W57" s="586"/>
      <c r="X57" s="586"/>
      <c r="Y57" s="586"/>
      <c r="Z57" s="586"/>
      <c r="AA57" s="586"/>
      <c r="AB57" s="586"/>
      <c r="AC57" s="586"/>
      <c r="AD57" s="586"/>
      <c r="AE57" s="586"/>
      <c r="AF57" s="586"/>
      <c r="AG57" s="586"/>
      <c r="AH57" s="586"/>
      <c r="AI57" s="586"/>
      <c r="AJ57" s="586"/>
      <c r="AK57" s="586"/>
      <c r="AL57" s="586"/>
      <c r="AM57" s="586"/>
      <c r="AN57" s="586"/>
      <c r="AO57" s="586"/>
      <c r="AP57" s="586"/>
      <c r="AQ57" s="586"/>
      <c r="AR57" s="586"/>
      <c r="AS57" s="586"/>
      <c r="AT57" s="586"/>
      <c r="AU57" s="586"/>
      <c r="AV57" s="586"/>
      <c r="AW57" s="586"/>
      <c r="AX57" s="586"/>
      <c r="AY57" s="586"/>
      <c r="AZ57" s="586"/>
      <c r="BA57" s="586"/>
    </row>
    <row r="58" spans="1:67" s="381" customFormat="1" ht="12.75">
      <c r="A58" s="531"/>
      <c r="B58" s="509"/>
      <c r="C58" s="572" t="s">
        <v>623</v>
      </c>
      <c r="E58" s="594">
        <v>0.03</v>
      </c>
      <c r="F58" s="594">
        <v>0.03</v>
      </c>
      <c r="G58" s="594">
        <v>0.03</v>
      </c>
      <c r="H58" s="594">
        <v>0.03</v>
      </c>
      <c r="I58" s="594">
        <v>0.03</v>
      </c>
      <c r="J58" s="594">
        <v>0.03</v>
      </c>
      <c r="K58" s="584"/>
      <c r="L58" s="585"/>
      <c r="M58" s="585"/>
      <c r="N58" s="585"/>
      <c r="O58" s="585"/>
      <c r="P58" s="585"/>
      <c r="Q58" s="585"/>
      <c r="R58" s="585"/>
      <c r="S58" s="585"/>
      <c r="T58" s="586"/>
      <c r="U58" s="586"/>
      <c r="V58" s="586"/>
      <c r="W58" s="586"/>
      <c r="X58" s="586"/>
      <c r="Y58" s="586"/>
      <c r="Z58" s="586"/>
      <c r="AA58" s="586"/>
      <c r="AB58" s="586"/>
      <c r="AC58" s="586"/>
      <c r="AD58" s="586"/>
      <c r="AE58" s="586"/>
      <c r="AF58" s="586"/>
      <c r="AG58" s="586"/>
      <c r="AH58" s="586"/>
      <c r="AI58" s="586"/>
      <c r="AJ58" s="586"/>
      <c r="AK58" s="586"/>
      <c r="AL58" s="586"/>
      <c r="AM58" s="586"/>
      <c r="AN58" s="586"/>
      <c r="AO58" s="586"/>
      <c r="AP58" s="586"/>
      <c r="AQ58" s="586"/>
      <c r="AR58" s="586"/>
      <c r="AS58" s="586"/>
      <c r="AT58" s="586"/>
      <c r="AU58" s="586"/>
      <c r="AV58" s="586"/>
      <c r="AW58" s="586"/>
      <c r="AX58" s="586"/>
      <c r="AY58" s="586"/>
      <c r="AZ58" s="586"/>
      <c r="BA58" s="586"/>
    </row>
    <row r="59" spans="1:67" s="575" customFormat="1" ht="12.75">
      <c r="A59" s="590"/>
      <c r="B59" s="558"/>
      <c r="C59" s="573" t="s">
        <v>626</v>
      </c>
      <c r="E59" s="595">
        <f t="shared" ref="E59:J59" si="5">SUM(E51:E58)</f>
        <v>0.70245925925925934</v>
      </c>
      <c r="F59" s="595">
        <f t="shared" si="5"/>
        <v>0.70245925925925934</v>
      </c>
      <c r="G59" s="595">
        <f t="shared" si="5"/>
        <v>0.70245925925925934</v>
      </c>
      <c r="H59" s="595">
        <f t="shared" si="5"/>
        <v>0.70245925925925934</v>
      </c>
      <c r="I59" s="595">
        <f t="shared" si="5"/>
        <v>0.70245925925925934</v>
      </c>
      <c r="J59" s="595">
        <f t="shared" si="5"/>
        <v>0.70245925925925934</v>
      </c>
      <c r="K59" s="588"/>
      <c r="L59" s="589"/>
      <c r="M59" s="589"/>
      <c r="N59" s="589"/>
      <c r="O59" s="589"/>
      <c r="P59" s="589"/>
      <c r="Q59" s="589"/>
      <c r="R59" s="589"/>
      <c r="S59" s="589"/>
      <c r="T59" s="591"/>
      <c r="U59" s="591"/>
      <c r="V59" s="591"/>
      <c r="W59" s="591"/>
      <c r="X59" s="591"/>
      <c r="Y59" s="591"/>
      <c r="Z59" s="591"/>
      <c r="AA59" s="591"/>
      <c r="AB59" s="591"/>
      <c r="AC59" s="591"/>
      <c r="AD59" s="591"/>
      <c r="AE59" s="591"/>
      <c r="AF59" s="591"/>
      <c r="AG59" s="591"/>
      <c r="AH59" s="591"/>
      <c r="AI59" s="591"/>
      <c r="AJ59" s="591"/>
      <c r="AK59" s="591"/>
      <c r="AL59" s="591"/>
      <c r="AM59" s="591"/>
      <c r="AN59" s="591"/>
      <c r="AO59" s="591"/>
      <c r="AP59" s="591"/>
      <c r="AQ59" s="591"/>
      <c r="AR59" s="591"/>
      <c r="AS59" s="591"/>
      <c r="AT59" s="591"/>
      <c r="AU59" s="591"/>
      <c r="AV59" s="591"/>
      <c r="AW59" s="591"/>
      <c r="AX59" s="591"/>
      <c r="AY59" s="591"/>
      <c r="AZ59" s="591"/>
      <c r="BA59" s="591"/>
    </row>
    <row r="60" spans="1:67" s="575" customFormat="1" ht="12.75">
      <c r="A60" s="590"/>
      <c r="B60" s="558"/>
      <c r="C60" s="573" t="s">
        <v>625</v>
      </c>
      <c r="E60" s="595">
        <f t="shared" ref="E60:J60" si="6">E51+E52+E53+E55+E56</f>
        <v>0.53120000000000001</v>
      </c>
      <c r="F60" s="595">
        <f t="shared" si="6"/>
        <v>0.53120000000000001</v>
      </c>
      <c r="G60" s="595">
        <f t="shared" si="6"/>
        <v>0.53120000000000001</v>
      </c>
      <c r="H60" s="595">
        <f t="shared" si="6"/>
        <v>0.53120000000000001</v>
      </c>
      <c r="I60" s="595">
        <f t="shared" si="6"/>
        <v>0.53120000000000001</v>
      </c>
      <c r="J60" s="595">
        <f t="shared" si="6"/>
        <v>0.53120000000000001</v>
      </c>
      <c r="K60" s="592"/>
      <c r="L60" s="593"/>
      <c r="M60" s="593"/>
      <c r="N60" s="593"/>
      <c r="O60" s="593"/>
      <c r="P60" s="593"/>
      <c r="Q60" s="593"/>
      <c r="R60" s="593"/>
      <c r="S60" s="593"/>
    </row>
    <row r="61" spans="1:67" customFormat="1" ht="12.75"/>
    <row r="62" spans="1:67" customFormat="1" ht="12.75">
      <c r="A62">
        <f>A109+1</f>
        <v>64</v>
      </c>
      <c r="C62" s="132" t="s">
        <v>455</v>
      </c>
    </row>
    <row r="63" spans="1:67" s="381" customFormat="1" ht="12.75">
      <c r="A63" s="531">
        <f t="shared" si="0"/>
        <v>65</v>
      </c>
      <c r="B63" s="509"/>
      <c r="C63" s="570" t="s">
        <v>1026</v>
      </c>
      <c r="E63" s="382"/>
      <c r="F63" s="382"/>
      <c r="G63" s="382"/>
      <c r="H63" s="382"/>
      <c r="I63" s="382"/>
      <c r="J63" s="382"/>
      <c r="K63" s="382"/>
      <c r="L63" s="510"/>
      <c r="M63" s="510"/>
      <c r="N63" s="510"/>
      <c r="O63" s="510"/>
      <c r="P63" s="510"/>
      <c r="Q63" s="510"/>
      <c r="R63" s="510"/>
      <c r="S63" s="510"/>
    </row>
    <row r="64" spans="1:67" s="381" customFormat="1" ht="12.75">
      <c r="A64" s="531">
        <f t="shared" si="0"/>
        <v>66</v>
      </c>
      <c r="B64" s="509"/>
      <c r="C64" s="570" t="s">
        <v>1027</v>
      </c>
      <c r="E64" s="382"/>
      <c r="F64" s="382"/>
      <c r="G64" s="382"/>
      <c r="H64" s="382"/>
      <c r="I64" s="382"/>
      <c r="J64" s="382"/>
      <c r="K64" s="382"/>
      <c r="L64" s="510"/>
      <c r="M64" s="510"/>
      <c r="N64" s="510"/>
      <c r="O64" s="510"/>
      <c r="P64" s="510"/>
      <c r="Q64" s="510"/>
      <c r="R64" s="510"/>
      <c r="S64" s="510"/>
    </row>
    <row r="65" spans="1:19" s="381" customFormat="1" ht="12.75">
      <c r="A65" s="531">
        <f t="shared" ref="A65:A73" si="7">A64+1</f>
        <v>67</v>
      </c>
      <c r="B65" s="509"/>
      <c r="C65" s="570" t="s">
        <v>1028</v>
      </c>
      <c r="E65" s="382"/>
      <c r="F65" s="382"/>
      <c r="G65" s="382"/>
      <c r="H65" s="382"/>
      <c r="I65" s="382"/>
      <c r="J65" s="382"/>
      <c r="K65" s="382"/>
      <c r="L65" s="510"/>
      <c r="M65" s="510"/>
      <c r="N65" s="510"/>
      <c r="O65" s="510"/>
      <c r="P65" s="510"/>
      <c r="Q65" s="510"/>
      <c r="R65" s="510"/>
      <c r="S65" s="510"/>
    </row>
    <row r="66" spans="1:19" s="381" customFormat="1" ht="12.75">
      <c r="A66" s="531">
        <f t="shared" si="7"/>
        <v>68</v>
      </c>
      <c r="B66" s="509"/>
      <c r="C66" s="570" t="s">
        <v>1029</v>
      </c>
      <c r="E66" s="382"/>
      <c r="F66" s="382"/>
      <c r="G66" s="382"/>
      <c r="H66" s="382"/>
      <c r="I66" s="382"/>
      <c r="J66" s="382"/>
      <c r="K66" s="382"/>
      <c r="L66" s="510"/>
      <c r="M66" s="510"/>
      <c r="N66" s="510"/>
      <c r="O66" s="510"/>
      <c r="P66" s="510"/>
      <c r="Q66" s="510"/>
      <c r="R66" s="510"/>
      <c r="S66" s="510"/>
    </row>
    <row r="67" spans="1:19" s="381" customFormat="1" ht="12.75">
      <c r="A67" s="531">
        <f t="shared" si="7"/>
        <v>69</v>
      </c>
      <c r="B67" s="509"/>
      <c r="C67" s="571" t="s">
        <v>316</v>
      </c>
      <c r="E67" s="382"/>
      <c r="F67" s="382"/>
      <c r="G67" s="382"/>
      <c r="H67" s="382"/>
      <c r="I67" s="382"/>
      <c r="J67" s="382"/>
      <c r="K67" s="382"/>
      <c r="L67" s="510"/>
      <c r="M67" s="510"/>
      <c r="N67" s="510"/>
      <c r="O67" s="510"/>
      <c r="P67" s="510"/>
      <c r="Q67" s="510"/>
      <c r="R67" s="510"/>
      <c r="S67" s="510"/>
    </row>
    <row r="68" spans="1:19" s="381" customFormat="1" ht="12.75">
      <c r="A68" s="531">
        <f t="shared" si="7"/>
        <v>70</v>
      </c>
      <c r="B68" s="509"/>
      <c r="C68" s="571" t="s">
        <v>1030</v>
      </c>
      <c r="E68" s="382"/>
      <c r="F68" s="382"/>
      <c r="G68" s="382"/>
      <c r="H68" s="382"/>
      <c r="I68" s="382"/>
      <c r="J68" s="382"/>
      <c r="K68" s="382"/>
      <c r="L68" s="510"/>
      <c r="M68" s="510"/>
      <c r="N68" s="510"/>
      <c r="O68" s="510"/>
      <c r="P68" s="510"/>
      <c r="Q68" s="510"/>
      <c r="R68" s="510"/>
      <c r="S68" s="510"/>
    </row>
    <row r="69" spans="1:19" s="381" customFormat="1" ht="12.75">
      <c r="A69" s="531">
        <f t="shared" si="7"/>
        <v>71</v>
      </c>
      <c r="B69" s="509"/>
      <c r="C69" s="572" t="s">
        <v>1031</v>
      </c>
      <c r="E69" s="382"/>
      <c r="F69" s="382"/>
      <c r="G69" s="382"/>
      <c r="H69" s="382"/>
      <c r="I69" s="382"/>
      <c r="J69" s="382"/>
      <c r="K69" s="382"/>
      <c r="L69" s="510"/>
      <c r="M69" s="510"/>
      <c r="N69" s="510"/>
      <c r="O69" s="510"/>
      <c r="P69" s="510"/>
      <c r="Q69" s="510"/>
      <c r="R69" s="510"/>
      <c r="S69" s="510"/>
    </row>
    <row r="70" spans="1:19" s="381" customFormat="1" ht="12.75">
      <c r="A70" s="531">
        <f t="shared" si="7"/>
        <v>72</v>
      </c>
      <c r="B70" s="509"/>
      <c r="C70" s="572" t="s">
        <v>1032</v>
      </c>
      <c r="E70" s="382"/>
      <c r="F70" s="382"/>
      <c r="G70" s="382"/>
      <c r="H70" s="382"/>
      <c r="I70" s="382"/>
      <c r="J70" s="382"/>
      <c r="K70" s="382"/>
      <c r="L70" s="510"/>
      <c r="M70" s="510"/>
      <c r="N70" s="510"/>
      <c r="O70" s="510"/>
      <c r="P70" s="510"/>
      <c r="Q70" s="510"/>
      <c r="R70" s="510"/>
      <c r="S70" s="510"/>
    </row>
    <row r="71" spans="1:19" s="381" customFormat="1" ht="12.75">
      <c r="A71" s="531">
        <f t="shared" si="7"/>
        <v>73</v>
      </c>
      <c r="B71" s="509"/>
      <c r="C71" s="572" t="s">
        <v>1033</v>
      </c>
      <c r="E71" s="382"/>
      <c r="F71" s="382"/>
      <c r="G71" s="382"/>
      <c r="H71" s="382"/>
      <c r="I71" s="382"/>
      <c r="J71" s="382"/>
      <c r="K71" s="382"/>
      <c r="L71" s="510"/>
      <c r="M71" s="510"/>
      <c r="N71" s="510"/>
      <c r="O71" s="510"/>
      <c r="P71" s="510"/>
      <c r="Q71" s="510"/>
      <c r="R71" s="510"/>
      <c r="S71" s="510"/>
    </row>
    <row r="72" spans="1:19" s="381" customFormat="1" ht="12.75">
      <c r="A72" s="531">
        <f t="shared" si="7"/>
        <v>74</v>
      </c>
      <c r="B72" s="509"/>
      <c r="C72" s="572" t="s">
        <v>1034</v>
      </c>
      <c r="E72" s="382"/>
      <c r="F72" s="382"/>
      <c r="G72" s="382"/>
      <c r="H72" s="382"/>
      <c r="I72" s="382"/>
      <c r="J72" s="382"/>
      <c r="K72" s="382"/>
      <c r="L72" s="510"/>
      <c r="M72" s="510"/>
      <c r="N72" s="510"/>
      <c r="O72" s="510"/>
      <c r="P72" s="510"/>
      <c r="Q72" s="510"/>
      <c r="R72" s="510"/>
      <c r="S72" s="510"/>
    </row>
    <row r="73" spans="1:19" s="381" customFormat="1" ht="12.75">
      <c r="A73" s="531">
        <f t="shared" si="7"/>
        <v>75</v>
      </c>
      <c r="B73" s="509"/>
      <c r="C73" s="572" t="s">
        <v>1035</v>
      </c>
      <c r="E73" s="382"/>
      <c r="F73" s="382"/>
      <c r="G73" s="382"/>
      <c r="H73" s="382"/>
      <c r="I73" s="382"/>
      <c r="J73" s="382"/>
      <c r="K73" s="382"/>
      <c r="L73" s="510"/>
      <c r="M73" s="510"/>
      <c r="N73" s="510"/>
      <c r="O73" s="510"/>
      <c r="P73" s="510"/>
      <c r="Q73" s="510"/>
      <c r="R73" s="510"/>
      <c r="S73" s="510"/>
    </row>
    <row r="74" spans="1:19" s="381" customFormat="1" ht="12.75">
      <c r="A74" s="531"/>
      <c r="B74" s="509"/>
      <c r="C74" s="572" t="s">
        <v>454</v>
      </c>
      <c r="E74" s="382"/>
      <c r="F74" s="382"/>
      <c r="G74" s="382"/>
      <c r="H74" s="382"/>
      <c r="I74" s="382"/>
      <c r="J74" s="382"/>
      <c r="K74" s="382"/>
      <c r="L74" s="510"/>
      <c r="M74" s="510"/>
      <c r="N74" s="510"/>
      <c r="O74" s="510"/>
      <c r="P74" s="510"/>
      <c r="Q74" s="510"/>
      <c r="R74" s="510"/>
      <c r="S74" s="510"/>
    </row>
    <row r="75" spans="1:19" s="381" customFormat="1" ht="12.75">
      <c r="A75" s="531"/>
      <c r="B75" s="509"/>
      <c r="C75" s="572" t="s">
        <v>454</v>
      </c>
      <c r="E75" s="382"/>
      <c r="F75" s="382"/>
      <c r="G75" s="382"/>
      <c r="H75" s="382"/>
      <c r="I75" s="382"/>
      <c r="J75" s="382"/>
      <c r="K75" s="382"/>
      <c r="L75" s="510"/>
      <c r="M75" s="510"/>
      <c r="N75" s="510"/>
      <c r="O75" s="510"/>
      <c r="P75" s="510"/>
      <c r="Q75" s="510"/>
      <c r="R75" s="510"/>
      <c r="S75" s="510"/>
    </row>
    <row r="76" spans="1:19" s="381" customFormat="1" ht="12.75">
      <c r="A76" s="531"/>
      <c r="B76" s="509"/>
      <c r="C76" s="572" t="s">
        <v>454</v>
      </c>
      <c r="E76" s="382"/>
      <c r="F76" s="382"/>
      <c r="G76" s="382"/>
      <c r="H76" s="382"/>
      <c r="I76" s="382"/>
      <c r="J76" s="382"/>
      <c r="K76" s="382"/>
      <c r="L76" s="510"/>
      <c r="M76" s="510"/>
      <c r="N76" s="510"/>
      <c r="O76" s="510"/>
      <c r="P76" s="510"/>
      <c r="Q76" s="510"/>
      <c r="R76" s="510"/>
      <c r="S76" s="510"/>
    </row>
    <row r="77" spans="1:19" s="381" customFormat="1" ht="12.75">
      <c r="A77" s="531"/>
      <c r="B77" s="509"/>
      <c r="C77" s="572" t="s">
        <v>454</v>
      </c>
      <c r="E77" s="382"/>
      <c r="F77" s="382"/>
      <c r="G77" s="382"/>
      <c r="H77" s="382"/>
      <c r="I77" s="382"/>
      <c r="J77" s="382"/>
      <c r="K77" s="382"/>
      <c r="L77" s="510"/>
      <c r="M77" s="510"/>
      <c r="N77" s="510"/>
      <c r="O77" s="510"/>
      <c r="P77" s="510"/>
      <c r="Q77" s="510"/>
      <c r="R77" s="510"/>
      <c r="S77" s="510"/>
    </row>
    <row r="78" spans="1:19" s="381" customFormat="1" ht="12.75">
      <c r="A78" s="531">
        <f>A73+1</f>
        <v>76</v>
      </c>
      <c r="B78" s="509"/>
      <c r="C78" s="572" t="s">
        <v>454</v>
      </c>
      <c r="E78" s="382"/>
      <c r="F78" s="382"/>
      <c r="G78" s="382"/>
      <c r="H78" s="382"/>
      <c r="I78" s="382"/>
      <c r="J78" s="382"/>
      <c r="K78" s="382"/>
      <c r="L78" s="510"/>
      <c r="M78" s="510"/>
      <c r="N78" s="510"/>
      <c r="O78" s="510"/>
      <c r="P78" s="510"/>
      <c r="Q78" s="510"/>
      <c r="R78" s="510"/>
      <c r="S78" s="510"/>
    </row>
    <row r="79" spans="1:19" s="381" customFormat="1" ht="12.75">
      <c r="A79" s="531">
        <f t="shared" ref="A79:A88" si="8">A78+1</f>
        <v>77</v>
      </c>
      <c r="B79" s="509"/>
      <c r="C79" s="572"/>
      <c r="E79" s="383"/>
      <c r="F79" s="383"/>
      <c r="G79" s="383"/>
      <c r="H79" s="383"/>
      <c r="I79" s="383"/>
      <c r="J79" s="383"/>
      <c r="K79" s="383"/>
    </row>
    <row r="80" spans="1:19" s="381" customFormat="1" ht="12.75">
      <c r="A80" s="531">
        <f t="shared" si="8"/>
        <v>78</v>
      </c>
      <c r="B80" s="509"/>
      <c r="C80" s="572"/>
      <c r="E80" s="383"/>
      <c r="F80" s="383"/>
      <c r="G80" s="383"/>
      <c r="H80" s="383"/>
      <c r="I80" s="383"/>
      <c r="J80" s="383"/>
      <c r="K80" s="383"/>
    </row>
    <row r="81" spans="1:77" s="381" customFormat="1" ht="12.75">
      <c r="A81" s="531">
        <f t="shared" si="8"/>
        <v>79</v>
      </c>
      <c r="B81" s="509"/>
      <c r="C81" s="573" t="s">
        <v>1036</v>
      </c>
      <c r="E81" s="383"/>
      <c r="F81" s="383"/>
      <c r="G81" s="383"/>
      <c r="H81" s="383"/>
      <c r="I81" s="383"/>
      <c r="J81" s="383"/>
      <c r="K81" s="383"/>
    </row>
    <row r="82" spans="1:77" s="381" customFormat="1" ht="12.75">
      <c r="A82" s="531">
        <f t="shared" si="8"/>
        <v>80</v>
      </c>
      <c r="B82" s="509"/>
      <c r="C82" s="572" t="s">
        <v>1037</v>
      </c>
      <c r="E82" s="382"/>
      <c r="F82" s="382"/>
      <c r="G82" s="382"/>
      <c r="H82" s="382"/>
      <c r="I82" s="382"/>
      <c r="J82" s="382"/>
      <c r="K82" s="382"/>
      <c r="L82" s="510"/>
      <c r="M82" s="510"/>
      <c r="N82" s="510"/>
      <c r="O82" s="510"/>
      <c r="P82" s="510"/>
      <c r="Q82" s="510"/>
      <c r="R82" s="510"/>
      <c r="S82" s="510"/>
    </row>
    <row r="83" spans="1:77" s="381" customFormat="1" ht="12.75">
      <c r="A83" s="531">
        <f t="shared" si="8"/>
        <v>81</v>
      </c>
      <c r="B83" s="509"/>
      <c r="C83" s="566" t="s">
        <v>1038</v>
      </c>
      <c r="E83" s="382"/>
      <c r="F83" s="382"/>
      <c r="G83" s="382"/>
      <c r="H83" s="382"/>
      <c r="I83" s="382"/>
      <c r="J83" s="382"/>
      <c r="K83" s="382"/>
      <c r="L83" s="510"/>
      <c r="M83" s="510"/>
      <c r="N83" s="510"/>
      <c r="O83" s="510"/>
      <c r="P83" s="510"/>
      <c r="Q83" s="510"/>
      <c r="R83" s="510"/>
      <c r="S83" s="510"/>
    </row>
    <row r="84" spans="1:77" s="381" customFormat="1" ht="12.75">
      <c r="A84" s="531">
        <f t="shared" si="8"/>
        <v>82</v>
      </c>
      <c r="B84" s="509"/>
      <c r="C84" s="566" t="s">
        <v>1039</v>
      </c>
      <c r="E84" s="382"/>
      <c r="F84" s="382"/>
      <c r="G84" s="382"/>
      <c r="H84" s="382"/>
      <c r="I84" s="382"/>
      <c r="J84" s="382"/>
      <c r="K84" s="382"/>
      <c r="L84" s="510"/>
      <c r="M84" s="510"/>
      <c r="N84" s="510"/>
      <c r="O84" s="510"/>
      <c r="P84" s="510"/>
      <c r="Q84" s="510"/>
      <c r="R84" s="510"/>
      <c r="S84" s="510"/>
    </row>
    <row r="85" spans="1:77" s="381" customFormat="1" ht="12.75">
      <c r="A85" s="531">
        <f t="shared" si="8"/>
        <v>83</v>
      </c>
      <c r="B85" s="509"/>
      <c r="C85" s="566" t="s">
        <v>1040</v>
      </c>
      <c r="E85" s="382"/>
      <c r="F85" s="382"/>
      <c r="G85" s="382"/>
      <c r="H85" s="382"/>
      <c r="I85" s="382"/>
      <c r="J85" s="382"/>
      <c r="K85" s="382"/>
      <c r="L85" s="510"/>
      <c r="M85" s="510"/>
      <c r="N85" s="510"/>
      <c r="O85" s="510"/>
      <c r="P85" s="510"/>
      <c r="Q85" s="510"/>
      <c r="R85" s="510"/>
      <c r="S85" s="510"/>
    </row>
    <row r="86" spans="1:77" s="381" customFormat="1" ht="12.75">
      <c r="A86" s="531">
        <f t="shared" si="8"/>
        <v>84</v>
      </c>
      <c r="B86" s="509"/>
      <c r="C86" s="566" t="s">
        <v>1041</v>
      </c>
      <c r="E86" s="382"/>
      <c r="F86" s="382"/>
      <c r="G86" s="382"/>
      <c r="H86" s="382"/>
      <c r="I86" s="382"/>
      <c r="J86" s="382"/>
      <c r="K86" s="382"/>
      <c r="L86" s="510"/>
      <c r="M86" s="510"/>
      <c r="N86" s="510"/>
      <c r="O86" s="510"/>
      <c r="P86" s="510"/>
      <c r="Q86" s="510"/>
      <c r="R86" s="510"/>
      <c r="S86" s="510"/>
    </row>
    <row r="87" spans="1:77" s="381" customFormat="1" ht="12.75">
      <c r="A87" s="531">
        <f t="shared" si="8"/>
        <v>85</v>
      </c>
      <c r="B87" s="509"/>
      <c r="C87" s="572" t="s">
        <v>1042</v>
      </c>
      <c r="E87" s="382"/>
      <c r="F87" s="382"/>
      <c r="G87" s="382"/>
      <c r="H87" s="382"/>
      <c r="I87" s="382"/>
      <c r="J87" s="382"/>
      <c r="K87" s="382"/>
      <c r="L87" s="510"/>
      <c r="M87" s="510"/>
      <c r="N87" s="510"/>
      <c r="O87" s="510"/>
      <c r="P87" s="510"/>
      <c r="Q87" s="510"/>
      <c r="R87" s="510"/>
      <c r="S87" s="510"/>
    </row>
    <row r="88" spans="1:77" s="381" customFormat="1" ht="12.75">
      <c r="A88" s="531">
        <f t="shared" si="8"/>
        <v>86</v>
      </c>
      <c r="B88" s="509"/>
      <c r="C88" s="572" t="s">
        <v>1043</v>
      </c>
      <c r="E88" s="382"/>
      <c r="F88" s="382"/>
      <c r="G88" s="382"/>
      <c r="H88" s="382"/>
      <c r="I88" s="382"/>
      <c r="J88" s="382"/>
      <c r="K88" s="382"/>
      <c r="L88" s="510"/>
      <c r="M88" s="510"/>
      <c r="N88" s="510"/>
      <c r="O88" s="510"/>
      <c r="P88" s="510"/>
      <c r="Q88" s="510"/>
      <c r="R88" s="510"/>
      <c r="S88" s="510"/>
    </row>
    <row r="89" spans="1:77" s="381" customFormat="1" ht="12.75">
      <c r="A89" s="531">
        <f>A50+1</f>
        <v>88</v>
      </c>
      <c r="B89" s="509"/>
      <c r="C89" s="574" t="s">
        <v>1044</v>
      </c>
      <c r="E89" s="382"/>
      <c r="F89" s="382"/>
      <c r="G89" s="382"/>
      <c r="H89" s="382"/>
      <c r="I89" s="382"/>
      <c r="J89" s="382"/>
      <c r="K89" s="382"/>
      <c r="L89" s="510"/>
      <c r="M89" s="510"/>
      <c r="N89" s="510"/>
      <c r="O89" s="510"/>
      <c r="P89" s="510"/>
      <c r="Q89" s="510"/>
      <c r="R89" s="510"/>
      <c r="S89" s="510"/>
    </row>
    <row r="90" spans="1:77" s="381" customFormat="1" ht="12.75">
      <c r="A90" s="531">
        <f>A89+1</f>
        <v>89</v>
      </c>
      <c r="B90" s="509"/>
      <c r="C90" s="569" t="s">
        <v>1045</v>
      </c>
      <c r="E90" s="382"/>
      <c r="F90" s="382"/>
      <c r="G90" s="382"/>
      <c r="H90" s="382"/>
      <c r="I90" s="382"/>
      <c r="J90" s="382"/>
      <c r="K90" s="382"/>
      <c r="L90" s="510"/>
      <c r="M90" s="510"/>
      <c r="N90" s="510"/>
      <c r="O90" s="510"/>
      <c r="P90" s="510"/>
      <c r="Q90" s="510"/>
      <c r="R90" s="510"/>
      <c r="S90" s="510"/>
    </row>
    <row r="91" spans="1:77" customFormat="1" ht="12.75"/>
    <row r="92" spans="1:77" s="575" customFormat="1" ht="12.75">
      <c r="A92" s="590"/>
      <c r="B92" s="558"/>
      <c r="C92" s="573" t="s">
        <v>627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</row>
    <row r="93" spans="1:77" s="381" customFormat="1" ht="12.75">
      <c r="A93" s="531">
        <f>A49+1</f>
        <v>47</v>
      </c>
      <c r="B93" s="509"/>
      <c r="C93" s="567" t="s">
        <v>445</v>
      </c>
      <c r="E93" s="382"/>
      <c r="F93" s="382"/>
      <c r="G93" s="382"/>
      <c r="H93" s="382"/>
      <c r="I93" s="382"/>
      <c r="J93" s="382"/>
      <c r="K93" s="382"/>
      <c r="L93" s="510"/>
      <c r="M93" s="510"/>
      <c r="N93" s="510"/>
      <c r="O93" s="510"/>
      <c r="P93" s="510"/>
      <c r="Q93" s="510"/>
      <c r="R93" s="510"/>
      <c r="S93" s="510"/>
    </row>
    <row r="94" spans="1:77" s="381" customFormat="1" ht="12.75">
      <c r="A94" s="531">
        <f t="shared" ref="A94:A109" si="9">A93+1</f>
        <v>48</v>
      </c>
      <c r="B94" s="509"/>
      <c r="C94" s="567" t="s">
        <v>446</v>
      </c>
      <c r="E94" s="382"/>
      <c r="F94" s="382"/>
      <c r="G94" s="382"/>
      <c r="H94" s="382"/>
      <c r="I94" s="382"/>
      <c r="J94" s="382"/>
      <c r="K94" s="382"/>
      <c r="L94" s="510"/>
      <c r="M94" s="510"/>
      <c r="N94" s="510"/>
      <c r="O94" s="510"/>
      <c r="P94" s="510"/>
      <c r="Q94" s="510"/>
      <c r="R94" s="510"/>
      <c r="S94" s="510"/>
    </row>
    <row r="95" spans="1:77" s="381" customFormat="1" ht="12.75">
      <c r="A95" s="531">
        <f t="shared" si="9"/>
        <v>49</v>
      </c>
      <c r="B95" s="509"/>
      <c r="C95" s="568" t="s">
        <v>447</v>
      </c>
      <c r="E95" s="382"/>
      <c r="F95" s="382"/>
      <c r="G95" s="382"/>
      <c r="H95" s="382"/>
      <c r="I95" s="382"/>
      <c r="J95" s="382"/>
      <c r="K95" s="382"/>
      <c r="L95" s="510"/>
      <c r="M95" s="510"/>
      <c r="N95" s="510"/>
      <c r="O95" s="510"/>
      <c r="P95" s="510"/>
      <c r="Q95" s="510"/>
      <c r="R95" s="510"/>
      <c r="S95" s="510"/>
    </row>
    <row r="96" spans="1:77" s="381" customFormat="1" ht="12.75">
      <c r="A96" s="531">
        <f t="shared" si="9"/>
        <v>50</v>
      </c>
      <c r="B96" s="509"/>
      <c r="C96" s="568" t="s">
        <v>660</v>
      </c>
      <c r="E96" s="382"/>
      <c r="F96" s="382"/>
      <c r="G96" s="382"/>
      <c r="H96" s="382"/>
      <c r="I96" s="382"/>
      <c r="J96" s="382"/>
      <c r="K96" s="382"/>
      <c r="L96" s="510"/>
      <c r="M96" s="510"/>
      <c r="N96" s="510"/>
      <c r="O96" s="510"/>
      <c r="P96" s="510"/>
      <c r="Q96" s="510"/>
      <c r="R96" s="510"/>
      <c r="S96" s="510"/>
    </row>
    <row r="97" spans="1:19" s="381" customFormat="1" ht="12.75">
      <c r="A97" s="531">
        <f t="shared" si="9"/>
        <v>51</v>
      </c>
      <c r="B97" s="509"/>
      <c r="C97" s="568" t="s">
        <v>448</v>
      </c>
      <c r="E97" s="382"/>
      <c r="F97" s="382"/>
      <c r="G97" s="382"/>
      <c r="H97" s="382"/>
      <c r="I97" s="382"/>
      <c r="J97" s="382"/>
      <c r="K97" s="382"/>
      <c r="L97" s="510"/>
      <c r="M97" s="510"/>
      <c r="N97" s="510"/>
      <c r="O97" s="510"/>
      <c r="P97" s="510"/>
      <c r="Q97" s="510"/>
      <c r="R97" s="510"/>
      <c r="S97" s="510"/>
    </row>
    <row r="98" spans="1:19" s="381" customFormat="1" ht="12.75">
      <c r="A98" s="531">
        <f t="shared" si="9"/>
        <v>52</v>
      </c>
      <c r="B98" s="509"/>
      <c r="C98" s="568" t="s">
        <v>449</v>
      </c>
      <c r="E98" s="382"/>
      <c r="F98" s="382"/>
      <c r="G98" s="382"/>
      <c r="H98" s="382"/>
      <c r="I98" s="382"/>
      <c r="J98" s="382"/>
      <c r="K98" s="382"/>
      <c r="L98" s="510"/>
      <c r="M98" s="510"/>
      <c r="N98" s="510"/>
      <c r="O98" s="510"/>
      <c r="P98" s="510"/>
      <c r="Q98" s="510"/>
      <c r="R98" s="510"/>
      <c r="S98" s="510"/>
    </row>
    <row r="99" spans="1:19" s="381" customFormat="1" ht="12.75">
      <c r="A99" s="531">
        <f t="shared" si="9"/>
        <v>53</v>
      </c>
      <c r="B99" s="509"/>
      <c r="C99" s="568" t="s">
        <v>450</v>
      </c>
      <c r="E99" s="382"/>
      <c r="F99" s="382"/>
      <c r="G99" s="382"/>
      <c r="H99" s="382"/>
      <c r="I99" s="382"/>
      <c r="J99" s="382"/>
      <c r="K99" s="382"/>
      <c r="L99" s="510"/>
      <c r="M99" s="510"/>
      <c r="N99" s="510"/>
      <c r="O99" s="510"/>
      <c r="P99" s="510"/>
      <c r="Q99" s="510"/>
      <c r="R99" s="510"/>
      <c r="S99" s="510"/>
    </row>
    <row r="100" spans="1:19" s="381" customFormat="1" ht="12.75">
      <c r="A100" s="531">
        <f t="shared" si="9"/>
        <v>54</v>
      </c>
      <c r="B100" s="509"/>
      <c r="C100" s="568" t="s">
        <v>451</v>
      </c>
      <c r="E100" s="382"/>
      <c r="F100" s="382"/>
      <c r="G100" s="382"/>
      <c r="H100" s="382"/>
      <c r="I100" s="382"/>
      <c r="J100" s="382"/>
      <c r="K100" s="382"/>
      <c r="L100" s="510"/>
      <c r="M100" s="510"/>
      <c r="N100" s="510"/>
      <c r="O100" s="510"/>
      <c r="P100" s="510"/>
      <c r="Q100" s="510"/>
      <c r="R100" s="510"/>
      <c r="S100" s="510"/>
    </row>
    <row r="101" spans="1:19" s="381" customFormat="1" ht="12.75">
      <c r="A101" s="531">
        <f t="shared" si="9"/>
        <v>55</v>
      </c>
      <c r="B101" s="509"/>
      <c r="C101" s="568" t="s">
        <v>452</v>
      </c>
      <c r="E101" s="382"/>
      <c r="F101" s="382"/>
      <c r="G101" s="382"/>
      <c r="H101" s="382"/>
      <c r="I101" s="382"/>
      <c r="J101" s="382"/>
      <c r="K101" s="382"/>
      <c r="L101" s="510"/>
      <c r="M101" s="510"/>
      <c r="N101" s="510"/>
      <c r="O101" s="510"/>
      <c r="P101" s="510"/>
      <c r="Q101" s="510"/>
      <c r="R101" s="510"/>
      <c r="S101" s="510"/>
    </row>
    <row r="102" spans="1:19" s="381" customFormat="1" ht="12.75">
      <c r="A102" s="531">
        <f t="shared" si="9"/>
        <v>56</v>
      </c>
      <c r="B102" s="509"/>
      <c r="C102" s="568" t="s">
        <v>453</v>
      </c>
      <c r="E102" s="382"/>
      <c r="F102" s="382"/>
      <c r="G102" s="382"/>
      <c r="H102" s="382"/>
      <c r="I102" s="382"/>
      <c r="J102" s="382"/>
      <c r="K102" s="382"/>
      <c r="L102" s="510"/>
      <c r="M102" s="510"/>
      <c r="N102" s="510"/>
      <c r="O102" s="510"/>
      <c r="P102" s="510"/>
      <c r="Q102" s="510"/>
      <c r="R102" s="510"/>
      <c r="S102" s="510"/>
    </row>
    <row r="103" spans="1:19" s="381" customFormat="1" ht="12.75">
      <c r="A103" s="531">
        <f t="shared" si="9"/>
        <v>57</v>
      </c>
      <c r="B103" s="509"/>
      <c r="C103" s="568" t="s">
        <v>454</v>
      </c>
      <c r="E103" s="382"/>
      <c r="F103" s="382"/>
      <c r="G103" s="382"/>
      <c r="H103" s="382"/>
      <c r="I103" s="382"/>
      <c r="J103" s="382"/>
      <c r="K103" s="382"/>
      <c r="L103" s="510"/>
      <c r="M103" s="510"/>
      <c r="N103" s="510"/>
      <c r="O103" s="510"/>
      <c r="P103" s="510"/>
      <c r="Q103" s="510"/>
      <c r="R103" s="510"/>
      <c r="S103" s="510"/>
    </row>
    <row r="104" spans="1:19" s="381" customFormat="1" ht="12.75">
      <c r="A104" s="531">
        <f t="shared" si="9"/>
        <v>58</v>
      </c>
      <c r="B104" s="509"/>
      <c r="C104" s="568" t="s">
        <v>454</v>
      </c>
      <c r="E104" s="382"/>
      <c r="F104" s="382"/>
      <c r="G104" s="382"/>
      <c r="H104" s="382"/>
      <c r="I104" s="382"/>
      <c r="J104" s="382"/>
      <c r="K104" s="382"/>
      <c r="L104" s="510"/>
      <c r="M104" s="510"/>
      <c r="N104" s="510"/>
      <c r="O104" s="510"/>
      <c r="P104" s="510"/>
      <c r="Q104" s="510"/>
      <c r="R104" s="510"/>
      <c r="S104" s="510"/>
    </row>
    <row r="105" spans="1:19" s="381" customFormat="1" ht="12.75">
      <c r="A105" s="531">
        <f t="shared" si="9"/>
        <v>59</v>
      </c>
      <c r="B105" s="509"/>
      <c r="C105" s="568" t="s">
        <v>454</v>
      </c>
      <c r="E105" s="382"/>
      <c r="F105" s="382"/>
      <c r="G105" s="382"/>
      <c r="H105" s="382"/>
      <c r="I105" s="382"/>
      <c r="J105" s="382"/>
      <c r="K105" s="382"/>
      <c r="L105" s="510"/>
      <c r="M105" s="510"/>
      <c r="N105" s="510"/>
      <c r="O105" s="510"/>
      <c r="P105" s="510"/>
      <c r="Q105" s="510"/>
      <c r="R105" s="510"/>
      <c r="S105" s="510"/>
    </row>
    <row r="106" spans="1:19" s="381" customFormat="1" ht="12.75">
      <c r="A106" s="531">
        <f t="shared" si="9"/>
        <v>60</v>
      </c>
      <c r="B106" s="509"/>
      <c r="C106" s="568" t="s">
        <v>454</v>
      </c>
      <c r="E106" s="382"/>
      <c r="F106" s="382"/>
      <c r="G106" s="382"/>
      <c r="H106" s="382"/>
      <c r="I106" s="382"/>
      <c r="J106" s="382"/>
      <c r="K106" s="382"/>
      <c r="L106" s="510"/>
      <c r="M106" s="510"/>
      <c r="N106" s="510"/>
      <c r="O106" s="510"/>
      <c r="P106" s="510"/>
      <c r="Q106" s="510"/>
      <c r="R106" s="510"/>
      <c r="S106" s="510"/>
    </row>
    <row r="107" spans="1:19" s="381" customFormat="1" ht="12.75">
      <c r="A107" s="531">
        <f t="shared" si="9"/>
        <v>61</v>
      </c>
      <c r="B107" s="509"/>
      <c r="C107" s="568" t="s">
        <v>454</v>
      </c>
      <c r="E107" s="382"/>
      <c r="F107" s="382"/>
      <c r="G107" s="382"/>
      <c r="H107" s="382"/>
      <c r="I107" s="382"/>
      <c r="J107" s="382"/>
      <c r="K107" s="382"/>
      <c r="L107" s="510"/>
      <c r="M107" s="510"/>
      <c r="N107" s="510"/>
      <c r="O107" s="510"/>
      <c r="P107" s="510"/>
      <c r="Q107" s="510"/>
      <c r="R107" s="510"/>
      <c r="S107" s="510"/>
    </row>
    <row r="108" spans="1:19" s="381" customFormat="1" ht="12.75">
      <c r="A108" s="531">
        <f t="shared" si="9"/>
        <v>62</v>
      </c>
      <c r="B108" s="509"/>
      <c r="C108" s="568" t="s">
        <v>454</v>
      </c>
      <c r="E108" s="382"/>
      <c r="F108" s="382"/>
      <c r="G108" s="382"/>
      <c r="H108" s="382"/>
      <c r="I108" s="382"/>
      <c r="J108" s="382"/>
      <c r="K108" s="382"/>
      <c r="L108" s="510"/>
      <c r="M108" s="510"/>
      <c r="N108" s="510"/>
      <c r="O108" s="510"/>
      <c r="P108" s="510"/>
      <c r="Q108" s="510"/>
      <c r="R108" s="510"/>
      <c r="S108" s="510"/>
    </row>
    <row r="109" spans="1:19" s="381" customFormat="1" ht="12.75">
      <c r="A109" s="531">
        <f t="shared" si="9"/>
        <v>63</v>
      </c>
      <c r="B109" s="509"/>
      <c r="C109" s="568" t="s">
        <v>454</v>
      </c>
      <c r="E109" s="382"/>
      <c r="F109" s="382"/>
      <c r="G109" s="382"/>
      <c r="H109" s="382"/>
      <c r="I109" s="382"/>
      <c r="J109" s="382"/>
      <c r="K109" s="382"/>
      <c r="L109" s="510"/>
      <c r="M109" s="510"/>
      <c r="N109" s="510"/>
      <c r="O109" s="510"/>
      <c r="P109" s="510"/>
      <c r="Q109" s="510"/>
      <c r="R109" s="510"/>
      <c r="S109" s="510"/>
    </row>
    <row r="110" spans="1:19" s="575" customFormat="1" ht="12.75">
      <c r="A110" s="590"/>
      <c r="B110" s="558"/>
      <c r="C110" s="568" t="s">
        <v>454</v>
      </c>
      <c r="E110" s="595"/>
      <c r="F110" s="595"/>
      <c r="G110" s="595"/>
      <c r="H110" s="595"/>
      <c r="I110" s="595"/>
      <c r="J110" s="595"/>
      <c r="K110" s="592"/>
      <c r="L110" s="593"/>
      <c r="M110" s="593"/>
      <c r="N110" s="593"/>
      <c r="O110" s="593"/>
      <c r="P110" s="593"/>
      <c r="Q110" s="593"/>
      <c r="R110" s="593"/>
      <c r="S110" s="593"/>
    </row>
    <row r="111" spans="1:19" s="381" customFormat="1" ht="12.75">
      <c r="A111" s="531">
        <f>A90+1</f>
        <v>90</v>
      </c>
      <c r="B111" s="509"/>
      <c r="E111" s="383"/>
      <c r="F111" s="383"/>
      <c r="G111" s="383"/>
      <c r="H111" s="383"/>
      <c r="I111" s="383"/>
      <c r="J111" s="383"/>
      <c r="K111" s="383"/>
    </row>
    <row r="112" spans="1:19" s="381" customFormat="1" ht="12.75">
      <c r="A112" s="531">
        <f t="shared" ref="A112:A119" si="10">A111+1</f>
        <v>91</v>
      </c>
      <c r="B112" s="509"/>
      <c r="E112" s="383"/>
      <c r="F112" s="383"/>
      <c r="G112" s="383"/>
      <c r="H112" s="383"/>
      <c r="I112" s="383"/>
      <c r="J112" s="383"/>
      <c r="K112" s="383"/>
    </row>
    <row r="113" spans="1:11" s="381" customFormat="1" ht="15.75">
      <c r="A113" s="531">
        <f t="shared" si="10"/>
        <v>92</v>
      </c>
      <c r="B113" s="606" t="s">
        <v>627</v>
      </c>
      <c r="C113" s="607"/>
      <c r="D113" s="607"/>
      <c r="E113" s="608"/>
      <c r="F113" s="608"/>
      <c r="G113" s="608"/>
      <c r="H113" s="608"/>
      <c r="I113" s="608"/>
      <c r="J113" s="608"/>
      <c r="K113" s="609"/>
    </row>
    <row r="114" spans="1:11" s="381" customFormat="1" ht="12.75">
      <c r="A114" s="531">
        <f t="shared" si="10"/>
        <v>93</v>
      </c>
      <c r="B114" s="413"/>
      <c r="C114" s="509"/>
      <c r="D114" s="509"/>
      <c r="E114" s="504"/>
      <c r="F114" s="504"/>
      <c r="G114" s="504"/>
      <c r="H114" s="504"/>
      <c r="I114" s="504"/>
      <c r="J114" s="504"/>
      <c r="K114" s="610"/>
    </row>
    <row r="115" spans="1:11" s="381" customFormat="1" ht="12.75">
      <c r="A115" s="531">
        <f t="shared" si="10"/>
        <v>94</v>
      </c>
      <c r="B115" s="413"/>
      <c r="C115" s="102"/>
      <c r="D115" s="142"/>
      <c r="E115" s="611" t="s">
        <v>640</v>
      </c>
      <c r="F115" s="130"/>
      <c r="G115" s="611" t="s">
        <v>640</v>
      </c>
      <c r="H115" s="102"/>
      <c r="I115" s="611" t="s">
        <v>640</v>
      </c>
      <c r="J115" s="102"/>
      <c r="K115" s="80"/>
    </row>
    <row r="116" spans="1:11" s="381" customFormat="1" ht="12.75">
      <c r="A116" s="531">
        <f t="shared" si="10"/>
        <v>95</v>
      </c>
      <c r="B116" s="413"/>
      <c r="C116" s="102"/>
      <c r="D116" s="142"/>
      <c r="E116" s="612" t="s">
        <v>641</v>
      </c>
      <c r="F116" s="130"/>
      <c r="G116" s="612" t="s">
        <v>642</v>
      </c>
      <c r="H116" s="102"/>
      <c r="I116" s="612" t="s">
        <v>642</v>
      </c>
      <c r="J116" s="102"/>
      <c r="K116" s="80"/>
    </row>
    <row r="117" spans="1:11" s="381" customFormat="1" ht="12.75">
      <c r="A117" s="531">
        <f t="shared" si="10"/>
        <v>96</v>
      </c>
      <c r="B117" s="413"/>
      <c r="C117" s="102"/>
      <c r="D117" s="142"/>
      <c r="E117" s="164" t="s">
        <v>643</v>
      </c>
      <c r="F117" s="130"/>
      <c r="G117" s="164" t="s">
        <v>644</v>
      </c>
      <c r="H117" s="102"/>
      <c r="I117" s="164" t="s">
        <v>645</v>
      </c>
      <c r="J117" s="102"/>
      <c r="K117" s="80"/>
    </row>
    <row r="118" spans="1:11" s="381" customFormat="1" ht="12.75">
      <c r="A118" s="531">
        <f t="shared" si="10"/>
        <v>97</v>
      </c>
      <c r="B118" s="413"/>
      <c r="C118" s="102"/>
      <c r="D118" s="142"/>
      <c r="E118" s="102"/>
      <c r="F118" s="102"/>
      <c r="G118" s="102"/>
      <c r="H118" s="102"/>
      <c r="I118" s="102"/>
      <c r="J118" s="102"/>
      <c r="K118" s="80"/>
    </row>
    <row r="119" spans="1:11" s="381" customFormat="1" ht="12.75">
      <c r="A119" s="531">
        <f t="shared" si="10"/>
        <v>98</v>
      </c>
      <c r="B119" s="413"/>
      <c r="C119" s="613" t="s">
        <v>646</v>
      </c>
      <c r="D119" s="509"/>
      <c r="E119" s="597" t="s">
        <v>647</v>
      </c>
      <c r="F119" s="556"/>
      <c r="G119" s="597" t="s">
        <v>647</v>
      </c>
      <c r="H119" s="102"/>
      <c r="I119" s="602" t="s">
        <v>648</v>
      </c>
      <c r="J119" s="102"/>
      <c r="K119" s="80"/>
    </row>
    <row r="120" spans="1:11" s="381" customFormat="1" ht="12.75">
      <c r="A120" s="587"/>
      <c r="B120" s="413"/>
      <c r="C120" s="613" t="s">
        <v>649</v>
      </c>
      <c r="D120" s="509"/>
      <c r="E120" s="598" t="s">
        <v>650</v>
      </c>
      <c r="F120" s="556"/>
      <c r="G120" s="597" t="s">
        <v>651</v>
      </c>
      <c r="H120" s="102"/>
      <c r="I120" s="602" t="s">
        <v>652</v>
      </c>
      <c r="J120" s="102"/>
      <c r="K120" s="80"/>
    </row>
    <row r="121" spans="1:11" s="381" customFormat="1" ht="12.75">
      <c r="A121" s="587"/>
      <c r="B121" s="413"/>
      <c r="C121" s="613" t="s">
        <v>653</v>
      </c>
      <c r="D121" s="509"/>
      <c r="E121" s="599" t="s">
        <v>654</v>
      </c>
      <c r="F121" s="556"/>
      <c r="G121" s="599" t="s">
        <v>655</v>
      </c>
      <c r="H121" s="102"/>
      <c r="I121" s="603" t="s">
        <v>656</v>
      </c>
      <c r="J121" s="102"/>
      <c r="K121" s="80"/>
    </row>
    <row r="122" spans="1:11" s="381" customFormat="1" ht="12.75">
      <c r="A122" s="587"/>
      <c r="B122" s="413"/>
      <c r="C122" s="613" t="s">
        <v>657</v>
      </c>
      <c r="D122" s="509"/>
      <c r="E122" s="600">
        <v>20600</v>
      </c>
      <c r="F122" s="556"/>
      <c r="G122" s="600">
        <v>2200</v>
      </c>
      <c r="H122" s="102"/>
      <c r="I122" s="604">
        <v>0</v>
      </c>
      <c r="J122" s="102"/>
      <c r="K122" s="80"/>
    </row>
    <row r="123" spans="1:11" s="381" customFormat="1" ht="14.25">
      <c r="A123" s="587"/>
      <c r="B123" s="413"/>
      <c r="C123" s="130" t="s">
        <v>658</v>
      </c>
      <c r="D123" s="509"/>
      <c r="E123" s="600">
        <v>59000</v>
      </c>
      <c r="F123" s="556"/>
      <c r="G123" s="600">
        <v>60000</v>
      </c>
      <c r="H123" s="102"/>
      <c r="I123" s="604">
        <f>89756-9923</f>
        <v>79833</v>
      </c>
      <c r="J123" s="151"/>
      <c r="K123" s="80"/>
    </row>
    <row r="124" spans="1:11" s="381" customFormat="1" ht="12.75">
      <c r="A124" s="587"/>
      <c r="B124" s="413"/>
      <c r="C124" s="130" t="s">
        <v>659</v>
      </c>
      <c r="D124" s="509"/>
      <c r="E124" s="600">
        <v>15000</v>
      </c>
      <c r="F124" s="556"/>
      <c r="G124" s="600">
        <v>15000</v>
      </c>
      <c r="H124" s="102"/>
      <c r="I124" s="604">
        <v>11150</v>
      </c>
      <c r="J124" s="102"/>
      <c r="K124" s="80"/>
    </row>
    <row r="125" spans="1:11" s="381" customFormat="1" ht="12.75">
      <c r="A125" s="587"/>
      <c r="B125" s="413"/>
      <c r="C125" s="130" t="s">
        <v>660</v>
      </c>
      <c r="D125" s="509"/>
      <c r="E125" s="601">
        <v>4500</v>
      </c>
      <c r="F125" s="556"/>
      <c r="G125" s="600"/>
      <c r="H125" s="102"/>
      <c r="I125" s="604">
        <v>21200</v>
      </c>
      <c r="J125" s="102"/>
      <c r="K125" s="80"/>
    </row>
    <row r="126" spans="1:11" s="381" customFormat="1" ht="12.75">
      <c r="A126" s="587"/>
      <c r="B126" s="413"/>
      <c r="C126" s="130" t="s">
        <v>661</v>
      </c>
      <c r="D126" s="509"/>
      <c r="E126" s="600"/>
      <c r="F126" s="556"/>
      <c r="G126" s="601" t="s">
        <v>662</v>
      </c>
      <c r="H126" s="102"/>
      <c r="I126" s="605">
        <v>0</v>
      </c>
      <c r="J126" s="102"/>
      <c r="K126" s="80"/>
    </row>
    <row r="127" spans="1:11" s="381" customFormat="1" ht="14.25">
      <c r="A127" s="587"/>
      <c r="B127" s="413"/>
      <c r="C127" s="130" t="s">
        <v>663</v>
      </c>
      <c r="D127" s="509"/>
      <c r="E127" s="600">
        <v>11000</v>
      </c>
      <c r="F127" s="556"/>
      <c r="G127" s="601">
        <v>22000</v>
      </c>
      <c r="H127" s="102"/>
      <c r="I127" s="605">
        <f>53700/3</f>
        <v>17900</v>
      </c>
      <c r="J127" s="102"/>
      <c r="K127" s="80"/>
    </row>
    <row r="128" spans="1:11" s="381" customFormat="1" ht="12.75">
      <c r="A128" s="587"/>
      <c r="B128" s="413"/>
      <c r="C128" s="130" t="s">
        <v>664</v>
      </c>
      <c r="D128" s="509"/>
      <c r="E128" s="600">
        <v>1000</v>
      </c>
      <c r="F128" s="556"/>
      <c r="G128" s="601">
        <v>1000</v>
      </c>
      <c r="H128" s="102"/>
      <c r="I128" s="605">
        <v>250</v>
      </c>
      <c r="J128" s="102"/>
      <c r="K128" s="80"/>
    </row>
    <row r="129" spans="1:11" s="381" customFormat="1" ht="12.75">
      <c r="A129" s="587"/>
      <c r="B129" s="413"/>
      <c r="C129" s="102"/>
      <c r="D129" s="509"/>
      <c r="E129" s="151"/>
      <c r="F129" s="102"/>
      <c r="G129" s="102"/>
      <c r="H129" s="102"/>
      <c r="I129" s="102"/>
      <c r="J129" s="102"/>
      <c r="K129" s="80"/>
    </row>
    <row r="130" spans="1:11" s="381" customFormat="1" ht="12.75">
      <c r="A130" s="587"/>
      <c r="B130" s="413"/>
      <c r="C130" s="130" t="s">
        <v>665</v>
      </c>
      <c r="D130" s="509"/>
      <c r="E130" s="614" t="s">
        <v>666</v>
      </c>
      <c r="F130" s="102"/>
      <c r="G130" s="615" t="s">
        <v>667</v>
      </c>
      <c r="H130" s="102"/>
      <c r="I130" s="615" t="s">
        <v>668</v>
      </c>
      <c r="J130" s="102"/>
      <c r="K130" s="80"/>
    </row>
    <row r="131" spans="1:11" s="381" customFormat="1" ht="12.75">
      <c r="A131" s="587"/>
      <c r="B131" s="413"/>
      <c r="C131" s="102"/>
      <c r="D131" s="509"/>
      <c r="E131" s="151"/>
      <c r="F131" s="102"/>
      <c r="G131" s="102"/>
      <c r="H131" s="102"/>
      <c r="I131" s="102"/>
      <c r="J131" s="102"/>
      <c r="K131" s="80"/>
    </row>
    <row r="132" spans="1:11" s="381" customFormat="1" ht="12.75">
      <c r="A132" s="587"/>
      <c r="B132" s="413"/>
      <c r="C132" s="102" t="s">
        <v>669</v>
      </c>
      <c r="D132" s="509"/>
      <c r="E132" s="616">
        <f>+(1134053-255000)/255000</f>
        <v>3.4472666666666667</v>
      </c>
      <c r="F132" s="102"/>
      <c r="G132" s="616">
        <f>909772/240000</f>
        <v>3.7907166666666665</v>
      </c>
      <c r="H132" s="102"/>
      <c r="I132" s="616">
        <f>(908777-255000)/255000</f>
        <v>2.5638313725490196</v>
      </c>
      <c r="J132" s="102" t="s">
        <v>670</v>
      </c>
      <c r="K132" s="80"/>
    </row>
    <row r="133" spans="1:11" s="381" customFormat="1" ht="12.75">
      <c r="A133" s="587"/>
      <c r="B133" s="413"/>
      <c r="C133" s="102"/>
      <c r="D133" s="509"/>
      <c r="E133" s="151"/>
      <c r="F133" s="102"/>
      <c r="G133" s="102"/>
      <c r="H133" s="102"/>
      <c r="I133" s="616">
        <f>(908777-255000-I123)/255000</f>
        <v>2.2507607843137256</v>
      </c>
      <c r="J133" s="102" t="s">
        <v>671</v>
      </c>
      <c r="K133" s="80"/>
    </row>
    <row r="134" spans="1:11" s="381" customFormat="1" ht="12.75">
      <c r="A134" s="587"/>
      <c r="B134" s="413"/>
      <c r="C134" s="102" t="s">
        <v>672</v>
      </c>
      <c r="D134" s="509"/>
      <c r="E134" s="556" t="s">
        <v>676</v>
      </c>
      <c r="F134" s="102"/>
      <c r="G134" s="102"/>
      <c r="H134" s="102"/>
      <c r="I134" s="102"/>
      <c r="J134" s="102"/>
      <c r="K134" s="80"/>
    </row>
    <row r="135" spans="1:11" s="381" customFormat="1" ht="12.75">
      <c r="A135" s="587"/>
      <c r="B135" s="413"/>
      <c r="C135" s="102" t="s">
        <v>1291</v>
      </c>
      <c r="D135" s="102"/>
      <c r="E135" s="102"/>
      <c r="F135" s="102"/>
      <c r="G135" s="102"/>
      <c r="H135" s="102"/>
      <c r="I135" s="102"/>
      <c r="J135" s="102"/>
      <c r="K135" s="80"/>
    </row>
    <row r="136" spans="1:11" s="381" customFormat="1" ht="12.75">
      <c r="A136" s="587"/>
      <c r="B136" s="413"/>
      <c r="C136" s="102" t="s">
        <v>677</v>
      </c>
      <c r="D136" s="102"/>
      <c r="E136" s="102"/>
      <c r="F136" s="102"/>
      <c r="G136" s="102"/>
      <c r="H136" s="102"/>
      <c r="I136" s="102"/>
      <c r="J136" s="102"/>
      <c r="K136" s="80"/>
    </row>
    <row r="137" spans="1:11" s="381" customFormat="1" ht="12.75">
      <c r="A137" s="587"/>
      <c r="B137" s="538"/>
      <c r="C137" s="617" t="s">
        <v>678</v>
      </c>
      <c r="D137" s="617"/>
      <c r="E137" s="617"/>
      <c r="F137" s="617"/>
      <c r="G137" s="617"/>
      <c r="H137" s="617"/>
      <c r="I137" s="617"/>
      <c r="J137" s="617"/>
      <c r="K137" s="618"/>
    </row>
    <row r="138" spans="1:11" s="381" customFormat="1" ht="12.75">
      <c r="A138" s="587"/>
      <c r="B138" s="509"/>
      <c r="E138" s="383"/>
      <c r="F138" s="383"/>
      <c r="G138" s="383"/>
      <c r="H138" s="383"/>
      <c r="I138" s="383"/>
      <c r="J138" s="383"/>
      <c r="K138" s="383"/>
    </row>
    <row r="139" spans="1:11" s="381" customFormat="1" ht="12.75">
      <c r="A139" s="587"/>
      <c r="B139" s="509"/>
      <c r="E139" s="383"/>
      <c r="F139" s="383"/>
      <c r="G139" s="383"/>
      <c r="H139" s="383"/>
      <c r="I139" s="383"/>
      <c r="J139" s="383"/>
      <c r="K139" s="383"/>
    </row>
    <row r="140" spans="1:11" s="381" customFormat="1" ht="12.75">
      <c r="A140" s="587"/>
      <c r="B140" s="509"/>
      <c r="E140" s="383"/>
      <c r="F140" s="383"/>
      <c r="G140" s="383"/>
      <c r="H140" s="383"/>
      <c r="I140" s="383"/>
      <c r="J140" s="383"/>
      <c r="K140" s="383"/>
    </row>
    <row r="141" spans="1:11" s="381" customFormat="1" ht="12.75">
      <c r="A141" s="587"/>
      <c r="B141" s="509"/>
      <c r="E141" s="383"/>
      <c r="F141" s="383"/>
      <c r="G141" s="383"/>
      <c r="H141" s="383"/>
      <c r="I141" s="383"/>
      <c r="J141" s="383"/>
      <c r="K141" s="383"/>
    </row>
    <row r="142" spans="1:11" s="381" customFormat="1" ht="12.75">
      <c r="A142" s="587"/>
      <c r="B142" s="509"/>
      <c r="E142" s="383"/>
      <c r="F142" s="383"/>
      <c r="G142" s="383"/>
      <c r="H142" s="383"/>
      <c r="I142" s="383"/>
      <c r="J142" s="383"/>
      <c r="K142" s="383"/>
    </row>
    <row r="143" spans="1:11" s="381" customFormat="1" ht="12.75">
      <c r="A143" s="587"/>
      <c r="B143" s="509"/>
      <c r="E143" s="383"/>
      <c r="F143" s="383"/>
      <c r="G143" s="383"/>
      <c r="H143" s="383"/>
      <c r="I143" s="383"/>
      <c r="J143" s="383"/>
      <c r="K143" s="383"/>
    </row>
    <row r="144" spans="1:11" s="381" customFormat="1" ht="12.75">
      <c r="A144" s="587"/>
      <c r="B144" s="509"/>
      <c r="E144" s="383"/>
      <c r="F144" s="383"/>
      <c r="G144" s="383"/>
      <c r="H144" s="383"/>
      <c r="I144" s="383"/>
      <c r="J144" s="383"/>
      <c r="K144" s="383"/>
    </row>
    <row r="145" spans="1:11" s="381" customFormat="1" ht="12.75">
      <c r="A145" s="587"/>
      <c r="B145" s="509"/>
      <c r="E145" s="383"/>
      <c r="F145" s="383"/>
      <c r="G145" s="383"/>
      <c r="H145" s="383"/>
      <c r="I145" s="383"/>
      <c r="J145" s="383"/>
      <c r="K145" s="383"/>
    </row>
  </sheetData>
  <pageMargins left="0.75" right="0.75" top="1" bottom="1" header="0.5" footer="0.5"/>
  <pageSetup scale="36" orientation="portrait" r:id="rId1"/>
  <headerFooter alignWithMargins="0">
    <oddFooter>&amp;L&amp;D&amp;CPage ___&amp;R&amp;F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outlinePr applyStyles="1"/>
    <pageSetUpPr fitToPage="1"/>
  </sheetPr>
  <dimension ref="A1:V297"/>
  <sheetViews>
    <sheetView showGridLines="0" topLeftCell="J18" zoomScale="80" workbookViewId="0">
      <selection activeCell="P25" sqref="P25"/>
    </sheetView>
  </sheetViews>
  <sheetFormatPr defaultRowHeight="12.75" outlineLevelRow="2"/>
  <cols>
    <col min="1" max="1" width="6.85546875" style="66" customWidth="1"/>
    <col min="2" max="2" width="43" style="518" customWidth="1"/>
    <col min="3" max="3" width="3.28515625" style="66" customWidth="1"/>
    <col min="4" max="4" width="15.140625" style="66" customWidth="1"/>
    <col min="5" max="5" width="11.42578125" style="324" bestFit="1" customWidth="1"/>
    <col min="6" max="6" width="11.5703125" style="323" customWidth="1"/>
    <col min="7" max="7" width="5.7109375" style="111" customWidth="1"/>
    <col min="8" max="8" width="54.42578125" style="66" customWidth="1"/>
    <col min="9" max="10" width="15.7109375" style="145" customWidth="1"/>
    <col min="11" max="11" width="14.42578125" style="66" customWidth="1"/>
    <col min="12" max="12" width="12.7109375" style="66" customWidth="1"/>
    <col min="13" max="13" width="2.5703125" style="66" customWidth="1"/>
    <col min="14" max="14" width="10.140625" style="67" customWidth="1"/>
    <col min="15" max="15" width="3.42578125" style="67" customWidth="1"/>
    <col min="16" max="16" width="13" customWidth="1"/>
    <col min="18" max="18" width="3.42578125" bestFit="1" customWidth="1"/>
    <col min="19" max="19" width="13.7109375" bestFit="1" customWidth="1"/>
    <col min="21" max="21" width="3.42578125" bestFit="1" customWidth="1"/>
    <col min="22" max="22" width="13.7109375" style="66" bestFit="1" customWidth="1"/>
    <col min="23" max="16384" width="9.140625" style="66"/>
  </cols>
  <sheetData>
    <row r="1" spans="1:22" s="330" customFormat="1" ht="26.25" customHeight="1">
      <c r="A1" s="328" t="str">
        <f>Summary!$A$1</f>
        <v>AES Corp, Dallas, TX (640 MW)</v>
      </c>
      <c r="B1" s="514"/>
      <c r="C1" s="339"/>
      <c r="D1" s="340"/>
      <c r="E1" s="341"/>
      <c r="F1" s="368"/>
      <c r="G1" s="111"/>
      <c r="H1" s="329"/>
      <c r="I1" s="342"/>
      <c r="J1" s="342"/>
      <c r="K1" s="340"/>
      <c r="L1" s="340"/>
      <c r="N1" s="331"/>
      <c r="O1" s="331"/>
    </row>
    <row r="2" spans="1:22" s="330" customFormat="1" ht="26.25" customHeight="1">
      <c r="A2" s="333" t="s">
        <v>1368</v>
      </c>
      <c r="B2" s="515"/>
      <c r="C2" s="334"/>
      <c r="D2" s="340"/>
      <c r="E2" s="341"/>
      <c r="F2" s="368"/>
      <c r="G2" s="111"/>
      <c r="H2" s="332"/>
      <c r="I2" s="342"/>
      <c r="J2" s="342"/>
      <c r="K2" s="340"/>
      <c r="L2" s="340"/>
    </row>
    <row r="3" spans="1:22" s="330" customFormat="1" ht="15.75" customHeight="1">
      <c r="A3" s="333"/>
      <c r="B3" s="515"/>
      <c r="C3" s="334"/>
      <c r="D3" s="340"/>
      <c r="E3" s="341"/>
      <c r="F3" s="368"/>
      <c r="G3" s="111"/>
      <c r="H3" s="332"/>
      <c r="I3" s="342"/>
      <c r="J3" s="342"/>
      <c r="K3" s="340"/>
      <c r="L3" s="340"/>
    </row>
    <row r="4" spans="1:22" s="330" customFormat="1" ht="15.75" customHeight="1">
      <c r="B4" s="515"/>
      <c r="C4" s="334"/>
      <c r="D4" s="340"/>
      <c r="E4" s="341"/>
      <c r="F4" s="368"/>
      <c r="G4" s="111"/>
      <c r="H4" s="332"/>
      <c r="I4" s="342"/>
      <c r="J4" s="342"/>
      <c r="K4" s="340"/>
      <c r="L4" s="340"/>
    </row>
    <row r="5" spans="1:22" s="330" customFormat="1" ht="15.75" customHeight="1">
      <c r="B5" s="520" t="s">
        <v>301</v>
      </c>
      <c r="C5" s="488"/>
      <c r="D5" s="726" t="str">
        <f>$P$7</f>
        <v>GE 7FA</v>
      </c>
      <c r="E5" s="726" t="str">
        <f>$S$7</f>
        <v>None</v>
      </c>
      <c r="F5" s="727" t="str">
        <f>$V$7</f>
        <v>None</v>
      </c>
      <c r="G5" s="273"/>
      <c r="H5" s="332"/>
      <c r="I5" s="342"/>
      <c r="J5" s="342"/>
      <c r="K5" s="340"/>
      <c r="L5" s="340"/>
    </row>
    <row r="6" spans="1:22" s="330" customFormat="1" ht="15" customHeight="1" thickBot="1">
      <c r="A6" s="519"/>
      <c r="B6" s="515"/>
      <c r="C6" s="334"/>
      <c r="D6" s="340"/>
      <c r="E6" s="341"/>
      <c r="F6" s="368"/>
      <c r="G6" s="111"/>
      <c r="H6" s="332"/>
      <c r="I6" s="342"/>
      <c r="J6" s="342"/>
      <c r="K6" s="340"/>
      <c r="L6" s="340"/>
    </row>
    <row r="7" spans="1:22" s="112" customFormat="1" ht="23.25" customHeight="1" thickBot="1">
      <c r="A7" s="343" t="s">
        <v>613</v>
      </c>
      <c r="B7" s="516"/>
      <c r="C7" s="344"/>
      <c r="D7" s="306" t="s">
        <v>615</v>
      </c>
      <c r="E7" s="335" t="s">
        <v>1333</v>
      </c>
      <c r="F7" s="369" t="s">
        <v>773</v>
      </c>
      <c r="G7" s="132"/>
      <c r="H7" s="343" t="s">
        <v>614</v>
      </c>
      <c r="I7" s="336" t="s">
        <v>1334</v>
      </c>
      <c r="J7" s="336" t="s">
        <v>1335</v>
      </c>
      <c r="K7" s="168" t="s">
        <v>195</v>
      </c>
      <c r="L7" s="168" t="s">
        <v>435</v>
      </c>
      <c r="N7" s="473"/>
      <c r="O7" s="474">
        <v>3</v>
      </c>
      <c r="P7" s="112" t="str">
        <f>INDEX(P8:P22,O7,1)</f>
        <v>GE 7FA</v>
      </c>
      <c r="R7" s="474">
        <v>6</v>
      </c>
      <c r="S7" s="112" t="str">
        <f>INDEX(S8:S22,R7,1)</f>
        <v>None</v>
      </c>
      <c r="U7" s="474">
        <v>6</v>
      </c>
      <c r="V7" s="112" t="str">
        <f>INDEX(V8:V22,U7,1)</f>
        <v>None</v>
      </c>
    </row>
    <row r="8" spans="1:22" s="352" customFormat="1" outlineLevel="1">
      <c r="A8" s="345" t="s">
        <v>1370</v>
      </c>
      <c r="B8" s="346"/>
      <c r="C8" s="346"/>
      <c r="D8" s="347"/>
      <c r="E8" s="348"/>
      <c r="F8" s="370"/>
      <c r="G8" s="111"/>
      <c r="H8" s="349"/>
      <c r="I8" s="327">
        <f>IF(D12=0,0,I12/$D$12)</f>
        <v>1</v>
      </c>
      <c r="J8" s="327">
        <f>1-I8</f>
        <v>0</v>
      </c>
      <c r="K8" s="350">
        <f>IF(D12=0,0,K12/D12)</f>
        <v>1</v>
      </c>
      <c r="L8" s="351">
        <f>1-K8</f>
        <v>0</v>
      </c>
      <c r="O8" s="631">
        <v>1</v>
      </c>
      <c r="P8" s="632" t="str">
        <f>'Plant Configuration'!$E$5</f>
        <v xml:space="preserve"> GE LM6000</v>
      </c>
      <c r="R8" s="631">
        <v>1</v>
      </c>
      <c r="S8" s="632" t="str">
        <f>'Plant Configuration'!$E$5</f>
        <v xml:space="preserve"> GE LM6000</v>
      </c>
      <c r="U8" s="631">
        <v>1</v>
      </c>
      <c r="V8" s="632" t="str">
        <f>'Plant Configuration'!$E$5</f>
        <v xml:space="preserve"> GE LM6000</v>
      </c>
    </row>
    <row r="9" spans="1:22" outlineLevel="2">
      <c r="B9" s="517" t="s">
        <v>679</v>
      </c>
      <c r="C9" s="320"/>
      <c r="D9" s="277">
        <f>Plant_Staff!L47/1000</f>
        <v>0</v>
      </c>
      <c r="E9" s="297">
        <v>0</v>
      </c>
      <c r="F9" s="371">
        <v>0</v>
      </c>
      <c r="H9" s="68" t="s">
        <v>59</v>
      </c>
      <c r="I9" s="325">
        <f>D9-J9</f>
        <v>0</v>
      </c>
      <c r="J9" s="325">
        <f>E9*D9</f>
        <v>0</v>
      </c>
      <c r="K9" s="293">
        <f>F9*D9</f>
        <v>0</v>
      </c>
      <c r="L9" s="293">
        <f>D9-K9</f>
        <v>0</v>
      </c>
      <c r="N9" s="66"/>
      <c r="O9" s="68">
        <f>O8+1</f>
        <v>2</v>
      </c>
      <c r="P9" s="633" t="str">
        <f>'Plant Configuration'!$F$5</f>
        <v>GE 7EA</v>
      </c>
      <c r="R9" s="68">
        <f>R8+1</f>
        <v>2</v>
      </c>
      <c r="S9" s="633" t="str">
        <f>'Plant Configuration'!$F$5</f>
        <v>GE 7EA</v>
      </c>
      <c r="U9" s="68">
        <f>U8+1</f>
        <v>2</v>
      </c>
      <c r="V9" s="633" t="str">
        <f>'Plant Configuration'!$F$5</f>
        <v>GE 7EA</v>
      </c>
    </row>
    <row r="10" spans="1:22" outlineLevel="2">
      <c r="B10" s="517" t="s">
        <v>680</v>
      </c>
      <c r="C10" s="320"/>
      <c r="D10" s="277">
        <f>Plant_Staff!M47/1000</f>
        <v>1451.918666</v>
      </c>
      <c r="E10" s="297">
        <v>0</v>
      </c>
      <c r="F10" s="371">
        <v>1</v>
      </c>
      <c r="H10" s="68" t="s">
        <v>59</v>
      </c>
      <c r="I10" s="325">
        <f>D10-J10</f>
        <v>1451.918666</v>
      </c>
      <c r="J10" s="325">
        <f>E10*D10</f>
        <v>0</v>
      </c>
      <c r="K10" s="293">
        <f>F10*D10</f>
        <v>1451.918666</v>
      </c>
      <c r="L10" s="293">
        <f>D10-K10</f>
        <v>0</v>
      </c>
      <c r="N10" s="66"/>
      <c r="O10" s="68">
        <f t="shared" ref="O10:O22" si="0">O9+1</f>
        <v>3</v>
      </c>
      <c r="P10" s="633" t="str">
        <f>'Plant Configuration'!$G$5</f>
        <v>GE 7FA</v>
      </c>
      <c r="R10" s="68">
        <f t="shared" ref="R10:R22" si="1">R9+1</f>
        <v>3</v>
      </c>
      <c r="S10" s="633" t="str">
        <f>'Plant Configuration'!$G$5</f>
        <v>GE 7FA</v>
      </c>
      <c r="U10" s="68">
        <f t="shared" ref="U10:U22" si="2">U9+1</f>
        <v>3</v>
      </c>
      <c r="V10" s="633" t="str">
        <f>'Plant Configuration'!$G$5</f>
        <v>GE 7FA</v>
      </c>
    </row>
    <row r="11" spans="1:22" outlineLevel="2">
      <c r="A11" s="68"/>
      <c r="B11" s="562"/>
      <c r="C11" s="320"/>
      <c r="D11" s="277"/>
      <c r="E11" s="297"/>
      <c r="F11" s="371"/>
      <c r="H11" s="68"/>
      <c r="I11" s="325">
        <f>D11-J11</f>
        <v>0</v>
      </c>
      <c r="J11" s="325">
        <f>E11*D11</f>
        <v>0</v>
      </c>
      <c r="K11" s="293">
        <f>F11*D11</f>
        <v>0</v>
      </c>
      <c r="L11" s="293">
        <f>D11-K11</f>
        <v>0</v>
      </c>
      <c r="N11" s="66"/>
      <c r="O11" s="68">
        <f t="shared" si="0"/>
        <v>4</v>
      </c>
      <c r="P11" s="633" t="str">
        <f>'Plant Configuration'!$H$5</f>
        <v>W501D5</v>
      </c>
      <c r="R11" s="68">
        <f t="shared" si="1"/>
        <v>4</v>
      </c>
      <c r="S11" s="633" t="str">
        <f>'Plant Configuration'!$H$5</f>
        <v>W501D5</v>
      </c>
      <c r="U11" s="68">
        <f t="shared" si="2"/>
        <v>4</v>
      </c>
      <c r="V11" s="633" t="str">
        <f>'Plant Configuration'!$H$5</f>
        <v>W501D5</v>
      </c>
    </row>
    <row r="12" spans="1:22" s="352" customFormat="1" outlineLevel="1">
      <c r="A12" s="68"/>
      <c r="B12" s="565" t="s">
        <v>1401</v>
      </c>
      <c r="D12" s="353">
        <f>SUBTOTAL(9,D9:D11)</f>
        <v>1451.918666</v>
      </c>
      <c r="E12" s="354"/>
      <c r="F12" s="372"/>
      <c r="G12" s="111"/>
      <c r="H12" s="68" t="s">
        <v>681</v>
      </c>
      <c r="I12" s="353">
        <f>SUBTOTAL(9,I9:I11)</f>
        <v>1451.918666</v>
      </c>
      <c r="J12" s="353">
        <f>SUBTOTAL(9,J9:J11)</f>
        <v>0</v>
      </c>
      <c r="K12" s="353">
        <f>SUBTOTAL(9,K9:K11)</f>
        <v>1451.918666</v>
      </c>
      <c r="L12" s="353">
        <f>SUBTOTAL(9,L9:L11)</f>
        <v>0</v>
      </c>
      <c r="O12" s="68">
        <f t="shared" si="0"/>
        <v>5</v>
      </c>
      <c r="P12" s="633" t="str">
        <f>'Plant Configuration'!$I$5</f>
        <v>W501D5A</v>
      </c>
      <c r="R12" s="68">
        <f t="shared" si="1"/>
        <v>5</v>
      </c>
      <c r="S12" s="633" t="str">
        <f>'Plant Configuration'!$I$5</f>
        <v>W501D5A</v>
      </c>
      <c r="U12" s="68">
        <f t="shared" si="2"/>
        <v>5</v>
      </c>
      <c r="V12" s="633" t="str">
        <f>'Plant Configuration'!$I$5</f>
        <v>W501D5A</v>
      </c>
    </row>
    <row r="13" spans="1:22" s="352" customFormat="1" outlineLevel="1">
      <c r="A13" s="355" t="s">
        <v>76</v>
      </c>
      <c r="B13" s="563"/>
      <c r="C13" s="356"/>
      <c r="D13" s="347"/>
      <c r="E13" s="348"/>
      <c r="F13" s="370"/>
      <c r="G13" s="111"/>
      <c r="H13" s="357"/>
      <c r="I13" s="327">
        <f>IF(D22=0,0,I22/D22)</f>
        <v>1</v>
      </c>
      <c r="J13" s="327">
        <f>1-I13</f>
        <v>0</v>
      </c>
      <c r="K13" s="350">
        <f>IF(D22=0,0,K22/D22)</f>
        <v>1</v>
      </c>
      <c r="L13" s="350">
        <f>1-K13</f>
        <v>0</v>
      </c>
      <c r="O13" s="68">
        <f t="shared" si="0"/>
        <v>6</v>
      </c>
      <c r="P13" s="633" t="str">
        <f>'Plant Configuration'!$J$5</f>
        <v>None</v>
      </c>
      <c r="R13" s="68">
        <f t="shared" si="1"/>
        <v>6</v>
      </c>
      <c r="S13" s="633" t="str">
        <f>'Plant Configuration'!$J$5</f>
        <v>None</v>
      </c>
      <c r="U13" s="68">
        <f t="shared" si="2"/>
        <v>6</v>
      </c>
      <c r="V13" s="633" t="str">
        <f>'Plant Configuration'!$J$5</f>
        <v>None</v>
      </c>
    </row>
    <row r="14" spans="1:22" outlineLevel="2">
      <c r="A14" s="68"/>
      <c r="B14" s="562" t="str">
        <f>'Plant Configuration'!C53</f>
        <v>Travel Expenses/Overtime Meals</v>
      </c>
      <c r="C14" s="54"/>
      <c r="D14" s="524">
        <f>IF($O$7=6,0,HLOOKUP($D$5,Plant_Configuration,'Plant Configuration'!A53,FALSE))+IF($R$7=6,0,HLOOKUP($E$5,Plant_Configuration,'Plant Configuration'!A53,FALSE))+IF($U$7=6,0,HLOOKUP($F$5,Plant_Configuration,'Plant Configuration'!A53,FALSE))</f>
        <v>4500</v>
      </c>
      <c r="E14" s="297">
        <v>0</v>
      </c>
      <c r="F14" s="371">
        <v>1</v>
      </c>
      <c r="H14" s="68" t="s">
        <v>876</v>
      </c>
      <c r="I14" s="325">
        <f t="shared" ref="I14:I21" si="3">D14-J14</f>
        <v>4500</v>
      </c>
      <c r="J14" s="325">
        <f t="shared" ref="J14:J21" si="4">E14*D14</f>
        <v>0</v>
      </c>
      <c r="K14" s="293">
        <f t="shared" ref="K14:K20" si="5">F14*D14</f>
        <v>4500</v>
      </c>
      <c r="L14" s="293">
        <f t="shared" ref="L14:L20" si="6">D14-K14</f>
        <v>0</v>
      </c>
      <c r="N14" s="66"/>
      <c r="O14" s="68">
        <f t="shared" si="0"/>
        <v>7</v>
      </c>
      <c r="P14" s="633" t="str">
        <f>'Plant Configuration'!$K$5</f>
        <v>GE 6B</v>
      </c>
      <c r="R14" s="68">
        <f t="shared" si="1"/>
        <v>7</v>
      </c>
      <c r="S14" s="633" t="str">
        <f>'Plant Configuration'!$K$5</f>
        <v>GE 6B</v>
      </c>
      <c r="U14" s="68">
        <f t="shared" si="2"/>
        <v>7</v>
      </c>
      <c r="V14" s="633" t="str">
        <f>'Plant Configuration'!$K$5</f>
        <v>GE 6B</v>
      </c>
    </row>
    <row r="15" spans="1:22" outlineLevel="2">
      <c r="A15" s="68"/>
      <c r="B15" s="562" t="str">
        <f>'Plant Configuration'!C54</f>
        <v>Conferences/Training</v>
      </c>
      <c r="C15" s="54"/>
      <c r="D15" s="524">
        <f>IF($O$7=6,0,HLOOKUP($D$5,Plant_Configuration,'Plant Configuration'!A54,FALSE))+IF($R$7=6,0,HLOOKUP($E$5,Plant_Configuration,'Plant Configuration'!A54,FALSE))+IF($U$7=6,0,HLOOKUP($F$5,Plant_Configuration,'Plant Configuration'!A54,FALSE))</f>
        <v>5727.272727272727</v>
      </c>
      <c r="E15" s="297">
        <v>0</v>
      </c>
      <c r="F15" s="371">
        <v>1</v>
      </c>
      <c r="H15" s="68" t="s">
        <v>877</v>
      </c>
      <c r="I15" s="325">
        <f t="shared" si="3"/>
        <v>5727.272727272727</v>
      </c>
      <c r="J15" s="325">
        <f t="shared" si="4"/>
        <v>0</v>
      </c>
      <c r="K15" s="293">
        <f t="shared" si="5"/>
        <v>5727.272727272727</v>
      </c>
      <c r="L15" s="293">
        <f t="shared" si="6"/>
        <v>0</v>
      </c>
      <c r="N15" s="66"/>
      <c r="O15" s="68">
        <f t="shared" si="0"/>
        <v>8</v>
      </c>
      <c r="P15" s="633" t="str">
        <f>'Plant Configuration'!$L$5</f>
        <v>BOILERS</v>
      </c>
      <c r="R15" s="68">
        <f t="shared" si="1"/>
        <v>8</v>
      </c>
      <c r="S15" s="633" t="str">
        <f>'Plant Configuration'!$L$5</f>
        <v>BOILERS</v>
      </c>
      <c r="U15" s="68">
        <f t="shared" si="2"/>
        <v>8</v>
      </c>
      <c r="V15" s="633" t="str">
        <f>'Plant Configuration'!$L$5</f>
        <v>BOILERS</v>
      </c>
    </row>
    <row r="16" spans="1:22" outlineLevel="2">
      <c r="A16" s="68"/>
      <c r="B16" s="562" t="str">
        <f>'Plant Configuration'!C55</f>
        <v>Employees Expense</v>
      </c>
      <c r="C16" s="54"/>
      <c r="D16" s="524">
        <f>IF($O$7=6,0,HLOOKUP($D$5,Plant_Configuration,'Plant Configuration'!A55,FALSE))+IF($R$7=6,0,HLOOKUP($E$5,Plant_Configuration,'Plant Configuration'!A55,FALSE))+IF($U$7=6,0,HLOOKUP($F$5,Plant_Configuration,'Plant Configuration'!A55,FALSE))</f>
        <v>3409.090909090909</v>
      </c>
      <c r="E16" s="297">
        <v>0</v>
      </c>
      <c r="F16" s="371">
        <v>1</v>
      </c>
      <c r="H16" s="68" t="s">
        <v>878</v>
      </c>
      <c r="I16" s="325">
        <f t="shared" si="3"/>
        <v>3409.090909090909</v>
      </c>
      <c r="J16" s="325">
        <f t="shared" si="4"/>
        <v>0</v>
      </c>
      <c r="K16" s="293">
        <f t="shared" si="5"/>
        <v>3409.090909090909</v>
      </c>
      <c r="L16" s="293">
        <f t="shared" si="6"/>
        <v>0</v>
      </c>
      <c r="N16" s="66"/>
      <c r="O16" s="68">
        <f t="shared" si="0"/>
        <v>9</v>
      </c>
      <c r="P16" s="633">
        <f>'Plant Configuration'!$N$5</f>
        <v>0</v>
      </c>
      <c r="R16" s="68">
        <f t="shared" si="1"/>
        <v>9</v>
      </c>
      <c r="S16" s="633">
        <f>'Plant Configuration'!$N$5</f>
        <v>0</v>
      </c>
      <c r="U16" s="68">
        <f t="shared" si="2"/>
        <v>9</v>
      </c>
      <c r="V16" s="633">
        <f>'Plant Configuration'!$N$5</f>
        <v>0</v>
      </c>
    </row>
    <row r="17" spans="1:22" outlineLevel="2">
      <c r="A17" s="68"/>
      <c r="B17" s="562" t="str">
        <f>'Plant Configuration'!C56</f>
        <v>Interviews/Relocations</v>
      </c>
      <c r="C17" s="54"/>
      <c r="D17" s="524">
        <f>IF($O$7=6,0,HLOOKUP($D$5,Plant_Configuration,'Plant Configuration'!A56,FALSE))+IF($R$7=6,0,HLOOKUP($E$5,Plant_Configuration,'Plant Configuration'!A56,FALSE))+IF($U$7=6,0,HLOOKUP($F$5,Plant_Configuration,'Plant Configuration'!A56,FALSE))</f>
        <v>3750</v>
      </c>
      <c r="E17" s="297">
        <v>0</v>
      </c>
      <c r="F17" s="371">
        <v>1</v>
      </c>
      <c r="H17" s="68"/>
      <c r="I17" s="325">
        <f t="shared" si="3"/>
        <v>3750</v>
      </c>
      <c r="J17" s="325">
        <f t="shared" si="4"/>
        <v>0</v>
      </c>
      <c r="K17" s="293">
        <f t="shared" si="5"/>
        <v>3750</v>
      </c>
      <c r="L17" s="293">
        <f t="shared" si="6"/>
        <v>0</v>
      </c>
      <c r="N17" s="66"/>
      <c r="O17" s="68">
        <f t="shared" si="0"/>
        <v>10</v>
      </c>
      <c r="P17" s="633">
        <f>'Plant Configuration'!$O$5</f>
        <v>0</v>
      </c>
      <c r="R17" s="68">
        <f t="shared" si="1"/>
        <v>10</v>
      </c>
      <c r="S17" s="633">
        <f>'Plant Configuration'!$O$5</f>
        <v>0</v>
      </c>
      <c r="U17" s="68">
        <f t="shared" si="2"/>
        <v>10</v>
      </c>
      <c r="V17" s="633">
        <f>'Plant Configuration'!$O$5</f>
        <v>0</v>
      </c>
    </row>
    <row r="18" spans="1:22" outlineLevel="2">
      <c r="A18" s="68"/>
      <c r="B18" s="562" t="str">
        <f>'Plant Configuration'!C57</f>
        <v>Professional Dues</v>
      </c>
      <c r="C18" s="54"/>
      <c r="D18" s="524">
        <f>IF($O$7=6,0,HLOOKUP($D$5,Plant_Configuration,'Plant Configuration'!A57,FALSE))+IF($R$7=6,0,HLOOKUP($E$5,Plant_Configuration,'Plant Configuration'!A57,FALSE))+IF($U$7=6,0,HLOOKUP($F$5,Plant_Configuration,'Plant Configuration'!A57,FALSE))</f>
        <v>4500</v>
      </c>
      <c r="E18" s="297">
        <v>0</v>
      </c>
      <c r="F18" s="371">
        <v>1</v>
      </c>
      <c r="H18" s="68" t="s">
        <v>687</v>
      </c>
      <c r="I18" s="325">
        <f t="shared" si="3"/>
        <v>4500</v>
      </c>
      <c r="J18" s="325">
        <f t="shared" si="4"/>
        <v>0</v>
      </c>
      <c r="K18" s="293">
        <f t="shared" si="5"/>
        <v>4500</v>
      </c>
      <c r="L18" s="293">
        <f t="shared" si="6"/>
        <v>0</v>
      </c>
      <c r="N18" s="66"/>
      <c r="O18" s="68">
        <f t="shared" si="0"/>
        <v>11</v>
      </c>
      <c r="P18" s="633">
        <f>'Plant Configuration'!$P$5</f>
        <v>0</v>
      </c>
      <c r="R18" s="68">
        <f t="shared" si="1"/>
        <v>11</v>
      </c>
      <c r="S18" s="633">
        <f>'Plant Configuration'!$P$5</f>
        <v>0</v>
      </c>
      <c r="U18" s="68">
        <f t="shared" si="2"/>
        <v>11</v>
      </c>
      <c r="V18" s="633">
        <f>'Plant Configuration'!$P$5</f>
        <v>0</v>
      </c>
    </row>
    <row r="19" spans="1:22" outlineLevel="2">
      <c r="A19" s="68"/>
      <c r="B19" s="562" t="str">
        <f>'Plant Configuration'!C58</f>
        <v>Entertainment Expense</v>
      </c>
      <c r="C19" s="54"/>
      <c r="D19" s="524">
        <f>IF($O$7=6,0,HLOOKUP($D$5,Plant_Configuration,'Plant Configuration'!A58,FALSE))+IF($R$7=6,0,HLOOKUP($E$5,Plant_Configuration,'Plant Configuration'!A58,FALSE))+IF($U$7=6,0,HLOOKUP($F$5,Plant_Configuration,'Plant Configuration'!A58,FALSE))</f>
        <v>763.63636363636363</v>
      </c>
      <c r="E19" s="297">
        <v>0</v>
      </c>
      <c r="F19" s="371">
        <v>1</v>
      </c>
      <c r="H19" s="68" t="s">
        <v>879</v>
      </c>
      <c r="I19" s="325">
        <f t="shared" si="3"/>
        <v>763.63636363636363</v>
      </c>
      <c r="J19" s="325">
        <f t="shared" si="4"/>
        <v>0</v>
      </c>
      <c r="K19" s="293">
        <f t="shared" si="5"/>
        <v>763.63636363636363</v>
      </c>
      <c r="L19" s="293">
        <f t="shared" si="6"/>
        <v>0</v>
      </c>
      <c r="N19" s="66"/>
      <c r="O19" s="68">
        <f t="shared" si="0"/>
        <v>12</v>
      </c>
      <c r="P19" s="633">
        <f>'Plant Configuration'!$Q$5</f>
        <v>0</v>
      </c>
      <c r="R19" s="68">
        <f t="shared" si="1"/>
        <v>12</v>
      </c>
      <c r="S19" s="633">
        <f>'Plant Configuration'!$Q$5</f>
        <v>0</v>
      </c>
      <c r="U19" s="68">
        <f t="shared" si="2"/>
        <v>12</v>
      </c>
      <c r="V19" s="633">
        <f>'Plant Configuration'!$Q$5</f>
        <v>0</v>
      </c>
    </row>
    <row r="20" spans="1:22" outlineLevel="2">
      <c r="A20" s="68"/>
      <c r="B20" s="562" t="str">
        <f>'Plant Configuration'!C59</f>
        <v>Daily Meal Allowance</v>
      </c>
      <c r="C20" s="54"/>
      <c r="D20" s="524">
        <f>IF($O$7=6,0,HLOOKUP($D$5,Plant_Configuration,'Plant Configuration'!A59,FALSE))+IF($R$7=6,0,HLOOKUP($E$5,Plant_Configuration,'Plant Configuration'!A59,FALSE))+IF($U$7=6,0,HLOOKUP($F$5,Plant_Configuration,'Plant Configuration'!A59,FALSE))</f>
        <v>0</v>
      </c>
      <c r="E20" s="297">
        <v>0</v>
      </c>
      <c r="F20" s="371">
        <v>1</v>
      </c>
      <c r="H20" s="68" t="s">
        <v>690</v>
      </c>
      <c r="I20" s="325">
        <f t="shared" si="3"/>
        <v>0</v>
      </c>
      <c r="J20" s="325">
        <f t="shared" si="4"/>
        <v>0</v>
      </c>
      <c r="K20" s="293">
        <f t="shared" si="5"/>
        <v>0</v>
      </c>
      <c r="L20" s="293">
        <f t="shared" si="6"/>
        <v>0</v>
      </c>
      <c r="N20" s="66"/>
      <c r="O20" s="68">
        <f t="shared" si="0"/>
        <v>13</v>
      </c>
      <c r="P20" s="633">
        <f>'Plant Configuration'!$R$5</f>
        <v>0</v>
      </c>
      <c r="R20" s="68">
        <f t="shared" si="1"/>
        <v>13</v>
      </c>
      <c r="S20" s="633">
        <f>'Plant Configuration'!$R$5</f>
        <v>0</v>
      </c>
      <c r="U20" s="68">
        <f t="shared" si="2"/>
        <v>13</v>
      </c>
      <c r="V20" s="633">
        <f>'Plant Configuration'!$R$5</f>
        <v>0</v>
      </c>
    </row>
    <row r="21" spans="1:22" outlineLevel="2">
      <c r="A21" s="68"/>
      <c r="B21" s="562" t="str">
        <f>'Plant Configuration'!C60</f>
        <v>Other</v>
      </c>
      <c r="C21" s="54"/>
      <c r="D21" s="524">
        <f>IF($O$7=6,0,HLOOKUP($D$5,Plant_Configuration,'Plant Configuration'!A60,FALSE))+IF($R$7=6,0,HLOOKUP($E$5,Plant_Configuration,'Plant Configuration'!A60,FALSE))+IF($U$7=6,0,HLOOKUP($F$5,Plant_Configuration,'Plant Configuration'!A60,FALSE))</f>
        <v>0</v>
      </c>
      <c r="E21" s="297">
        <v>0</v>
      </c>
      <c r="F21" s="371"/>
      <c r="H21" s="68"/>
      <c r="I21" s="325">
        <f t="shared" si="3"/>
        <v>0</v>
      </c>
      <c r="J21" s="325">
        <f t="shared" si="4"/>
        <v>0</v>
      </c>
      <c r="K21" s="293"/>
      <c r="L21" s="293"/>
      <c r="N21" s="66"/>
      <c r="O21" s="68">
        <f t="shared" si="0"/>
        <v>14</v>
      </c>
      <c r="P21" s="633">
        <f>'Plant Configuration'!$S$5</f>
        <v>0</v>
      </c>
      <c r="R21" s="68">
        <f t="shared" si="1"/>
        <v>14</v>
      </c>
      <c r="S21" s="633">
        <f>'Plant Configuration'!$S$5</f>
        <v>0</v>
      </c>
      <c r="U21" s="68">
        <f t="shared" si="2"/>
        <v>14</v>
      </c>
      <c r="V21" s="633">
        <f>'Plant Configuration'!$S$5</f>
        <v>0</v>
      </c>
    </row>
    <row r="22" spans="1:22" s="352" customFormat="1" ht="13.5" outlineLevel="1" thickBot="1">
      <c r="A22" s="358"/>
      <c r="B22" s="565" t="s">
        <v>1401</v>
      </c>
      <c r="C22"/>
      <c r="D22" s="353">
        <f>SUBTOTAL(9,D14:D20)</f>
        <v>22650</v>
      </c>
      <c r="E22" s="354"/>
      <c r="F22" s="372"/>
      <c r="G22" s="111"/>
      <c r="H22" s="68" t="s">
        <v>691</v>
      </c>
      <c r="I22" s="353">
        <f>SUBTOTAL(9,I14:I20)</f>
        <v>22650</v>
      </c>
      <c r="J22" s="353">
        <f>SUBTOTAL(9,J14:J20)</f>
        <v>0</v>
      </c>
      <c r="K22" s="353">
        <f>SUBTOTAL(9,K14:K20)</f>
        <v>22650</v>
      </c>
      <c r="L22" s="353">
        <f>SUBTOTAL(9,L14:L20)</f>
        <v>0</v>
      </c>
      <c r="O22" s="108">
        <f t="shared" si="0"/>
        <v>15</v>
      </c>
      <c r="P22" s="634">
        <f>'Plant Configuration'!$T$5</f>
        <v>0</v>
      </c>
      <c r="R22" s="108">
        <f t="shared" si="1"/>
        <v>15</v>
      </c>
      <c r="S22" s="634">
        <f>'Plant Configuration'!$T$5</f>
        <v>0</v>
      </c>
      <c r="U22" s="108">
        <f t="shared" si="2"/>
        <v>15</v>
      </c>
      <c r="V22" s="634">
        <f>'Plant Configuration'!$T$5</f>
        <v>0</v>
      </c>
    </row>
    <row r="23" spans="1:22" s="352" customFormat="1" outlineLevel="1">
      <c r="A23" s="355" t="s">
        <v>692</v>
      </c>
      <c r="B23" s="563"/>
      <c r="C23" s="356"/>
      <c r="D23" s="347"/>
      <c r="E23" s="348"/>
      <c r="F23" s="370"/>
      <c r="G23" s="111"/>
      <c r="H23" s="357"/>
      <c r="I23" s="327">
        <f>IF(D26&lt;&gt;0,I26/D26,0)</f>
        <v>0</v>
      </c>
      <c r="J23" s="327">
        <f>1-I23</f>
        <v>1</v>
      </c>
      <c r="K23" s="350">
        <f>IF(D26&lt;&gt;0,K26/D26,0)</f>
        <v>0</v>
      </c>
      <c r="L23" s="350">
        <f>1-K23</f>
        <v>1</v>
      </c>
    </row>
    <row r="24" spans="1:22" s="352" customFormat="1" outlineLevel="1">
      <c r="A24" s="68"/>
      <c r="B24" s="562" t="str">
        <f>'Plant Configuration'!C63</f>
        <v>Contract Labor</v>
      </c>
      <c r="C24" s="54"/>
      <c r="D24" s="524">
        <f>IF($O$7=6,0,HLOOKUP($D$5,Plant_Configuration,'Plant Configuration'!A63,FALSE))+IF($R$7=6,0,HLOOKUP($E$5,Plant_Configuration,'Plant Configuration'!A63,FALSE))+IF($U$7=6,0,HLOOKUP($F$5,Plant_Configuration,'Plant Configuration'!A63,FALSE))</f>
        <v>0</v>
      </c>
      <c r="E24" s="297">
        <v>0</v>
      </c>
      <c r="F24" s="371">
        <v>1</v>
      </c>
      <c r="G24" s="111"/>
      <c r="H24" s="68" t="s">
        <v>694</v>
      </c>
      <c r="I24" s="325">
        <f>D24-J24</f>
        <v>0</v>
      </c>
      <c r="J24" s="325">
        <f>E24*D24</f>
        <v>0</v>
      </c>
      <c r="K24" s="293">
        <f>F24*D24</f>
        <v>0</v>
      </c>
      <c r="L24" s="293">
        <f>D24-K24</f>
        <v>0</v>
      </c>
    </row>
    <row r="25" spans="1:22" s="352" customFormat="1" outlineLevel="1">
      <c r="A25" s="68"/>
      <c r="B25" s="562" t="str">
        <f>'Plant Configuration'!C64</f>
        <v>Other</v>
      </c>
      <c r="C25" s="54"/>
      <c r="D25" s="524">
        <f>IF($O$7=6,0,HLOOKUP($D$5,Plant_Configuration,'Plant Configuration'!A64,FALSE))+IF($R$7=6,0,HLOOKUP($E$5,Plant_Configuration,'Plant Configuration'!A64,FALSE))+IF($U$7=6,0,HLOOKUP($F$5,Plant_Configuration,'Plant Configuration'!A64,FALSE))</f>
        <v>0</v>
      </c>
      <c r="E25" s="297">
        <v>0</v>
      </c>
      <c r="F25" s="372"/>
      <c r="G25" s="111"/>
      <c r="H25" s="68"/>
      <c r="I25" s="325">
        <f>D25-J25</f>
        <v>0</v>
      </c>
      <c r="J25" s="325">
        <f>E25*D25</f>
        <v>0</v>
      </c>
      <c r="K25" s="353"/>
      <c r="L25" s="353"/>
      <c r="O25" s="795">
        <v>3</v>
      </c>
      <c r="P25" s="795">
        <v>3</v>
      </c>
      <c r="R25" s="795">
        <v>1</v>
      </c>
      <c r="S25" s="795">
        <v>1</v>
      </c>
      <c r="U25" s="795">
        <v>1</v>
      </c>
      <c r="V25" s="795">
        <v>1</v>
      </c>
    </row>
    <row r="26" spans="1:22" s="352" customFormat="1" ht="13.5" outlineLevel="1" thickBot="1">
      <c r="A26" s="358"/>
      <c r="B26" s="565" t="s">
        <v>1401</v>
      </c>
      <c r="C26"/>
      <c r="D26" s="353">
        <f>SUBTOTAL(9,D24:D25)</f>
        <v>0</v>
      </c>
      <c r="E26" s="354"/>
      <c r="F26" s="372"/>
      <c r="G26" s="111"/>
      <c r="H26" s="68" t="s">
        <v>695</v>
      </c>
      <c r="I26" s="353">
        <f>SUBTOTAL(9,I24:I25)</f>
        <v>0</v>
      </c>
      <c r="J26" s="353">
        <f>SUBTOTAL(9,J24:J25)</f>
        <v>0</v>
      </c>
      <c r="K26" s="353">
        <f>SUBTOTAL(9,K24:K25)</f>
        <v>0</v>
      </c>
      <c r="L26" s="353">
        <f>SUBTOTAL(9,L24:L25)</f>
        <v>0</v>
      </c>
      <c r="O26" s="474">
        <f>INDEX(O27:O41,O25,1)</f>
        <v>2</v>
      </c>
      <c r="P26" s="474" t="str">
        <f>INDEX(P27:P30,P25,1)</f>
        <v>combined</v>
      </c>
      <c r="R26" s="474">
        <f>INDEX(R27:R41,R25,1)</f>
        <v>0</v>
      </c>
      <c r="S26" s="474" t="str">
        <f>INDEX(S27:S30,S25,1)</f>
        <v/>
      </c>
      <c r="U26" s="474">
        <f>INDEX(U27:U41,U25,1)</f>
        <v>0</v>
      </c>
      <c r="V26" s="474" t="str">
        <f>INDEX(V27:V30,V25,1)</f>
        <v/>
      </c>
    </row>
    <row r="27" spans="1:22" s="352" customFormat="1" outlineLevel="1">
      <c r="A27" s="355" t="s">
        <v>696</v>
      </c>
      <c r="B27" s="563"/>
      <c r="C27" s="356"/>
      <c r="D27" s="347"/>
      <c r="E27" s="348"/>
      <c r="F27" s="370"/>
      <c r="G27" s="111"/>
      <c r="H27" s="357"/>
      <c r="I27" s="327">
        <f>IF(D36=0,0,I36/D36)</f>
        <v>1</v>
      </c>
      <c r="J27" s="327">
        <f>1-I27</f>
        <v>0</v>
      </c>
      <c r="K27" s="350">
        <f>IF(D36=0,0,K36/D36)</f>
        <v>1</v>
      </c>
      <c r="L27" s="350">
        <f>1-K27</f>
        <v>0</v>
      </c>
      <c r="O27" s="798">
        <v>0</v>
      </c>
      <c r="P27" s="800" t="s">
        <v>1014</v>
      </c>
      <c r="R27" s="798">
        <v>0</v>
      </c>
      <c r="S27" s="800" t="s">
        <v>1014</v>
      </c>
      <c r="U27" s="798">
        <v>0</v>
      </c>
      <c r="V27" s="800" t="s">
        <v>1014</v>
      </c>
    </row>
    <row r="28" spans="1:22" outlineLevel="2">
      <c r="A28" s="68"/>
      <c r="B28" s="562" t="str">
        <f>'Plant Configuration'!C67</f>
        <v>Training/Awards</v>
      </c>
      <c r="C28" s="54"/>
      <c r="D28" s="524">
        <f>IF($O$7=6,0,HLOOKUP($D$5,Plant_Configuration,'Plant Configuration'!A67,FALSE))+IF($R$7=6,0,HLOOKUP($E$5,Plant_Configuration,'Plant Configuration'!A67,FALSE))+IF($U$7=6,0,HLOOKUP($F$5,Plant_Configuration,'Plant Configuration'!A67,FALSE))</f>
        <v>3315</v>
      </c>
      <c r="E28" s="297">
        <v>0</v>
      </c>
      <c r="F28" s="371">
        <v>1</v>
      </c>
      <c r="H28" s="68" t="s">
        <v>698</v>
      </c>
      <c r="I28" s="325">
        <f t="shared" ref="I28:I35" si="7">D28-J28</f>
        <v>3315</v>
      </c>
      <c r="J28" s="325">
        <f t="shared" ref="J28:J35" si="8">E28*D28</f>
        <v>0</v>
      </c>
      <c r="K28" s="293">
        <f t="shared" ref="K28:K35" si="9">F28*D28</f>
        <v>3315</v>
      </c>
      <c r="L28" s="293">
        <f t="shared" ref="L28:L35" si="10">D28-K28</f>
        <v>0</v>
      </c>
      <c r="N28" s="66"/>
      <c r="O28" s="799">
        <v>1</v>
      </c>
      <c r="P28" s="796" t="s">
        <v>498</v>
      </c>
      <c r="Q28" s="352"/>
      <c r="R28" s="799">
        <v>1</v>
      </c>
      <c r="S28" s="796" t="s">
        <v>498</v>
      </c>
      <c r="T28" s="352"/>
      <c r="U28" s="799">
        <v>1</v>
      </c>
      <c r="V28" s="796" t="s">
        <v>498</v>
      </c>
    </row>
    <row r="29" spans="1:22" outlineLevel="2">
      <c r="A29" s="68"/>
      <c r="B29" s="562" t="str">
        <f>'Plant Configuration'!C68</f>
        <v>Permits</v>
      </c>
      <c r="C29" s="54"/>
      <c r="D29" s="524">
        <f>IF($O$7=6,0,HLOOKUP($D$5,Plant_Configuration,'Plant Configuration'!A68,FALSE))+IF($R$7=6,0,HLOOKUP($E$5,Plant_Configuration,'Plant Configuration'!A68,FALSE))+IF($U$7=6,0,HLOOKUP($F$5,Plant_Configuration,'Plant Configuration'!A68,FALSE))</f>
        <v>10908.333333333334</v>
      </c>
      <c r="E29" s="297">
        <v>0</v>
      </c>
      <c r="F29" s="371">
        <v>1</v>
      </c>
      <c r="H29" s="68" t="s">
        <v>701</v>
      </c>
      <c r="I29" s="325">
        <f t="shared" si="7"/>
        <v>10908.333333333334</v>
      </c>
      <c r="J29" s="325">
        <f t="shared" si="8"/>
        <v>0</v>
      </c>
      <c r="K29" s="293">
        <f t="shared" si="9"/>
        <v>10908.333333333334</v>
      </c>
      <c r="L29" s="293">
        <f t="shared" si="10"/>
        <v>0</v>
      </c>
      <c r="N29" s="66"/>
      <c r="O29" s="799">
        <v>2</v>
      </c>
      <c r="P29" s="796" t="s">
        <v>499</v>
      </c>
      <c r="Q29" s="352"/>
      <c r="R29" s="799">
        <v>2</v>
      </c>
      <c r="S29" s="796" t="s">
        <v>499</v>
      </c>
      <c r="T29" s="352"/>
      <c r="U29" s="799">
        <v>2</v>
      </c>
      <c r="V29" s="796" t="s">
        <v>499</v>
      </c>
    </row>
    <row r="30" spans="1:22" ht="13.5" outlineLevel="2" thickBot="1">
      <c r="A30" s="68"/>
      <c r="B30" s="562" t="str">
        <f>'Plant Configuration'!C69</f>
        <v>Materials &amp; Supplies</v>
      </c>
      <c r="C30" s="54"/>
      <c r="D30" s="524">
        <f>IF($O$7=6,0,HLOOKUP($D$5,Plant_Configuration,'Plant Configuration'!A69,FALSE))+IF($R$7=6,0,HLOOKUP($E$5,Plant_Configuration,'Plant Configuration'!A69,FALSE))+IF($U$7=6,0,HLOOKUP($F$5,Plant_Configuration,'Plant Configuration'!A69,FALSE))</f>
        <v>3867.5</v>
      </c>
      <c r="E30" s="297">
        <v>0</v>
      </c>
      <c r="F30" s="371">
        <v>1</v>
      </c>
      <c r="H30" s="68" t="s">
        <v>704</v>
      </c>
      <c r="I30" s="325">
        <f t="shared" si="7"/>
        <v>3867.5</v>
      </c>
      <c r="J30" s="325">
        <f t="shared" si="8"/>
        <v>0</v>
      </c>
      <c r="K30" s="293">
        <f t="shared" si="9"/>
        <v>3867.5</v>
      </c>
      <c r="L30" s="293">
        <f t="shared" si="10"/>
        <v>0</v>
      </c>
      <c r="N30" s="66"/>
      <c r="O30" s="799">
        <v>3</v>
      </c>
      <c r="P30" s="797" t="s">
        <v>1055</v>
      </c>
      <c r="Q30" s="352"/>
      <c r="R30" s="796">
        <v>3</v>
      </c>
      <c r="S30" s="797" t="s">
        <v>1055</v>
      </c>
      <c r="T30" s="352"/>
      <c r="U30" s="796">
        <v>3</v>
      </c>
      <c r="V30" s="797" t="s">
        <v>1055</v>
      </c>
    </row>
    <row r="31" spans="1:22" outlineLevel="2">
      <c r="A31" s="68"/>
      <c r="B31" s="562" t="str">
        <f>'Plant Configuration'!C70</f>
        <v>Technical/Professional Services</v>
      </c>
      <c r="C31" s="54"/>
      <c r="D31" s="524">
        <f>IF($O$7=6,0,HLOOKUP($D$5,Plant_Configuration,'Plant Configuration'!A70,FALSE))+IF($R$7=6,0,HLOOKUP($E$5,Plant_Configuration,'Plant Configuration'!A70,FALSE))+IF($U$7=6,0,HLOOKUP($F$5,Plant_Configuration,'Plant Configuration'!A70,FALSE))</f>
        <v>0</v>
      </c>
      <c r="E31" s="297">
        <v>0</v>
      </c>
      <c r="F31" s="371">
        <v>1</v>
      </c>
      <c r="H31" s="68" t="s">
        <v>706</v>
      </c>
      <c r="I31" s="325">
        <f t="shared" si="7"/>
        <v>0</v>
      </c>
      <c r="J31" s="325">
        <f t="shared" si="8"/>
        <v>0</v>
      </c>
      <c r="K31" s="293">
        <f t="shared" si="9"/>
        <v>0</v>
      </c>
      <c r="L31" s="293">
        <f t="shared" si="10"/>
        <v>0</v>
      </c>
      <c r="N31" s="66"/>
      <c r="O31" s="796">
        <v>4</v>
      </c>
      <c r="R31" s="796">
        <v>4</v>
      </c>
      <c r="U31" s="796">
        <v>4</v>
      </c>
    </row>
    <row r="32" spans="1:22" outlineLevel="2">
      <c r="A32" s="68"/>
      <c r="B32" s="562" t="str">
        <f>'Plant Configuration'!C71</f>
        <v>Other Outside Services (RATA)</v>
      </c>
      <c r="C32" s="54"/>
      <c r="D32" s="524">
        <f>IF($O$7=6,0,HLOOKUP($D$5,Plant_Configuration,'Plant Configuration'!A71,FALSE))+IF($R$7=6,0,HLOOKUP($E$5,Plant_Configuration,'Plant Configuration'!A71,FALSE))+IF($U$7=6,0,HLOOKUP($F$5,Plant_Configuration,'Plant Configuration'!A71,FALSE))</f>
        <v>20000</v>
      </c>
      <c r="E32" s="297">
        <v>0</v>
      </c>
      <c r="F32" s="371">
        <v>1</v>
      </c>
      <c r="H32" s="68" t="s">
        <v>707</v>
      </c>
      <c r="I32" s="325">
        <f t="shared" si="7"/>
        <v>20000</v>
      </c>
      <c r="J32" s="325">
        <f t="shared" si="8"/>
        <v>0</v>
      </c>
      <c r="K32" s="293">
        <f t="shared" si="9"/>
        <v>20000</v>
      </c>
      <c r="L32" s="293">
        <f t="shared" si="10"/>
        <v>0</v>
      </c>
      <c r="N32" s="66"/>
      <c r="O32" s="796">
        <v>5</v>
      </c>
      <c r="R32" s="796">
        <v>5</v>
      </c>
      <c r="U32" s="796">
        <v>5</v>
      </c>
    </row>
    <row r="33" spans="1:22" outlineLevel="2">
      <c r="A33" s="68"/>
      <c r="B33" s="562" t="str">
        <f>'Plant Configuration'!C72</f>
        <v>Non-Hazardous Waste Handling</v>
      </c>
      <c r="C33" s="54"/>
      <c r="D33" s="524">
        <f>IF($O$7=6,0,HLOOKUP($D$5,Plant_Configuration,'Plant Configuration'!A72,FALSE))+IF($R$7=6,0,HLOOKUP($E$5,Plant_Configuration,'Plant Configuration'!A72,FALSE))+IF($U$7=6,0,HLOOKUP($F$5,Plant_Configuration,'Plant Configuration'!A72,FALSE))</f>
        <v>0</v>
      </c>
      <c r="E33" s="297">
        <v>0</v>
      </c>
      <c r="F33" s="371">
        <v>1</v>
      </c>
      <c r="H33" s="68" t="s">
        <v>709</v>
      </c>
      <c r="I33" s="325">
        <f t="shared" si="7"/>
        <v>0</v>
      </c>
      <c r="J33" s="325">
        <f t="shared" si="8"/>
        <v>0</v>
      </c>
      <c r="K33" s="293">
        <f t="shared" si="9"/>
        <v>0</v>
      </c>
      <c r="L33" s="293">
        <f t="shared" si="10"/>
        <v>0</v>
      </c>
      <c r="N33" s="66"/>
      <c r="O33" s="796">
        <v>6</v>
      </c>
      <c r="R33" s="796">
        <v>6</v>
      </c>
      <c r="U33" s="796">
        <v>6</v>
      </c>
    </row>
    <row r="34" spans="1:22" outlineLevel="2">
      <c r="A34" s="68"/>
      <c r="B34" s="562" t="str">
        <f>'Plant Configuration'!C73</f>
        <v>Other</v>
      </c>
      <c r="C34" s="54"/>
      <c r="D34" s="524">
        <f>IF($O$7=6,0,HLOOKUP($D$5,Plant_Configuration,'Plant Configuration'!A73,FALSE))+IF($R$7=6,0,HLOOKUP($E$5,Plant_Configuration,'Plant Configuration'!A73,FALSE))+IF($U$7=6,0,HLOOKUP($F$5,Plant_Configuration,'Plant Configuration'!A73,FALSE))</f>
        <v>0</v>
      </c>
      <c r="E34" s="297">
        <v>0</v>
      </c>
      <c r="F34" s="371">
        <v>1</v>
      </c>
      <c r="H34" s="68"/>
      <c r="I34" s="325">
        <f t="shared" si="7"/>
        <v>0</v>
      </c>
      <c r="J34" s="325">
        <f t="shared" si="8"/>
        <v>0</v>
      </c>
      <c r="K34" s="293">
        <f t="shared" si="9"/>
        <v>0</v>
      </c>
      <c r="L34" s="293">
        <f t="shared" si="10"/>
        <v>0</v>
      </c>
      <c r="N34" s="66"/>
      <c r="O34" s="796">
        <v>7</v>
      </c>
      <c r="R34" s="796">
        <v>7</v>
      </c>
      <c r="U34" s="796">
        <v>7</v>
      </c>
    </row>
    <row r="35" spans="1:22" outlineLevel="2">
      <c r="A35" s="68"/>
      <c r="B35" s="562" t="str">
        <f>'Plant Configuration'!C74</f>
        <v>Other</v>
      </c>
      <c r="C35" s="54"/>
      <c r="D35" s="524">
        <f>IF($O$7=6,0,HLOOKUP($D$5,Plant_Configuration,'Plant Configuration'!A74,FALSE))+IF($R$7=6,0,HLOOKUP($E$5,Plant_Configuration,'Plant Configuration'!A74,FALSE))+IF($U$7=6,0,HLOOKUP($F$5,Plant_Configuration,'Plant Configuration'!A74,FALSE))</f>
        <v>0</v>
      </c>
      <c r="E35" s="297">
        <v>0</v>
      </c>
      <c r="F35" s="371">
        <v>1</v>
      </c>
      <c r="H35" s="68"/>
      <c r="I35" s="325">
        <f t="shared" si="7"/>
        <v>0</v>
      </c>
      <c r="J35" s="325">
        <f t="shared" si="8"/>
        <v>0</v>
      </c>
      <c r="K35" s="293">
        <f t="shared" si="9"/>
        <v>0</v>
      </c>
      <c r="L35" s="293">
        <f t="shared" si="10"/>
        <v>0</v>
      </c>
      <c r="N35" s="66"/>
      <c r="O35" s="796">
        <v>8</v>
      </c>
      <c r="R35" s="796">
        <v>8</v>
      </c>
      <c r="U35" s="796">
        <v>8</v>
      </c>
    </row>
    <row r="36" spans="1:22" s="352" customFormat="1" outlineLevel="1">
      <c r="A36" s="358"/>
      <c r="B36" s="565" t="s">
        <v>1401</v>
      </c>
      <c r="C36"/>
      <c r="D36" s="353">
        <f>SUBTOTAL(9,D28:D35)</f>
        <v>38090.833333333336</v>
      </c>
      <c r="E36" s="354"/>
      <c r="F36" s="372"/>
      <c r="G36" s="111"/>
      <c r="H36" s="68" t="s">
        <v>712</v>
      </c>
      <c r="I36" s="353">
        <f>SUBTOTAL(9,I28:I35)</f>
        <v>38090.833333333336</v>
      </c>
      <c r="J36" s="353">
        <f>SUBTOTAL(9,J28:J35)</f>
        <v>0</v>
      </c>
      <c r="K36" s="353">
        <f>SUBTOTAL(9,K28:K35)</f>
        <v>38090.833333333336</v>
      </c>
      <c r="L36" s="353">
        <f>SUBTOTAL(9,L28:L35)</f>
        <v>0</v>
      </c>
      <c r="O36" s="796">
        <v>9</v>
      </c>
      <c r="P36"/>
      <c r="Q36"/>
      <c r="R36" s="796">
        <v>9</v>
      </c>
      <c r="S36"/>
      <c r="T36"/>
      <c r="U36" s="796">
        <v>9</v>
      </c>
      <c r="V36" s="66"/>
    </row>
    <row r="37" spans="1:22" s="352" customFormat="1" outlineLevel="1">
      <c r="A37" s="355" t="s">
        <v>713</v>
      </c>
      <c r="B37" s="563"/>
      <c r="C37" s="356"/>
      <c r="D37" s="347"/>
      <c r="E37" s="348"/>
      <c r="F37" s="370"/>
      <c r="G37" s="111"/>
      <c r="H37" s="357"/>
      <c r="I37" s="327">
        <f>IF(D44=0,0,I44/D44)</f>
        <v>1</v>
      </c>
      <c r="J37" s="327">
        <f>1-I37</f>
        <v>0</v>
      </c>
      <c r="K37" s="350">
        <f>IF(D44=0,0,K44/D44)</f>
        <v>1</v>
      </c>
      <c r="L37" s="350">
        <f>1-K37</f>
        <v>0</v>
      </c>
      <c r="O37" s="796">
        <v>10</v>
      </c>
      <c r="P37"/>
      <c r="Q37"/>
      <c r="R37" s="796">
        <v>10</v>
      </c>
      <c r="S37"/>
      <c r="T37"/>
      <c r="U37" s="796">
        <v>10</v>
      </c>
      <c r="V37" s="66"/>
    </row>
    <row r="38" spans="1:22" outlineLevel="2">
      <c r="A38" s="68"/>
      <c r="B38" s="562" t="str">
        <f>'Plant Configuration'!C77</f>
        <v>Training/Awards</v>
      </c>
      <c r="C38" s="54"/>
      <c r="D38" s="524">
        <f>IF($O$7=6,0,HLOOKUP($D$5,Plant_Configuration,'Plant Configuration'!A77,FALSE))+IF($R$7=6,0,HLOOKUP($E$5,Plant_Configuration,'Plant Configuration'!A77,FALSE))+IF($U$7=6,0,HLOOKUP($F$5,Plant_Configuration,'Plant Configuration'!A77,FALSE))</f>
        <v>4238.7096774193551</v>
      </c>
      <c r="E38" s="297">
        <v>0</v>
      </c>
      <c r="F38" s="371">
        <v>1</v>
      </c>
      <c r="H38" s="68" t="s">
        <v>880</v>
      </c>
      <c r="I38" s="325">
        <f t="shared" ref="I38:I43" si="11">D38-J38</f>
        <v>4238.7096774193551</v>
      </c>
      <c r="J38" s="325">
        <f t="shared" ref="J38:J43" si="12">E38*D38</f>
        <v>0</v>
      </c>
      <c r="K38" s="293">
        <f t="shared" ref="K38:K43" si="13">F38*D38</f>
        <v>4238.7096774193551</v>
      </c>
      <c r="L38" s="293">
        <f t="shared" ref="L38:L43" si="14">D38-K38</f>
        <v>0</v>
      </c>
      <c r="N38" s="66"/>
      <c r="O38" s="796">
        <v>11</v>
      </c>
      <c r="R38" s="796">
        <v>11</v>
      </c>
      <c r="U38" s="796">
        <v>11</v>
      </c>
    </row>
    <row r="39" spans="1:22" outlineLevel="2">
      <c r="A39" s="68"/>
      <c r="B39" s="562" t="str">
        <f>'Plant Configuration'!C78</f>
        <v>Permits</v>
      </c>
      <c r="C39" s="54"/>
      <c r="D39" s="524">
        <f>IF($O$7=6,0,HLOOKUP($D$5,Plant_Configuration,'Plant Configuration'!A78,FALSE))+IF($R$7=6,0,HLOOKUP($E$5,Plant_Configuration,'Plant Configuration'!A78,FALSE))+IF($U$7=6,0,HLOOKUP($F$5,Plant_Configuration,'Plant Configuration'!A78,FALSE))</f>
        <v>10908.333333333334</v>
      </c>
      <c r="E39" s="297">
        <v>0</v>
      </c>
      <c r="F39" s="371">
        <v>1</v>
      </c>
      <c r="H39" s="68" t="s">
        <v>714</v>
      </c>
      <c r="I39" s="325">
        <f t="shared" si="11"/>
        <v>10908.333333333334</v>
      </c>
      <c r="J39" s="325">
        <f t="shared" si="12"/>
        <v>0</v>
      </c>
      <c r="K39" s="293">
        <f t="shared" si="13"/>
        <v>10908.333333333334</v>
      </c>
      <c r="L39" s="293">
        <f t="shared" si="14"/>
        <v>0</v>
      </c>
      <c r="N39" s="66"/>
      <c r="O39" s="796">
        <v>12</v>
      </c>
      <c r="P39" s="352"/>
      <c r="Q39" s="352"/>
      <c r="R39" s="796">
        <v>12</v>
      </c>
      <c r="S39" s="352"/>
      <c r="T39" s="352"/>
      <c r="U39" s="796">
        <v>12</v>
      </c>
      <c r="V39" s="352"/>
    </row>
    <row r="40" spans="1:22" outlineLevel="2">
      <c r="A40" s="68"/>
      <c r="B40" s="562" t="str">
        <f>'Plant Configuration'!C79</f>
        <v>Company Membership &amp; Dues</v>
      </c>
      <c r="C40" s="54"/>
      <c r="D40" s="524">
        <f>IF($O$7=6,0,HLOOKUP($D$5,Plant_Configuration,'Plant Configuration'!A79,FALSE))+IF($R$7=6,0,HLOOKUP($E$5,Plant_Configuration,'Plant Configuration'!A79,FALSE))+IF($U$7=6,0,HLOOKUP($F$5,Plant_Configuration,'Plant Configuration'!A79,FALSE))</f>
        <v>0</v>
      </c>
      <c r="E40" s="297">
        <v>0</v>
      </c>
      <c r="F40" s="371">
        <v>1</v>
      </c>
      <c r="H40" s="68"/>
      <c r="I40" s="325">
        <f t="shared" si="11"/>
        <v>0</v>
      </c>
      <c r="J40" s="325">
        <f t="shared" si="12"/>
        <v>0</v>
      </c>
      <c r="K40" s="293">
        <f t="shared" si="13"/>
        <v>0</v>
      </c>
      <c r="L40" s="293">
        <f t="shared" si="14"/>
        <v>0</v>
      </c>
      <c r="N40" s="66"/>
      <c r="O40" s="796">
        <v>13</v>
      </c>
      <c r="P40" s="352"/>
      <c r="Q40" s="352"/>
      <c r="R40" s="796">
        <v>13</v>
      </c>
      <c r="S40" s="352"/>
      <c r="T40" s="352"/>
      <c r="U40" s="796">
        <v>13</v>
      </c>
      <c r="V40" s="352"/>
    </row>
    <row r="41" spans="1:22" outlineLevel="2">
      <c r="A41" s="68"/>
      <c r="B41" s="562" t="str">
        <f>'Plant Configuration'!C80</f>
        <v>Routine Safety Supplies</v>
      </c>
      <c r="C41" s="54"/>
      <c r="D41" s="524">
        <f>IF($O$7=6,0,HLOOKUP($D$5,Plant_Configuration,'Plant Configuration'!A80,FALSE))+IF($R$7=6,0,HLOOKUP($E$5,Plant_Configuration,'Plant Configuration'!A80,FALSE))+IF($U$7=6,0,HLOOKUP($F$5,Plant_Configuration,'Plant Configuration'!A80,FALSE))</f>
        <v>6770.5645161290322</v>
      </c>
      <c r="E41" s="297">
        <v>0</v>
      </c>
      <c r="F41" s="371">
        <v>1</v>
      </c>
      <c r="H41" s="68" t="s">
        <v>881</v>
      </c>
      <c r="I41" s="325">
        <f t="shared" si="11"/>
        <v>6770.5645161290322</v>
      </c>
      <c r="J41" s="325">
        <f t="shared" si="12"/>
        <v>0</v>
      </c>
      <c r="K41" s="293">
        <f t="shared" si="13"/>
        <v>6770.5645161290322</v>
      </c>
      <c r="L41" s="293">
        <f t="shared" si="14"/>
        <v>0</v>
      </c>
      <c r="N41" s="66"/>
      <c r="O41" s="796">
        <v>14</v>
      </c>
      <c r="R41" s="796">
        <v>14</v>
      </c>
      <c r="U41" s="796">
        <v>14</v>
      </c>
    </row>
    <row r="42" spans="1:22" ht="13.5" outlineLevel="2" thickBot="1">
      <c r="A42" s="68"/>
      <c r="B42" s="562" t="str">
        <f>'Plant Configuration'!C81</f>
        <v>Technical/Professional Services</v>
      </c>
      <c r="C42" s="54"/>
      <c r="D42" s="524">
        <f>IF($O$7=6,0,HLOOKUP($D$5,Plant_Configuration,'Plant Configuration'!A81,FALSE))+IF($R$7=6,0,HLOOKUP($E$5,Plant_Configuration,'Plant Configuration'!A81,FALSE))+IF($U$7=6,0,HLOOKUP($F$5,Plant_Configuration,'Plant Configuration'!A81,FALSE))</f>
        <v>0</v>
      </c>
      <c r="E42" s="297">
        <v>0</v>
      </c>
      <c r="F42" s="371">
        <v>1</v>
      </c>
      <c r="H42" s="68" t="s">
        <v>706</v>
      </c>
      <c r="I42" s="325">
        <f t="shared" si="11"/>
        <v>0</v>
      </c>
      <c r="J42" s="325">
        <f t="shared" si="12"/>
        <v>0</v>
      </c>
      <c r="K42" s="293">
        <f t="shared" si="13"/>
        <v>0</v>
      </c>
      <c r="L42" s="293">
        <f t="shared" si="14"/>
        <v>0</v>
      </c>
      <c r="N42" s="66"/>
      <c r="O42" s="797">
        <v>15</v>
      </c>
      <c r="R42" s="797">
        <v>15</v>
      </c>
      <c r="U42" s="797">
        <v>15</v>
      </c>
    </row>
    <row r="43" spans="1:22" outlineLevel="2">
      <c r="A43" s="68"/>
      <c r="B43" s="562" t="str">
        <f>'Plant Configuration'!C82</f>
        <v>Safety Equipment Rentals</v>
      </c>
      <c r="C43" s="54"/>
      <c r="D43" s="524">
        <f>IF($O$7=6,0,HLOOKUP($D$5,Plant_Configuration,'Plant Configuration'!A82,FALSE))+IF($R$7=6,0,HLOOKUP($E$5,Plant_Configuration,'Plant Configuration'!A82,FALSE))+IF($U$7=6,0,HLOOKUP($F$5,Plant_Configuration,'Plant Configuration'!A82,FALSE))</f>
        <v>0</v>
      </c>
      <c r="E43" s="297">
        <v>0</v>
      </c>
      <c r="F43" s="371">
        <v>1</v>
      </c>
      <c r="H43" s="68" t="s">
        <v>707</v>
      </c>
      <c r="I43" s="325">
        <f t="shared" si="11"/>
        <v>0</v>
      </c>
      <c r="J43" s="325">
        <f t="shared" si="12"/>
        <v>0</v>
      </c>
      <c r="K43" s="293">
        <f t="shared" si="13"/>
        <v>0</v>
      </c>
      <c r="L43" s="293">
        <f t="shared" si="14"/>
        <v>0</v>
      </c>
      <c r="N43" s="66"/>
      <c r="O43" s="66"/>
    </row>
    <row r="44" spans="1:22" s="352" customFormat="1" outlineLevel="1">
      <c r="A44" s="358"/>
      <c r="B44" s="565" t="s">
        <v>1401</v>
      </c>
      <c r="C44"/>
      <c r="D44" s="353">
        <f>SUBTOTAL(9,D38:D43)</f>
        <v>21917.607526881722</v>
      </c>
      <c r="E44" s="354"/>
      <c r="F44" s="372"/>
      <c r="G44" s="111"/>
      <c r="H44" s="68" t="s">
        <v>712</v>
      </c>
      <c r="I44" s="353">
        <f>SUBTOTAL(9,I38:I43)</f>
        <v>21917.607526881722</v>
      </c>
      <c r="J44" s="353">
        <f>SUBTOTAL(9,J38:J43)</f>
        <v>0</v>
      </c>
      <c r="K44" s="353">
        <f>SUBTOTAL(9,K38:K43)</f>
        <v>21917.607526881722</v>
      </c>
      <c r="L44" s="353">
        <f>SUBTOTAL(9,L38:L43)</f>
        <v>0</v>
      </c>
    </row>
    <row r="45" spans="1:22" s="352" customFormat="1" outlineLevel="1">
      <c r="A45" s="355" t="s">
        <v>1445</v>
      </c>
      <c r="B45" s="563"/>
      <c r="C45" s="356"/>
      <c r="D45" s="347"/>
      <c r="E45" s="348"/>
      <c r="F45" s="370"/>
      <c r="G45" s="111"/>
      <c r="H45" s="357"/>
      <c r="I45" s="327">
        <f>IF(D55=0,0,I55/D55)</f>
        <v>1</v>
      </c>
      <c r="J45" s="327">
        <f>1-I45</f>
        <v>0</v>
      </c>
      <c r="K45" s="350">
        <f>IF(D55=0,0,K55/D55)</f>
        <v>0.75</v>
      </c>
      <c r="L45" s="350">
        <f>1-K45</f>
        <v>0.25</v>
      </c>
      <c r="O45" s="900" t="s">
        <v>500</v>
      </c>
      <c r="P45" s="900"/>
      <c r="Q45" s="900" t="s">
        <v>501</v>
      </c>
      <c r="S45" s="900" t="s">
        <v>502</v>
      </c>
    </row>
    <row r="46" spans="1:22" outlineLevel="2">
      <c r="A46" s="68"/>
      <c r="B46" s="562" t="str">
        <f>'Plant Configuration'!C85</f>
        <v>Security training and facilities</v>
      </c>
      <c r="C46" s="54"/>
      <c r="D46" s="524">
        <f>IF($O$7=6,0,HLOOKUP($D$5,Plant_Configuration,'Plant Configuration'!A85,FALSE))+IF($R$7=6,0,HLOOKUP($E$5,Plant_Configuration,'Plant Configuration'!A85,FALSE))+IF($U$7=6,0,HLOOKUP($F$5,Plant_Configuration,'Plant Configuration'!A85,FALSE))</f>
        <v>0</v>
      </c>
      <c r="E46" s="297">
        <v>0</v>
      </c>
      <c r="F46" s="371">
        <v>1</v>
      </c>
      <c r="H46" s="68" t="s">
        <v>1447</v>
      </c>
      <c r="I46" s="325">
        <f t="shared" ref="I46:I54" si="15">D46-J46</f>
        <v>0</v>
      </c>
      <c r="J46" s="325">
        <f t="shared" ref="J46:J54" si="16">E46*D46</f>
        <v>0</v>
      </c>
      <c r="K46" s="293">
        <f>F46*D46</f>
        <v>0</v>
      </c>
      <c r="L46" s="293">
        <f>D46-K46</f>
        <v>0</v>
      </c>
      <c r="N46" s="66"/>
      <c r="O46" s="900"/>
      <c r="P46" s="900"/>
      <c r="Q46" s="900"/>
      <c r="S46" s="900"/>
    </row>
    <row r="47" spans="1:22" outlineLevel="2">
      <c r="A47" s="68"/>
      <c r="B47" s="562" t="str">
        <f>'Plant Configuration'!C86</f>
        <v>Building repairs &amp; painting</v>
      </c>
      <c r="C47" s="54"/>
      <c r="D47" s="524">
        <f>IF($O$7=6,0,HLOOKUP($D$5,Plant_Configuration,'Plant Configuration'!A86,FALSE))+IF($R$7=6,0,HLOOKUP($E$5,Plant_Configuration,'Plant Configuration'!A86,FALSE))+IF($U$7=6,0,HLOOKUP($F$5,Plant_Configuration,'Plant Configuration'!A86,FALSE))</f>
        <v>6000</v>
      </c>
      <c r="E47" s="297">
        <v>0</v>
      </c>
      <c r="F47" s="371">
        <v>1</v>
      </c>
      <c r="H47" s="68" t="s">
        <v>1449</v>
      </c>
      <c r="I47" s="325">
        <f t="shared" si="15"/>
        <v>6000</v>
      </c>
      <c r="J47" s="325">
        <f t="shared" si="16"/>
        <v>0</v>
      </c>
      <c r="K47" s="293">
        <f>F47*D47</f>
        <v>6000</v>
      </c>
      <c r="L47" s="293">
        <f>D47-K47</f>
        <v>0</v>
      </c>
      <c r="N47" s="518" t="s">
        <v>1056</v>
      </c>
      <c r="O47" s="66"/>
    </row>
    <row r="48" spans="1:22" outlineLevel="2">
      <c r="A48" s="68"/>
      <c r="B48" s="562" t="str">
        <f>'Plant Configuration'!C87</f>
        <v>Road repairs</v>
      </c>
      <c r="C48" s="54"/>
      <c r="D48" s="524">
        <f>IF($O$7=6,0,HLOOKUP($D$5,Plant_Configuration,'Plant Configuration'!A87,FALSE))+IF($R$7=6,0,HLOOKUP($E$5,Plant_Configuration,'Plant Configuration'!A87,FALSE))+IF($U$7=6,0,HLOOKUP($F$5,Plant_Configuration,'Plant Configuration'!A87,FALSE))</f>
        <v>0</v>
      </c>
      <c r="E48" s="297">
        <v>0</v>
      </c>
      <c r="F48" s="371">
        <v>1</v>
      </c>
      <c r="H48" s="68" t="s">
        <v>504</v>
      </c>
      <c r="I48" s="325">
        <f t="shared" si="15"/>
        <v>0</v>
      </c>
      <c r="J48" s="325">
        <f t="shared" si="16"/>
        <v>0</v>
      </c>
      <c r="K48" s="293">
        <f>F48*D48</f>
        <v>0</v>
      </c>
      <c r="L48" s="293">
        <f>D48-K48</f>
        <v>0</v>
      </c>
      <c r="N48" s="66" t="s">
        <v>278</v>
      </c>
      <c r="O48" s="66"/>
    </row>
    <row r="49" spans="1:15" outlineLevel="2">
      <c r="A49" s="68"/>
      <c r="B49" s="562" t="str">
        <f>'Plant Configuration'!C88</f>
        <v>Technical/Professional Services</v>
      </c>
      <c r="C49" s="54"/>
      <c r="D49" s="524">
        <f>IF($O$7=6,0,HLOOKUP($D$5,Plant_Configuration,'Plant Configuration'!A88,FALSE))+IF($R$7=6,0,HLOOKUP($E$5,Plant_Configuration,'Plant Configuration'!A88,FALSE))+IF($U$7=6,0,HLOOKUP($F$5,Plant_Configuration,'Plant Configuration'!A88,FALSE))</f>
        <v>0</v>
      </c>
      <c r="E49" s="297">
        <v>0</v>
      </c>
      <c r="F49" s="371">
        <v>1</v>
      </c>
      <c r="H49" s="68" t="s">
        <v>505</v>
      </c>
      <c r="I49" s="325">
        <f t="shared" si="15"/>
        <v>0</v>
      </c>
      <c r="J49" s="325">
        <f t="shared" si="16"/>
        <v>0</v>
      </c>
      <c r="K49" s="293">
        <f>F49*D49</f>
        <v>0</v>
      </c>
      <c r="L49" s="293">
        <f>D49-K49</f>
        <v>0</v>
      </c>
      <c r="N49" s="518" t="s">
        <v>1057</v>
      </c>
      <c r="O49" s="66"/>
    </row>
    <row r="50" spans="1:15" outlineLevel="2">
      <c r="A50" s="68"/>
      <c r="B50" s="562" t="str">
        <f>'Plant Configuration'!C89</f>
        <v>Outside services Contract labor</v>
      </c>
      <c r="C50" s="54"/>
      <c r="D50" s="524">
        <f>IF($O$7=6,0,HLOOKUP($D$5,Plant_Configuration,'Plant Configuration'!A89,FALSE))+IF($R$7=6,0,HLOOKUP($E$5,Plant_Configuration,'Plant Configuration'!A89,FALSE))+IF($U$7=6,0,HLOOKUP($F$5,Plant_Configuration,'Plant Configuration'!A89,FALSE))</f>
        <v>0</v>
      </c>
      <c r="E50" s="297">
        <v>0</v>
      </c>
      <c r="F50" s="371">
        <v>1</v>
      </c>
      <c r="H50" s="68" t="s">
        <v>687</v>
      </c>
      <c r="I50" s="325">
        <f t="shared" si="15"/>
        <v>0</v>
      </c>
      <c r="J50" s="325">
        <f t="shared" si="16"/>
        <v>0</v>
      </c>
      <c r="K50" s="293"/>
      <c r="L50" s="293"/>
      <c r="N50" s="66"/>
      <c r="O50" s="66"/>
    </row>
    <row r="51" spans="1:15" outlineLevel="2">
      <c r="A51" s="68"/>
      <c r="B51" s="562" t="str">
        <f>'Plant Configuration'!C90</f>
        <v>Equipment Rentals</v>
      </c>
      <c r="C51" s="54"/>
      <c r="D51" s="524">
        <f>IF($O$7=6,0,HLOOKUP($D$5,Plant_Configuration,'Plant Configuration'!A90,FALSE))+IF($R$7=6,0,HLOOKUP($E$5,Plant_Configuration,'Plant Configuration'!A90,FALSE))+IF($U$7=6,0,HLOOKUP($F$5,Plant_Configuration,'Plant Configuration'!A90,FALSE))</f>
        <v>2000</v>
      </c>
      <c r="E51" s="297">
        <v>0</v>
      </c>
      <c r="F51" s="371">
        <v>1</v>
      </c>
      <c r="H51" s="68"/>
      <c r="I51" s="325">
        <f t="shared" si="15"/>
        <v>2000</v>
      </c>
      <c r="J51" s="325">
        <f t="shared" si="16"/>
        <v>0</v>
      </c>
      <c r="K51" s="293"/>
      <c r="L51" s="293"/>
      <c r="N51" s="518" t="s">
        <v>1058</v>
      </c>
      <c r="O51" s="66"/>
    </row>
    <row r="52" spans="1:15" outlineLevel="2">
      <c r="A52" s="68"/>
      <c r="B52" s="562" t="str">
        <f>'Plant Configuration'!C91</f>
        <v>Other Rents</v>
      </c>
      <c r="C52" s="54"/>
      <c r="D52" s="524">
        <f>IF($O$7=6,0,HLOOKUP($D$5,Plant_Configuration,'Plant Configuration'!A91,FALSE))+IF($R$7=6,0,HLOOKUP($E$5,Plant_Configuration,'Plant Configuration'!A91,FALSE))+IF($U$7=6,0,HLOOKUP($F$5,Plant_Configuration,'Plant Configuration'!A91,FALSE))</f>
        <v>0</v>
      </c>
      <c r="E52" s="297">
        <v>0</v>
      </c>
      <c r="F52" s="371">
        <v>1</v>
      </c>
      <c r="H52" s="68"/>
      <c r="I52" s="325">
        <f t="shared" si="15"/>
        <v>0</v>
      </c>
      <c r="J52" s="325">
        <f t="shared" si="16"/>
        <v>0</v>
      </c>
      <c r="K52" s="293"/>
      <c r="L52" s="293"/>
      <c r="N52" s="66"/>
      <c r="O52" s="66"/>
    </row>
    <row r="53" spans="1:15" outlineLevel="2">
      <c r="A53" s="68"/>
      <c r="B53" s="562" t="str">
        <f>'Plant Configuration'!C92</f>
        <v>Supplies</v>
      </c>
      <c r="C53" s="54"/>
      <c r="D53" s="524">
        <f>IF($O$7=6,0,HLOOKUP($D$5,Plant_Configuration,'Plant Configuration'!A92,FALSE))+IF($R$7=6,0,HLOOKUP($E$5,Plant_Configuration,'Plant Configuration'!A92,FALSE))+IF($U$7=6,0,HLOOKUP($F$5,Plant_Configuration,'Plant Configuration'!A92,FALSE))</f>
        <v>0</v>
      </c>
      <c r="E53" s="297">
        <v>0</v>
      </c>
      <c r="F53" s="371">
        <v>1</v>
      </c>
      <c r="H53" s="68"/>
      <c r="I53" s="325">
        <f t="shared" si="15"/>
        <v>0</v>
      </c>
      <c r="J53" s="325">
        <f t="shared" si="16"/>
        <v>0</v>
      </c>
      <c r="K53" s="293"/>
      <c r="L53" s="293"/>
      <c r="N53" s="66"/>
      <c r="O53" s="66"/>
    </row>
    <row r="54" spans="1:15" outlineLevel="2">
      <c r="A54" s="68"/>
      <c r="B54" s="562" t="str">
        <f>'Plant Configuration'!C93</f>
        <v>Other</v>
      </c>
      <c r="C54" s="54"/>
      <c r="D54" s="524">
        <f>IF($O$7=6,0,HLOOKUP($D$5,Plant_Configuration,'Plant Configuration'!A93,FALSE))+IF($R$7=6,0,HLOOKUP($E$5,Plant_Configuration,'Plant Configuration'!A93,FALSE))+IF($U$7=6,0,HLOOKUP($F$5,Plant_Configuration,'Plant Configuration'!A93,FALSE))</f>
        <v>0</v>
      </c>
      <c r="E54" s="297">
        <v>0</v>
      </c>
      <c r="F54" s="371">
        <v>1</v>
      </c>
      <c r="H54" s="68"/>
      <c r="I54" s="325">
        <f t="shared" si="15"/>
        <v>0</v>
      </c>
      <c r="J54" s="325">
        <f t="shared" si="16"/>
        <v>0</v>
      </c>
      <c r="K54" s="293"/>
      <c r="L54" s="293"/>
      <c r="N54" s="66"/>
      <c r="O54" s="66"/>
    </row>
    <row r="55" spans="1:15" s="352" customFormat="1" outlineLevel="1">
      <c r="A55" s="358"/>
      <c r="B55" s="565" t="s">
        <v>1401</v>
      </c>
      <c r="C55"/>
      <c r="D55" s="353">
        <f>SUBTOTAL(9,D46:D54)</f>
        <v>8000</v>
      </c>
      <c r="E55" s="354"/>
      <c r="F55" s="372"/>
      <c r="G55" s="111"/>
      <c r="H55" s="68" t="s">
        <v>691</v>
      </c>
      <c r="I55" s="353">
        <f>SUBTOTAL(9,I46:I52)</f>
        <v>8000</v>
      </c>
      <c r="J55" s="353">
        <f>SUBTOTAL(9,J46:J52)</f>
        <v>0</v>
      </c>
      <c r="K55" s="353">
        <f>SUBTOTAL(9,K46:K52)</f>
        <v>6000</v>
      </c>
      <c r="L55" s="353">
        <f>SUBTOTAL(9,L46:L52)</f>
        <v>0</v>
      </c>
    </row>
    <row r="56" spans="1:15" s="352" customFormat="1" outlineLevel="1">
      <c r="A56" s="355" t="s">
        <v>80</v>
      </c>
      <c r="B56" s="563"/>
      <c r="C56" s="356"/>
      <c r="D56" s="347"/>
      <c r="E56" s="348"/>
      <c r="F56" s="370"/>
      <c r="G56" s="111"/>
      <c r="H56" s="357"/>
      <c r="I56" s="327">
        <f>IF(D84=0,0,I84/D84)</f>
        <v>1</v>
      </c>
      <c r="J56" s="327">
        <f>1-I56</f>
        <v>0</v>
      </c>
      <c r="K56" s="350">
        <f>IF(D84=0,0,K84/D84)</f>
        <v>1</v>
      </c>
      <c r="L56" s="350">
        <f>1-K56</f>
        <v>0</v>
      </c>
    </row>
    <row r="57" spans="1:15" outlineLevel="2">
      <c r="A57" s="68"/>
      <c r="B57" s="562" t="str">
        <f>'Plant Configuration'!C96</f>
        <v>Office Supplies &amp; Expenses</v>
      </c>
      <c r="C57" s="54"/>
      <c r="D57" s="524">
        <f>IF($O$7=6,0,HLOOKUP($D$5,Plant_Configuration,'Plant Configuration'!A96,FALSE))+IF($R$7=6,0,HLOOKUP($E$5,Plant_Configuration,'Plant Configuration'!A96,FALSE))+IF($U$7=6,0,HLOOKUP($F$5,Plant_Configuration,'Plant Configuration'!A96,FALSE))</f>
        <v>4090.9090909090905</v>
      </c>
      <c r="E57" s="297">
        <v>0</v>
      </c>
      <c r="F57" s="371">
        <v>1</v>
      </c>
      <c r="H57" s="68" t="s">
        <v>882</v>
      </c>
      <c r="I57" s="325">
        <f t="shared" ref="I57:I83" si="17">D57-J57</f>
        <v>4090.9090909090905</v>
      </c>
      <c r="J57" s="325">
        <f t="shared" ref="J57:J83" si="18">E57*D57</f>
        <v>0</v>
      </c>
      <c r="K57" s="293">
        <f t="shared" ref="K57:K83" si="19">F57*D57</f>
        <v>4090.9090909090905</v>
      </c>
      <c r="L57" s="293">
        <f t="shared" ref="L57:L82" si="20">D57-K57</f>
        <v>0</v>
      </c>
      <c r="N57" s="66"/>
      <c r="O57" s="66"/>
    </row>
    <row r="58" spans="1:15" outlineLevel="2">
      <c r="A58" s="68"/>
      <c r="B58" s="562" t="str">
        <f>'Plant Configuration'!C97</f>
        <v>Materials &amp; Supplies</v>
      </c>
      <c r="C58" s="54"/>
      <c r="D58" s="524">
        <f>IF($O$7=6,0,HLOOKUP($D$5,Plant_Configuration,'Plant Configuration'!A97,FALSE))+IF($R$7=6,0,HLOOKUP($E$5,Plant_Configuration,'Plant Configuration'!A97,FALSE))+IF($U$7=6,0,HLOOKUP($F$5,Plant_Configuration,'Plant Configuration'!A97,FALSE))</f>
        <v>2045.4545454545453</v>
      </c>
      <c r="E58" s="297">
        <v>0</v>
      </c>
      <c r="F58" s="371">
        <v>1</v>
      </c>
      <c r="H58" s="68" t="s">
        <v>883</v>
      </c>
      <c r="I58" s="325">
        <f t="shared" si="17"/>
        <v>2045.4545454545453</v>
      </c>
      <c r="J58" s="325">
        <f t="shared" si="18"/>
        <v>0</v>
      </c>
      <c r="K58" s="293">
        <f t="shared" si="19"/>
        <v>2045.4545454545453</v>
      </c>
      <c r="L58" s="293">
        <f t="shared" si="20"/>
        <v>0</v>
      </c>
      <c r="N58" s="66"/>
      <c r="O58" s="66"/>
    </row>
    <row r="59" spans="1:15" outlineLevel="2">
      <c r="A59" s="68"/>
      <c r="B59" s="562" t="str">
        <f>'Plant Configuration'!C98</f>
        <v>Outside Services Contract Labor</v>
      </c>
      <c r="C59" s="54"/>
      <c r="D59" s="524">
        <f>IF($O$7=6,0,HLOOKUP($D$5,Plant_Configuration,'Plant Configuration'!A98,FALSE))+IF($R$7=6,0,HLOOKUP($E$5,Plant_Configuration,'Plant Configuration'!A98,FALSE))+IF($U$7=6,0,HLOOKUP($F$5,Plant_Configuration,'Plant Configuration'!A98,FALSE))</f>
        <v>818.18181818181813</v>
      </c>
      <c r="E59" s="297">
        <v>0</v>
      </c>
      <c r="F59" s="371">
        <v>1</v>
      </c>
      <c r="H59" s="68" t="s">
        <v>884</v>
      </c>
      <c r="I59" s="325">
        <f t="shared" si="17"/>
        <v>818.18181818181813</v>
      </c>
      <c r="J59" s="325">
        <f t="shared" si="18"/>
        <v>0</v>
      </c>
      <c r="K59" s="293">
        <f t="shared" si="19"/>
        <v>818.18181818181813</v>
      </c>
      <c r="L59" s="293">
        <f t="shared" si="20"/>
        <v>0</v>
      </c>
      <c r="N59" s="66"/>
      <c r="O59" s="66"/>
    </row>
    <row r="60" spans="1:15" outlineLevel="2">
      <c r="A60" s="68"/>
      <c r="B60" s="562" t="str">
        <f>'Plant Configuration'!C99</f>
        <v>Technical/Professional Services</v>
      </c>
      <c r="C60" s="54"/>
      <c r="D60" s="524">
        <f>IF($O$7=6,0,HLOOKUP($D$5,Plant_Configuration,'Plant Configuration'!A99,FALSE))+IF($R$7=6,0,HLOOKUP($E$5,Plant_Configuration,'Plant Configuration'!A99,FALSE))+IF($U$7=6,0,HLOOKUP($F$5,Plant_Configuration,'Plant Configuration'!A99,FALSE))</f>
        <v>0</v>
      </c>
      <c r="E60" s="297">
        <v>0</v>
      </c>
      <c r="F60" s="371">
        <v>1</v>
      </c>
      <c r="H60" s="68"/>
      <c r="I60" s="325">
        <f t="shared" si="17"/>
        <v>0</v>
      </c>
      <c r="J60" s="325">
        <f t="shared" si="18"/>
        <v>0</v>
      </c>
      <c r="K60" s="293">
        <f t="shared" si="19"/>
        <v>0</v>
      </c>
      <c r="L60" s="293">
        <f t="shared" si="20"/>
        <v>0</v>
      </c>
      <c r="N60" s="66"/>
      <c r="O60" s="66"/>
    </row>
    <row r="61" spans="1:15" outlineLevel="2">
      <c r="A61" s="68"/>
      <c r="B61" s="562" t="str">
        <f>'Plant Configuration'!C100</f>
        <v>Legal</v>
      </c>
      <c r="C61" s="54"/>
      <c r="D61" s="524">
        <f>IF($O$7=6,0,HLOOKUP($D$5,Plant_Configuration,'Plant Configuration'!A100,FALSE))+IF($R$7=6,0,HLOOKUP($E$5,Plant_Configuration,'Plant Configuration'!A100,FALSE))+IF($U$7=6,0,HLOOKUP($F$5,Plant_Configuration,'Plant Configuration'!A100,FALSE))</f>
        <v>10000</v>
      </c>
      <c r="E61" s="297">
        <v>0</v>
      </c>
      <c r="F61" s="371">
        <v>1</v>
      </c>
      <c r="H61" s="68" t="s">
        <v>512</v>
      </c>
      <c r="I61" s="325">
        <f t="shared" si="17"/>
        <v>10000</v>
      </c>
      <c r="J61" s="325">
        <f t="shared" si="18"/>
        <v>0</v>
      </c>
      <c r="K61" s="293">
        <f t="shared" si="19"/>
        <v>10000</v>
      </c>
      <c r="L61" s="293">
        <f t="shared" si="20"/>
        <v>0</v>
      </c>
      <c r="N61" s="66"/>
      <c r="O61" s="66"/>
    </row>
    <row r="62" spans="1:15" outlineLevel="2">
      <c r="A62" s="68"/>
      <c r="B62" s="562" t="str">
        <f>'Plant Configuration'!C101</f>
        <v>Accounting</v>
      </c>
      <c r="C62" s="54"/>
      <c r="D62" s="524">
        <f>IF($O$7=6,0,HLOOKUP($D$5,Plant_Configuration,'Plant Configuration'!A101,FALSE))+IF($R$7=6,0,HLOOKUP($E$5,Plant_Configuration,'Plant Configuration'!A101,FALSE))+IF($U$7=6,0,HLOOKUP($F$5,Plant_Configuration,'Plant Configuration'!A101,FALSE))</f>
        <v>2400</v>
      </c>
      <c r="E62" s="297">
        <v>0</v>
      </c>
      <c r="F62" s="371">
        <v>1</v>
      </c>
      <c r="H62" s="68" t="s">
        <v>513</v>
      </c>
      <c r="I62" s="325">
        <f t="shared" si="17"/>
        <v>2400</v>
      </c>
      <c r="J62" s="325">
        <f t="shared" si="18"/>
        <v>0</v>
      </c>
      <c r="K62" s="293">
        <f t="shared" si="19"/>
        <v>2400</v>
      </c>
      <c r="L62" s="293">
        <f t="shared" si="20"/>
        <v>0</v>
      </c>
      <c r="N62" s="66"/>
      <c r="O62" s="66"/>
    </row>
    <row r="63" spans="1:15" outlineLevel="2">
      <c r="A63" s="68"/>
      <c r="B63" s="562" t="str">
        <f>'Plant Configuration'!C102</f>
        <v>Office Equipment Maint.</v>
      </c>
      <c r="C63" s="54"/>
      <c r="D63" s="524">
        <f>IF($O$7=6,0,HLOOKUP($D$5,Plant_Configuration,'Plant Configuration'!A102,FALSE))+IF($R$7=6,0,HLOOKUP($E$5,Plant_Configuration,'Plant Configuration'!A102,FALSE))+IF($U$7=6,0,HLOOKUP($F$5,Plant_Configuration,'Plant Configuration'!A102,FALSE))</f>
        <v>2000</v>
      </c>
      <c r="E63" s="297">
        <v>0</v>
      </c>
      <c r="F63" s="371">
        <v>1</v>
      </c>
      <c r="H63" s="68"/>
      <c r="I63" s="325">
        <f t="shared" si="17"/>
        <v>2000</v>
      </c>
      <c r="J63" s="325">
        <f t="shared" si="18"/>
        <v>0</v>
      </c>
      <c r="K63" s="293">
        <f t="shared" si="19"/>
        <v>2000</v>
      </c>
      <c r="L63" s="293">
        <f t="shared" si="20"/>
        <v>0</v>
      </c>
      <c r="N63" s="66"/>
      <c r="O63" s="66"/>
    </row>
    <row r="64" spans="1:15" outlineLevel="2">
      <c r="A64" s="68"/>
      <c r="B64" s="562" t="str">
        <f>'Plant Configuration'!C103</f>
        <v>Tax</v>
      </c>
      <c r="C64" s="54"/>
      <c r="D64" s="524">
        <f>IF($O$7=6,0,HLOOKUP($D$5,Plant_Configuration,'Plant Configuration'!A103,FALSE))+IF($R$7=6,0,HLOOKUP($E$5,Plant_Configuration,'Plant Configuration'!A103,FALSE))+IF($U$7=6,0,HLOOKUP($F$5,Plant_Configuration,'Plant Configuration'!A103,FALSE))</f>
        <v>6000</v>
      </c>
      <c r="E64" s="297">
        <v>0</v>
      </c>
      <c r="F64" s="371">
        <v>1</v>
      </c>
      <c r="H64" s="68" t="s">
        <v>515</v>
      </c>
      <c r="I64" s="325">
        <f t="shared" si="17"/>
        <v>6000</v>
      </c>
      <c r="J64" s="325">
        <f t="shared" si="18"/>
        <v>0</v>
      </c>
      <c r="K64" s="293">
        <f t="shared" si="19"/>
        <v>6000</v>
      </c>
      <c r="L64" s="293">
        <f t="shared" si="20"/>
        <v>0</v>
      </c>
      <c r="N64" s="66"/>
      <c r="O64" s="66"/>
    </row>
    <row r="65" spans="1:15" outlineLevel="2">
      <c r="A65" s="68"/>
      <c r="B65" s="562" t="str">
        <f>'Plant Configuration'!C104</f>
        <v>Regional Technical Support</v>
      </c>
      <c r="C65" s="54"/>
      <c r="D65" s="524">
        <f>IF($O$7=6,0,HLOOKUP($D$5,Plant_Configuration,'Plant Configuration'!A104,FALSE))+IF($R$7=6,0,HLOOKUP($E$5,Plant_Configuration,'Plant Configuration'!A104,FALSE))+IF($U$7=6,0,HLOOKUP($F$5,Plant_Configuration,'Plant Configuration'!A104,FALSE))</f>
        <v>12000</v>
      </c>
      <c r="E65" s="297">
        <v>0</v>
      </c>
      <c r="F65" s="371">
        <v>1</v>
      </c>
      <c r="H65" s="68" t="s">
        <v>516</v>
      </c>
      <c r="I65" s="325">
        <f t="shared" si="17"/>
        <v>12000</v>
      </c>
      <c r="J65" s="325">
        <f t="shared" si="18"/>
        <v>0</v>
      </c>
      <c r="K65" s="293">
        <f t="shared" si="19"/>
        <v>12000</v>
      </c>
      <c r="L65" s="293">
        <f t="shared" si="20"/>
        <v>0</v>
      </c>
      <c r="N65" s="66"/>
      <c r="O65" s="66"/>
    </row>
    <row r="66" spans="1:15" outlineLevel="2">
      <c r="A66" s="68"/>
      <c r="B66" s="562" t="str">
        <f>'Plant Configuration'!C105</f>
        <v>Customs</v>
      </c>
      <c r="C66" s="54"/>
      <c r="D66" s="524">
        <f>IF($O$7=6,0,HLOOKUP($D$5,Plant_Configuration,'Plant Configuration'!A105,FALSE))+IF($R$7=6,0,HLOOKUP($E$5,Plant_Configuration,'Plant Configuration'!A105,FALSE))+IF($U$7=6,0,HLOOKUP($F$5,Plant_Configuration,'Plant Configuration'!A105,FALSE))</f>
        <v>0</v>
      </c>
      <c r="E66" s="297">
        <v>0</v>
      </c>
      <c r="F66" s="371">
        <v>1</v>
      </c>
      <c r="H66" s="68"/>
      <c r="I66" s="325">
        <f t="shared" si="17"/>
        <v>0</v>
      </c>
      <c r="J66" s="325">
        <f t="shared" si="18"/>
        <v>0</v>
      </c>
      <c r="K66" s="293">
        <f t="shared" si="19"/>
        <v>0</v>
      </c>
      <c r="L66" s="293">
        <f t="shared" si="20"/>
        <v>0</v>
      </c>
      <c r="N66" s="66"/>
      <c r="O66" s="66"/>
    </row>
    <row r="67" spans="1:15" outlineLevel="2">
      <c r="A67" s="68"/>
      <c r="B67" s="562" t="str">
        <f>'Plant Configuration'!C106</f>
        <v>Regulatory</v>
      </c>
      <c r="C67" s="54"/>
      <c r="D67" s="524">
        <f>IF($O$7=6,0,HLOOKUP($D$5,Plant_Configuration,'Plant Configuration'!A106,FALSE))+IF($R$7=6,0,HLOOKUP($E$5,Plant_Configuration,'Plant Configuration'!A106,FALSE))+IF($U$7=6,0,HLOOKUP($F$5,Plant_Configuration,'Plant Configuration'!A106,FALSE))</f>
        <v>0</v>
      </c>
      <c r="E67" s="297">
        <v>0</v>
      </c>
      <c r="F67" s="371">
        <v>1</v>
      </c>
      <c r="H67" s="68"/>
      <c r="I67" s="325">
        <f t="shared" si="17"/>
        <v>0</v>
      </c>
      <c r="J67" s="325">
        <f t="shared" si="18"/>
        <v>0</v>
      </c>
      <c r="K67" s="293">
        <f t="shared" si="19"/>
        <v>0</v>
      </c>
      <c r="L67" s="293">
        <f t="shared" si="20"/>
        <v>0</v>
      </c>
      <c r="N67" s="66"/>
      <c r="O67" s="66"/>
    </row>
    <row r="68" spans="1:15" outlineLevel="2">
      <c r="A68" s="68"/>
      <c r="B68" s="562" t="str">
        <f>'Plant Configuration'!C107</f>
        <v>Other Outside Services</v>
      </c>
      <c r="C68" s="54"/>
      <c r="D68" s="524">
        <f>IF($O$7=6,0,HLOOKUP($D$5,Plant_Configuration,'Plant Configuration'!A107,FALSE))+IF($R$7=6,0,HLOOKUP($E$5,Plant_Configuration,'Plant Configuration'!A107,FALSE))+IF($U$7=6,0,HLOOKUP($F$5,Plant_Configuration,'Plant Configuration'!A107,FALSE))</f>
        <v>2000</v>
      </c>
      <c r="E68" s="297">
        <v>0</v>
      </c>
      <c r="F68" s="371">
        <v>1</v>
      </c>
      <c r="H68" s="68"/>
      <c r="I68" s="325">
        <f t="shared" si="17"/>
        <v>2000</v>
      </c>
      <c r="J68" s="325">
        <f t="shared" si="18"/>
        <v>0</v>
      </c>
      <c r="K68" s="293">
        <f t="shared" si="19"/>
        <v>2000</v>
      </c>
      <c r="L68" s="293">
        <f t="shared" si="20"/>
        <v>0</v>
      </c>
      <c r="N68" s="66"/>
      <c r="O68" s="66"/>
    </row>
    <row r="69" spans="1:15" outlineLevel="2">
      <c r="A69" s="68"/>
      <c r="B69" s="562" t="str">
        <f>'Plant Configuration'!C108</f>
        <v>Office Equipment Rental</v>
      </c>
      <c r="C69" s="54"/>
      <c r="D69" s="524">
        <f>IF($O$7=6,0,HLOOKUP($D$5,Plant_Configuration,'Plant Configuration'!A108,FALSE))+IF($R$7=6,0,HLOOKUP($E$5,Plant_Configuration,'Plant Configuration'!A108,FALSE))+IF($U$7=6,0,HLOOKUP($F$5,Plant_Configuration,'Plant Configuration'!A108,FALSE))</f>
        <v>2400</v>
      </c>
      <c r="E69" s="297">
        <v>0</v>
      </c>
      <c r="F69" s="371">
        <v>1</v>
      </c>
      <c r="H69" s="68" t="s">
        <v>518</v>
      </c>
      <c r="I69" s="325">
        <f t="shared" si="17"/>
        <v>2400</v>
      </c>
      <c r="J69" s="325">
        <f t="shared" si="18"/>
        <v>0</v>
      </c>
      <c r="K69" s="293">
        <f t="shared" si="19"/>
        <v>2400</v>
      </c>
      <c r="L69" s="293">
        <f t="shared" si="20"/>
        <v>0</v>
      </c>
      <c r="N69" s="66"/>
      <c r="O69" s="66"/>
    </row>
    <row r="70" spans="1:15" outlineLevel="2">
      <c r="A70" s="68"/>
      <c r="B70" s="562" t="str">
        <f>'Plant Configuration'!C109</f>
        <v>Other Rents</v>
      </c>
      <c r="C70" s="54"/>
      <c r="D70" s="524">
        <f>IF($O$7=6,0,HLOOKUP($D$5,Plant_Configuration,'Plant Configuration'!A109,FALSE))+IF($R$7=6,0,HLOOKUP($E$5,Plant_Configuration,'Plant Configuration'!A109,FALSE))+IF($U$7=6,0,HLOOKUP($F$5,Plant_Configuration,'Plant Configuration'!A109,FALSE))</f>
        <v>0</v>
      </c>
      <c r="E70" s="297">
        <v>0</v>
      </c>
      <c r="F70" s="371">
        <v>1</v>
      </c>
      <c r="H70" s="68" t="s">
        <v>520</v>
      </c>
      <c r="I70" s="325">
        <f t="shared" si="17"/>
        <v>0</v>
      </c>
      <c r="J70" s="325">
        <f t="shared" si="18"/>
        <v>0</v>
      </c>
      <c r="K70" s="293">
        <f t="shared" si="19"/>
        <v>0</v>
      </c>
      <c r="L70" s="293">
        <f t="shared" si="20"/>
        <v>0</v>
      </c>
      <c r="N70" s="66"/>
      <c r="O70" s="66"/>
    </row>
    <row r="71" spans="1:15" outlineLevel="2">
      <c r="A71" s="68"/>
      <c r="B71" s="562" t="str">
        <f>'Plant Configuration'!C110</f>
        <v>Radio parts/repair</v>
      </c>
      <c r="C71" s="54"/>
      <c r="D71" s="524">
        <f>IF($O$7=6,0,HLOOKUP($D$5,Plant_Configuration,'Plant Configuration'!A110,FALSE))+IF($R$7=6,0,HLOOKUP($E$5,Plant_Configuration,'Plant Configuration'!A110,FALSE))+IF($U$7=6,0,HLOOKUP($F$5,Plant_Configuration,'Plant Configuration'!A110,FALSE))</f>
        <v>1000</v>
      </c>
      <c r="E71" s="297">
        <v>0</v>
      </c>
      <c r="F71" s="371">
        <v>1</v>
      </c>
      <c r="H71" s="68"/>
      <c r="I71" s="325">
        <f t="shared" si="17"/>
        <v>1000</v>
      </c>
      <c r="J71" s="325">
        <f t="shared" si="18"/>
        <v>0</v>
      </c>
      <c r="K71" s="293">
        <f t="shared" si="19"/>
        <v>1000</v>
      </c>
      <c r="L71" s="293">
        <f t="shared" si="20"/>
        <v>0</v>
      </c>
      <c r="N71" s="66"/>
      <c r="O71" s="66"/>
    </row>
    <row r="72" spans="1:15" outlineLevel="2">
      <c r="A72" s="68"/>
      <c r="B72" s="562" t="str">
        <f>'Plant Configuration'!C111</f>
        <v>PC Hardware (purchase)</v>
      </c>
      <c r="C72" s="54"/>
      <c r="D72" s="524">
        <f>IF($O$7=6,0,HLOOKUP($D$5,Plant_Configuration,'Plant Configuration'!A111,FALSE))+IF($R$7=6,0,HLOOKUP($E$5,Plant_Configuration,'Plant Configuration'!A111,FALSE))+IF($U$7=6,0,HLOOKUP($F$5,Plant_Configuration,'Plant Configuration'!A111,FALSE))</f>
        <v>3000</v>
      </c>
      <c r="E72" s="297">
        <v>0</v>
      </c>
      <c r="F72" s="371">
        <v>1</v>
      </c>
      <c r="H72" s="68" t="s">
        <v>522</v>
      </c>
      <c r="I72" s="325">
        <f t="shared" si="17"/>
        <v>3000</v>
      </c>
      <c r="J72" s="325">
        <f t="shared" si="18"/>
        <v>0</v>
      </c>
      <c r="K72" s="293">
        <f t="shared" si="19"/>
        <v>3000</v>
      </c>
      <c r="L72" s="293">
        <f t="shared" si="20"/>
        <v>0</v>
      </c>
      <c r="N72" s="66"/>
      <c r="O72" s="66"/>
    </row>
    <row r="73" spans="1:15" outlineLevel="2">
      <c r="A73" s="68"/>
      <c r="B73" s="562" t="str">
        <f>'Plant Configuration'!C112</f>
        <v>PC Software</v>
      </c>
      <c r="C73" s="54"/>
      <c r="D73" s="524">
        <f>IF($O$7=6,0,HLOOKUP($D$5,Plant_Configuration,'Plant Configuration'!A112,FALSE))+IF($R$7=6,0,HLOOKUP($E$5,Plant_Configuration,'Plant Configuration'!A112,FALSE))+IF($U$7=6,0,HLOOKUP($F$5,Plant_Configuration,'Plant Configuration'!A112,FALSE))</f>
        <v>2000</v>
      </c>
      <c r="E73" s="297">
        <v>0</v>
      </c>
      <c r="F73" s="371">
        <v>1</v>
      </c>
      <c r="H73" s="68" t="s">
        <v>524</v>
      </c>
      <c r="I73" s="325">
        <f t="shared" si="17"/>
        <v>2000</v>
      </c>
      <c r="J73" s="325">
        <f t="shared" si="18"/>
        <v>0</v>
      </c>
      <c r="K73" s="293">
        <f t="shared" si="19"/>
        <v>2000</v>
      </c>
      <c r="L73" s="293">
        <f t="shared" si="20"/>
        <v>0</v>
      </c>
      <c r="N73" s="66"/>
      <c r="O73" s="66"/>
    </row>
    <row r="74" spans="1:15" outlineLevel="2">
      <c r="A74" s="68"/>
      <c r="B74" s="562" t="str">
        <f>'Plant Configuration'!C113</f>
        <v>PC Hardware Rental/Lease</v>
      </c>
      <c r="C74" s="54"/>
      <c r="D74" s="524">
        <f>IF($O$7=6,0,HLOOKUP($D$5,Plant_Configuration,'Plant Configuration'!A113,FALSE))+IF($R$7=6,0,HLOOKUP($E$5,Plant_Configuration,'Plant Configuration'!A113,FALSE))+IF($U$7=6,0,HLOOKUP($F$5,Plant_Configuration,'Plant Configuration'!A113,FALSE))</f>
        <v>0</v>
      </c>
      <c r="E74" s="297">
        <v>0</v>
      </c>
      <c r="F74" s="371">
        <v>1</v>
      </c>
      <c r="H74" s="68" t="s">
        <v>526</v>
      </c>
      <c r="I74" s="325">
        <f t="shared" si="17"/>
        <v>0</v>
      </c>
      <c r="J74" s="325">
        <f t="shared" si="18"/>
        <v>0</v>
      </c>
      <c r="K74" s="293">
        <f t="shared" si="19"/>
        <v>0</v>
      </c>
      <c r="L74" s="293">
        <f t="shared" si="20"/>
        <v>0</v>
      </c>
      <c r="N74" s="66"/>
      <c r="O74" s="66"/>
    </row>
    <row r="75" spans="1:15" outlineLevel="2">
      <c r="A75" s="68"/>
      <c r="B75" s="562" t="str">
        <f>'Plant Configuration'!C114</f>
        <v>PC Maintenance</v>
      </c>
      <c r="C75" s="54"/>
      <c r="D75" s="524">
        <f>IF($O$7=6,0,HLOOKUP($D$5,Plant_Configuration,'Plant Configuration'!A114,FALSE))+IF($R$7=6,0,HLOOKUP($E$5,Plant_Configuration,'Plant Configuration'!A114,FALSE))+IF($U$7=6,0,HLOOKUP($F$5,Plant_Configuration,'Plant Configuration'!A114,FALSE))</f>
        <v>1000</v>
      </c>
      <c r="E75" s="297">
        <v>0</v>
      </c>
      <c r="F75" s="371">
        <v>1</v>
      </c>
      <c r="H75" s="68"/>
      <c r="I75" s="325">
        <f t="shared" si="17"/>
        <v>1000</v>
      </c>
      <c r="J75" s="325">
        <f t="shared" si="18"/>
        <v>0</v>
      </c>
      <c r="K75" s="293">
        <f t="shared" si="19"/>
        <v>1000</v>
      </c>
      <c r="L75" s="293">
        <f t="shared" si="20"/>
        <v>0</v>
      </c>
      <c r="N75" s="66"/>
      <c r="O75" s="66"/>
    </row>
    <row r="76" spans="1:15" outlineLevel="2">
      <c r="A76" s="68"/>
      <c r="B76" s="562" t="str">
        <f>'Plant Configuration'!C115</f>
        <v>Postage &amp; Freight Expenses</v>
      </c>
      <c r="C76" s="54"/>
      <c r="D76" s="524">
        <f>IF($O$7=6,0,HLOOKUP($D$5,Plant_Configuration,'Plant Configuration'!A115,FALSE))+IF($R$7=6,0,HLOOKUP($E$5,Plant_Configuration,'Plant Configuration'!A115,FALSE))+IF($U$7=6,0,HLOOKUP($F$5,Plant_Configuration,'Plant Configuration'!A115,FALSE))</f>
        <v>3600</v>
      </c>
      <c r="E76" s="297">
        <v>0</v>
      </c>
      <c r="F76" s="371">
        <v>1</v>
      </c>
      <c r="H76" s="68" t="s">
        <v>529</v>
      </c>
      <c r="I76" s="325">
        <f t="shared" si="17"/>
        <v>3600</v>
      </c>
      <c r="J76" s="325">
        <f t="shared" si="18"/>
        <v>0</v>
      </c>
      <c r="K76" s="293">
        <f t="shared" si="19"/>
        <v>3600</v>
      </c>
      <c r="L76" s="293">
        <f t="shared" si="20"/>
        <v>0</v>
      </c>
      <c r="N76" s="66"/>
      <c r="O76" s="66"/>
    </row>
    <row r="77" spans="1:15" outlineLevel="2">
      <c r="A77" s="68"/>
      <c r="B77" s="562" t="str">
        <f>'Plant Configuration'!C116</f>
        <v>Utilities (office water, power, gas)</v>
      </c>
      <c r="C77" s="54"/>
      <c r="D77" s="524">
        <f>IF($O$7=6,0,HLOOKUP($D$5,Plant_Configuration,'Plant Configuration'!A116,FALSE))+IF($R$7=6,0,HLOOKUP($E$5,Plant_Configuration,'Plant Configuration'!A116,FALSE))+IF($U$7=6,0,HLOOKUP($F$5,Plant_Configuration,'Plant Configuration'!A116,FALSE))</f>
        <v>12000</v>
      </c>
      <c r="E77" s="297">
        <v>0</v>
      </c>
      <c r="F77" s="371">
        <v>1</v>
      </c>
      <c r="H77" s="68" t="s">
        <v>687</v>
      </c>
      <c r="I77" s="325">
        <f t="shared" si="17"/>
        <v>12000</v>
      </c>
      <c r="J77" s="325">
        <f t="shared" si="18"/>
        <v>0</v>
      </c>
      <c r="K77" s="293">
        <f t="shared" si="19"/>
        <v>12000</v>
      </c>
      <c r="L77" s="293">
        <f t="shared" si="20"/>
        <v>0</v>
      </c>
      <c r="N77" s="66"/>
      <c r="O77" s="66"/>
    </row>
    <row r="78" spans="1:15" outlineLevel="2">
      <c r="A78" s="68"/>
      <c r="B78" s="562" t="str">
        <f>'Plant Configuration'!C117</f>
        <v>Public relations/Contributions</v>
      </c>
      <c r="C78" s="54"/>
      <c r="D78" s="524">
        <f>IF($O$7=6,0,HLOOKUP($D$5,Plant_Configuration,'Plant Configuration'!A117,FALSE))+IF($R$7=6,0,HLOOKUP($E$5,Plant_Configuration,'Plant Configuration'!A117,FALSE))+IF($U$7=6,0,HLOOKUP($F$5,Plant_Configuration,'Plant Configuration'!A117,FALSE))</f>
        <v>1000</v>
      </c>
      <c r="E78" s="297">
        <v>0</v>
      </c>
      <c r="F78" s="371">
        <v>1</v>
      </c>
      <c r="H78" s="68" t="s">
        <v>532</v>
      </c>
      <c r="I78" s="325">
        <f t="shared" si="17"/>
        <v>1000</v>
      </c>
      <c r="J78" s="325">
        <f t="shared" si="18"/>
        <v>0</v>
      </c>
      <c r="K78" s="293">
        <f t="shared" si="19"/>
        <v>1000</v>
      </c>
      <c r="L78" s="293">
        <f t="shared" si="20"/>
        <v>0</v>
      </c>
      <c r="N78" s="66"/>
      <c r="O78" s="66"/>
    </row>
    <row r="79" spans="1:15" outlineLevel="2">
      <c r="A79" s="68"/>
      <c r="B79" s="562" t="str">
        <f>'Plant Configuration'!C118</f>
        <v>Boat maintenance/repair</v>
      </c>
      <c r="C79" s="54"/>
      <c r="D79" s="524">
        <f>IF($O$7=6,0,HLOOKUP($D$5,Plant_Configuration,'Plant Configuration'!A118,FALSE))+IF($R$7=6,0,HLOOKUP($E$5,Plant_Configuration,'Plant Configuration'!A118,FALSE))+IF($U$7=6,0,HLOOKUP($F$5,Plant_Configuration,'Plant Configuration'!A118,FALSE))</f>
        <v>0</v>
      </c>
      <c r="E79" s="297">
        <v>0</v>
      </c>
      <c r="F79" s="371">
        <v>1</v>
      </c>
      <c r="H79" s="68" t="s">
        <v>534</v>
      </c>
      <c r="I79" s="325">
        <f t="shared" si="17"/>
        <v>0</v>
      </c>
      <c r="J79" s="325">
        <f t="shared" si="18"/>
        <v>0</v>
      </c>
      <c r="K79" s="293">
        <f t="shared" si="19"/>
        <v>0</v>
      </c>
      <c r="L79" s="293">
        <f t="shared" si="20"/>
        <v>0</v>
      </c>
      <c r="N79" s="66"/>
      <c r="O79" s="66"/>
    </row>
    <row r="80" spans="1:15" outlineLevel="2">
      <c r="A80" s="68"/>
      <c r="B80" s="562" t="str">
        <f>'Plant Configuration'!C119</f>
        <v>Vehicle maintenance/repair</v>
      </c>
      <c r="C80" s="54"/>
      <c r="D80" s="524">
        <f>IF($O$7=6,0,HLOOKUP($D$5,Plant_Configuration,'Plant Configuration'!A119,FALSE))+IF($R$7=6,0,HLOOKUP($E$5,Plant_Configuration,'Plant Configuration'!A119,FALSE))+IF($U$7=6,0,HLOOKUP($F$5,Plant_Configuration,'Plant Configuration'!A119,FALSE))</f>
        <v>2000</v>
      </c>
      <c r="E80" s="297">
        <v>0</v>
      </c>
      <c r="F80" s="371">
        <v>1</v>
      </c>
      <c r="H80" s="68"/>
      <c r="I80" s="325">
        <f t="shared" si="17"/>
        <v>2000</v>
      </c>
      <c r="J80" s="325">
        <f t="shared" si="18"/>
        <v>0</v>
      </c>
      <c r="K80" s="293">
        <f t="shared" si="19"/>
        <v>2000</v>
      </c>
      <c r="L80" s="293">
        <f t="shared" si="20"/>
        <v>0</v>
      </c>
      <c r="N80" s="66"/>
      <c r="O80" s="66"/>
    </row>
    <row r="81" spans="1:15" outlineLevel="2">
      <c r="A81" s="68"/>
      <c r="B81" s="562" t="str">
        <f>'Plant Configuration'!C120</f>
        <v>Vehicle fuel</v>
      </c>
      <c r="C81" s="54"/>
      <c r="D81" s="524">
        <f>IF($O$7=6,0,HLOOKUP($D$5,Plant_Configuration,'Plant Configuration'!A120,FALSE))+IF($R$7=6,0,HLOOKUP($E$5,Plant_Configuration,'Plant Configuration'!A120,FALSE))+IF($U$7=6,0,HLOOKUP($F$5,Plant_Configuration,'Plant Configuration'!A120,FALSE))</f>
        <v>14970</v>
      </c>
      <c r="E81" s="297">
        <v>0</v>
      </c>
      <c r="F81" s="371">
        <v>1</v>
      </c>
      <c r="H81" s="68" t="s">
        <v>537</v>
      </c>
      <c r="I81" s="325">
        <f t="shared" si="17"/>
        <v>14970</v>
      </c>
      <c r="J81" s="325">
        <f t="shared" si="18"/>
        <v>0</v>
      </c>
      <c r="K81" s="293">
        <f t="shared" si="19"/>
        <v>14970</v>
      </c>
      <c r="L81" s="293">
        <f t="shared" si="20"/>
        <v>0</v>
      </c>
      <c r="N81" s="66"/>
      <c r="O81" s="66"/>
    </row>
    <row r="82" spans="1:15" outlineLevel="2">
      <c r="A82" s="68"/>
      <c r="B82" s="562" t="str">
        <f>'Plant Configuration'!C121</f>
        <v>Boat fuel</v>
      </c>
      <c r="C82" s="54"/>
      <c r="D82" s="524">
        <f>IF($O$7=6,0,HLOOKUP($D$5,Plant_Configuration,'Plant Configuration'!A121,FALSE))+IF($R$7=6,0,HLOOKUP($E$5,Plant_Configuration,'Plant Configuration'!A121,FALSE))+IF($U$7=6,0,HLOOKUP($F$5,Plant_Configuration,'Plant Configuration'!A121,FALSE))</f>
        <v>0</v>
      </c>
      <c r="E82" s="297">
        <v>0</v>
      </c>
      <c r="F82" s="371">
        <v>1</v>
      </c>
      <c r="H82" s="68" t="s">
        <v>539</v>
      </c>
      <c r="I82" s="325">
        <f t="shared" si="17"/>
        <v>0</v>
      </c>
      <c r="J82" s="325">
        <f t="shared" si="18"/>
        <v>0</v>
      </c>
      <c r="K82" s="293">
        <f t="shared" si="19"/>
        <v>0</v>
      </c>
      <c r="L82" s="293">
        <f t="shared" si="20"/>
        <v>0</v>
      </c>
      <c r="N82" s="66"/>
      <c r="O82" s="66"/>
    </row>
    <row r="83" spans="1:15" outlineLevel="2">
      <c r="A83" s="68"/>
      <c r="B83" s="562" t="str">
        <f>'Plant Configuration'!C122</f>
        <v>Other</v>
      </c>
      <c r="C83" s="54"/>
      <c r="D83" s="524">
        <f>IF($O$7=6,0,HLOOKUP($D$5,Plant_Configuration,'Plant Configuration'!A122,FALSE))+IF($R$7=6,0,HLOOKUP($E$5,Plant_Configuration,'Plant Configuration'!A122,FALSE))+IF($U$7=6,0,HLOOKUP($F$5,Plant_Configuration,'Plant Configuration'!A122,FALSE))</f>
        <v>0</v>
      </c>
      <c r="E83" s="297">
        <v>0</v>
      </c>
      <c r="F83" s="371">
        <v>1</v>
      </c>
      <c r="H83" s="68" t="s">
        <v>539</v>
      </c>
      <c r="I83" s="325">
        <f t="shared" si="17"/>
        <v>0</v>
      </c>
      <c r="J83" s="325">
        <f t="shared" si="18"/>
        <v>0</v>
      </c>
      <c r="K83" s="293">
        <f t="shared" si="19"/>
        <v>0</v>
      </c>
      <c r="L83" s="293"/>
      <c r="N83" s="66"/>
      <c r="O83" s="66"/>
    </row>
    <row r="84" spans="1:15" s="352" customFormat="1" outlineLevel="1">
      <c r="A84" s="358"/>
      <c r="B84" s="565" t="s">
        <v>1401</v>
      </c>
      <c r="C84"/>
      <c r="D84" s="353">
        <f>SUBTOTAL(9,D57:D83)</f>
        <v>84324.545454545456</v>
      </c>
      <c r="E84" s="354"/>
      <c r="F84" s="372"/>
      <c r="G84" s="111"/>
      <c r="H84" s="68" t="s">
        <v>541</v>
      </c>
      <c r="I84" s="353">
        <f>SUBTOTAL(9,I57:I83)</f>
        <v>84324.545454545456</v>
      </c>
      <c r="J84" s="353">
        <f>SUBTOTAL(9,J57:J83)</f>
        <v>0</v>
      </c>
      <c r="K84" s="353">
        <f>SUBTOTAL(9,K57:K83)</f>
        <v>84324.545454545456</v>
      </c>
      <c r="L84" s="353">
        <f>SUBTOTAL(9,L57:L83)</f>
        <v>0</v>
      </c>
    </row>
    <row r="85" spans="1:15" s="352" customFormat="1" outlineLevel="1">
      <c r="A85" s="355" t="s">
        <v>81</v>
      </c>
      <c r="B85" s="563"/>
      <c r="C85" s="356"/>
      <c r="D85" s="347"/>
      <c r="E85" s="348"/>
      <c r="F85" s="370"/>
      <c r="G85" s="111"/>
      <c r="H85" s="357"/>
      <c r="I85" s="327">
        <f>IF(D89=0,0,I89/D89)</f>
        <v>1</v>
      </c>
      <c r="J85" s="327">
        <f>1-I85</f>
        <v>0</v>
      </c>
      <c r="K85" s="350">
        <f>IF(D89=0,0,K89/D89)</f>
        <v>1</v>
      </c>
      <c r="L85" s="350">
        <f>1-K85</f>
        <v>0</v>
      </c>
    </row>
    <row r="86" spans="1:15" outlineLevel="2">
      <c r="A86" s="68"/>
      <c r="B86" s="562" t="str">
        <f>'Plant Configuration'!C125</f>
        <v>Phone service</v>
      </c>
      <c r="C86" s="54"/>
      <c r="D86" s="524">
        <f>IF($O$7=6,0,HLOOKUP($D$5,Plant_Configuration,'Plant Configuration'!A125,FALSE))+IF($R$7=6,0,HLOOKUP($E$5,Plant_Configuration,'Plant Configuration'!A125,FALSE))+IF($U$7=6,0,HLOOKUP($F$5,Plant_Configuration,'Plant Configuration'!A125,FALSE))</f>
        <v>12000</v>
      </c>
      <c r="E86" s="297">
        <v>0</v>
      </c>
      <c r="F86" s="371">
        <v>1</v>
      </c>
      <c r="H86" s="68" t="s">
        <v>542</v>
      </c>
      <c r="I86" s="325">
        <f>D86-J86</f>
        <v>12000</v>
      </c>
      <c r="J86" s="325">
        <f>E86*D86</f>
        <v>0</v>
      </c>
      <c r="K86" s="293">
        <f>F86*D86</f>
        <v>12000</v>
      </c>
      <c r="L86" s="293">
        <f>D86-K86</f>
        <v>0</v>
      </c>
      <c r="N86" s="66"/>
      <c r="O86" s="66"/>
    </row>
    <row r="87" spans="1:15" outlineLevel="2">
      <c r="A87" s="68"/>
      <c r="B87" s="562" t="str">
        <f>'Plant Configuration'!C126</f>
        <v>Cellular phone service</v>
      </c>
      <c r="C87" s="54"/>
      <c r="D87" s="524">
        <f>IF($O$7=6,0,HLOOKUP($D$5,Plant_Configuration,'Plant Configuration'!A126,FALSE))+IF($R$7=6,0,HLOOKUP($E$5,Plant_Configuration,'Plant Configuration'!A126,FALSE))+IF($U$7=6,0,HLOOKUP($F$5,Plant_Configuration,'Plant Configuration'!A126,FALSE))</f>
        <v>3600</v>
      </c>
      <c r="E87" s="297">
        <v>0</v>
      </c>
      <c r="F87" s="371">
        <v>1</v>
      </c>
      <c r="H87" s="68" t="s">
        <v>544</v>
      </c>
      <c r="I87" s="325">
        <f>D87-J87</f>
        <v>3600</v>
      </c>
      <c r="J87" s="325">
        <f>E87*D87</f>
        <v>0</v>
      </c>
      <c r="K87" s="293">
        <f>F87*D87</f>
        <v>3600</v>
      </c>
      <c r="L87" s="293">
        <f>D87-K87</f>
        <v>0</v>
      </c>
      <c r="N87" s="66"/>
      <c r="O87" s="66"/>
    </row>
    <row r="88" spans="1:15" outlineLevel="2">
      <c r="A88" s="68"/>
      <c r="B88" s="562" t="str">
        <f>'Plant Configuration'!C127</f>
        <v>VSAT</v>
      </c>
      <c r="C88" s="54"/>
      <c r="D88" s="524">
        <f>IF($O$7=6,0,HLOOKUP($D$5,Plant_Configuration,'Plant Configuration'!A127,FALSE))+IF($R$7=6,0,HLOOKUP($E$5,Plant_Configuration,'Plant Configuration'!A127,FALSE))+IF($U$7=6,0,HLOOKUP($F$5,Plant_Configuration,'Plant Configuration'!A127,FALSE))</f>
        <v>0</v>
      </c>
      <c r="E88" s="297">
        <v>0</v>
      </c>
      <c r="F88" s="371"/>
      <c r="H88" s="68" t="s">
        <v>546</v>
      </c>
      <c r="I88" s="325">
        <f>D88-J88</f>
        <v>0</v>
      </c>
      <c r="J88" s="325">
        <f>E88*D88</f>
        <v>0</v>
      </c>
      <c r="K88" s="293"/>
      <c r="L88" s="293"/>
      <c r="N88" s="66"/>
      <c r="O88" s="66"/>
    </row>
    <row r="89" spans="1:15" s="352" customFormat="1" outlineLevel="1">
      <c r="A89" s="358"/>
      <c r="B89" s="565" t="s">
        <v>1401</v>
      </c>
      <c r="C89"/>
      <c r="D89" s="353">
        <f>SUBTOTAL(9,D86:D88)</f>
        <v>15600</v>
      </c>
      <c r="E89" s="354"/>
      <c r="F89" s="372"/>
      <c r="G89" s="111"/>
      <c r="H89" s="68" t="s">
        <v>547</v>
      </c>
      <c r="I89" s="353">
        <f>SUBTOTAL(9,I86:I88)</f>
        <v>15600</v>
      </c>
      <c r="J89" s="353">
        <f>SUBTOTAL(9,J86:J88)</f>
        <v>0</v>
      </c>
      <c r="K89" s="353">
        <f>SUBTOTAL(9,K86:K88)</f>
        <v>15600</v>
      </c>
      <c r="L89" s="353">
        <f>SUBTOTAL(9,L86:L88)</f>
        <v>0</v>
      </c>
    </row>
    <row r="90" spans="1:15" s="352" customFormat="1" outlineLevel="1">
      <c r="A90" s="355" t="s">
        <v>548</v>
      </c>
      <c r="B90" s="563"/>
      <c r="C90" s="356"/>
      <c r="D90" s="347"/>
      <c r="E90" s="348"/>
      <c r="F90" s="370"/>
      <c r="G90" s="111"/>
      <c r="H90" s="357"/>
      <c r="I90" s="327">
        <f>IF(D93&lt;&gt;0,I93/D93,0)</f>
        <v>0</v>
      </c>
      <c r="J90" s="327">
        <f>1-I90</f>
        <v>1</v>
      </c>
      <c r="K90" s="350">
        <f>IF(D93&lt;&gt;0,K93/D93,0)</f>
        <v>0</v>
      </c>
      <c r="L90" s="350">
        <f>1-K90</f>
        <v>1</v>
      </c>
    </row>
    <row r="91" spans="1:15" outlineLevel="2">
      <c r="A91" s="68"/>
      <c r="B91" s="562" t="str">
        <f>'Plant Configuration'!C130</f>
        <v>Operating Insurance</v>
      </c>
      <c r="C91" s="54"/>
      <c r="D91" s="524">
        <f>IF($O$7=5,0,HLOOKUP($D$5,Plant_Configuration,'Plant Configuration'!A130,FALSE))+IF($R$7=5,0,HLOOKUP($E$5,Plant_Configuration,'Plant Configuration'!A130,FALSE))+IF($U$7=5,0,HLOOKUP($F$5,Plant_Configuration,'Plant Configuration'!A130,FALSE))</f>
        <v>0</v>
      </c>
      <c r="E91" s="297">
        <v>0</v>
      </c>
      <c r="F91" s="371">
        <v>0</v>
      </c>
      <c r="H91" s="68" t="s">
        <v>549</v>
      </c>
      <c r="I91" s="325">
        <f>D91-J91</f>
        <v>0</v>
      </c>
      <c r="J91" s="325">
        <f>E91*D91</f>
        <v>0</v>
      </c>
      <c r="K91" s="293">
        <f>F91*D91</f>
        <v>0</v>
      </c>
      <c r="L91" s="293">
        <f>D91-K91</f>
        <v>0</v>
      </c>
      <c r="N91" s="66"/>
      <c r="O91" s="66"/>
    </row>
    <row r="92" spans="1:15" outlineLevel="2">
      <c r="A92" s="68"/>
      <c r="B92" s="562" t="str">
        <f>'Plant Configuration'!C131</f>
        <v>Other</v>
      </c>
      <c r="C92" s="54"/>
      <c r="D92" s="524">
        <f>IF($O$7=5,0,HLOOKUP($D$5,Plant_Configuration,'Plant Configuration'!A131,FALSE))+IF($R$7=5,0,HLOOKUP($E$5,Plant_Configuration,'Plant Configuration'!A131,FALSE))+IF($U$7=5,0,HLOOKUP($F$5,Plant_Configuration,'Plant Configuration'!A131,FALSE))</f>
        <v>0</v>
      </c>
      <c r="E92" s="297">
        <v>0</v>
      </c>
      <c r="F92" s="371">
        <v>0</v>
      </c>
      <c r="H92" s="68" t="s">
        <v>550</v>
      </c>
      <c r="I92" s="325">
        <f>D92-J92</f>
        <v>0</v>
      </c>
      <c r="J92" s="325">
        <f>E92*D92</f>
        <v>0</v>
      </c>
      <c r="K92" s="293"/>
      <c r="L92" s="293"/>
      <c r="N92" s="66"/>
      <c r="O92" s="66"/>
    </row>
    <row r="93" spans="1:15" s="352" customFormat="1" outlineLevel="1">
      <c r="A93" s="358"/>
      <c r="B93" s="565" t="s">
        <v>1401</v>
      </c>
      <c r="C93"/>
      <c r="D93" s="353">
        <f>SUBTOTAL(9,D91:D92)</f>
        <v>0</v>
      </c>
      <c r="E93" s="354"/>
      <c r="F93" s="372"/>
      <c r="G93" s="111"/>
      <c r="H93" s="68" t="s">
        <v>695</v>
      </c>
      <c r="I93" s="353">
        <f>SUBTOTAL(9,I91:I92)</f>
        <v>0</v>
      </c>
      <c r="J93" s="353">
        <f>SUBTOTAL(9,J91:J92)</f>
        <v>0</v>
      </c>
      <c r="K93" s="353">
        <f>SUBTOTAL(9,K91:K92)</f>
        <v>0</v>
      </c>
      <c r="L93" s="353">
        <f>SUBTOTAL(9,L91:L92)</f>
        <v>0</v>
      </c>
    </row>
    <row r="94" spans="1:15" s="352" customFormat="1" outlineLevel="1">
      <c r="A94" s="355" t="s">
        <v>551</v>
      </c>
      <c r="B94" s="563"/>
      <c r="C94" s="356"/>
      <c r="D94" s="347"/>
      <c r="E94" s="348"/>
      <c r="F94" s="370"/>
      <c r="G94" s="111"/>
      <c r="H94" s="357"/>
      <c r="I94" s="327">
        <f>IF(D103=0,0,I103/D103)</f>
        <v>1</v>
      </c>
      <c r="J94" s="327">
        <f>1-I94</f>
        <v>0</v>
      </c>
      <c r="K94" s="350">
        <f>IF(D103=0,0,K103/D103)</f>
        <v>1</v>
      </c>
      <c r="L94" s="350">
        <f>1-K94</f>
        <v>0</v>
      </c>
    </row>
    <row r="95" spans="1:15" outlineLevel="2">
      <c r="A95" s="68"/>
      <c r="B95" s="562" t="str">
        <f>'Plant Configuration'!C134</f>
        <v>Technical/Professional Services</v>
      </c>
      <c r="C95" s="54"/>
      <c r="D95" s="524">
        <f>IF($O$7=6,0,HLOOKUP($D$5,Plant_Configuration,'Plant Configuration'!A134,FALSE))+IF($R$7=6,0,HLOOKUP($E$5,Plant_Configuration,'Plant Configuration'!A134,FALSE))+IF($U$7=6,0,HLOOKUP($F$5,Plant_Configuration,'Plant Configuration'!A134,FALSE))</f>
        <v>122299.00349802602</v>
      </c>
      <c r="E95" s="297">
        <v>0</v>
      </c>
      <c r="F95" s="371">
        <v>1</v>
      </c>
      <c r="H95" s="68" t="s">
        <v>552</v>
      </c>
      <c r="I95" s="325">
        <f t="shared" ref="I95:I102" si="21">D95-J95</f>
        <v>122299.00349802602</v>
      </c>
      <c r="J95" s="325">
        <f t="shared" ref="J95:J102" si="22">E95*D95</f>
        <v>0</v>
      </c>
      <c r="K95" s="293">
        <f t="shared" ref="K95:K101" si="23">F95*D95</f>
        <v>122299.00349802602</v>
      </c>
      <c r="L95" s="293">
        <f t="shared" ref="L95:L102" si="24">D95-K95</f>
        <v>0</v>
      </c>
      <c r="N95" s="66"/>
      <c r="O95" s="66"/>
    </row>
    <row r="96" spans="1:15" outlineLevel="2">
      <c r="A96" s="68"/>
      <c r="B96" s="562" t="str">
        <f>'Plant Configuration'!C135</f>
        <v>Reagents &amp; Supplies</v>
      </c>
      <c r="C96" s="54"/>
      <c r="D96" s="524">
        <f>IF($O$7=6,0,HLOOKUP($D$5,Plant_Configuration,'Plant Configuration'!A135,FALSE))+IF($R$7=6,0,HLOOKUP($E$5,Plant_Configuration,'Plant Configuration'!A135,FALSE))+IF($U$7=6,0,HLOOKUP($F$5,Plant_Configuration,'Plant Configuration'!A135,FALSE))</f>
        <v>35970.295146478245</v>
      </c>
      <c r="E96" s="297">
        <v>0</v>
      </c>
      <c r="F96" s="371">
        <v>1</v>
      </c>
      <c r="H96" s="68"/>
      <c r="I96" s="325">
        <f t="shared" si="21"/>
        <v>35970.295146478245</v>
      </c>
      <c r="J96" s="325">
        <f t="shared" si="22"/>
        <v>0</v>
      </c>
      <c r="K96" s="293">
        <f t="shared" si="23"/>
        <v>35970.295146478245</v>
      </c>
      <c r="L96" s="293">
        <f t="shared" si="24"/>
        <v>0</v>
      </c>
      <c r="N96" s="66"/>
      <c r="O96" s="66"/>
    </row>
    <row r="97" spans="1:15" outlineLevel="2">
      <c r="A97" s="68"/>
      <c r="B97" s="562" t="str">
        <f>'Plant Configuration'!C136</f>
        <v>Rental Equipment</v>
      </c>
      <c r="C97" s="54"/>
      <c r="D97" s="524">
        <f>IF($O$7=6,0,HLOOKUP($D$5,Plant_Configuration,'Plant Configuration'!A136,FALSE))+IF($R$7=6,0,HLOOKUP($E$5,Plant_Configuration,'Plant Configuration'!A136,FALSE))+IF($U$7=6,0,HLOOKUP($F$5,Plant_Configuration,'Plant Configuration'!A136,FALSE))</f>
        <v>0</v>
      </c>
      <c r="E97" s="297">
        <v>0</v>
      </c>
      <c r="F97" s="371">
        <v>1</v>
      </c>
      <c r="H97" s="68"/>
      <c r="I97" s="325">
        <f t="shared" si="21"/>
        <v>0</v>
      </c>
      <c r="J97" s="325">
        <f t="shared" si="22"/>
        <v>0</v>
      </c>
      <c r="K97" s="293">
        <f t="shared" si="23"/>
        <v>0</v>
      </c>
      <c r="L97" s="293">
        <f t="shared" si="24"/>
        <v>0</v>
      </c>
      <c r="N97" s="66"/>
      <c r="O97" s="66"/>
    </row>
    <row r="98" spans="1:15" outlineLevel="2">
      <c r="A98" s="68"/>
      <c r="B98" s="562" t="str">
        <f>'Plant Configuration'!C137</f>
        <v>Analyzer Repairs</v>
      </c>
      <c r="C98" s="54"/>
      <c r="D98" s="524">
        <f>IF($O$7=6,0,HLOOKUP($D$5,Plant_Configuration,'Plant Configuration'!A137,FALSE))+IF($R$7=6,0,HLOOKUP($E$5,Plant_Configuration,'Plant Configuration'!A137,FALSE))+IF($U$7=6,0,HLOOKUP($F$5,Plant_Configuration,'Plant Configuration'!A137,FALSE))</f>
        <v>0</v>
      </c>
      <c r="E98" s="297">
        <v>0</v>
      </c>
      <c r="F98" s="371">
        <v>1</v>
      </c>
      <c r="H98" s="68"/>
      <c r="I98" s="325">
        <f t="shared" si="21"/>
        <v>0</v>
      </c>
      <c r="J98" s="325">
        <f t="shared" si="22"/>
        <v>0</v>
      </c>
      <c r="K98" s="293">
        <f t="shared" si="23"/>
        <v>0</v>
      </c>
      <c r="L98" s="293">
        <f t="shared" si="24"/>
        <v>0</v>
      </c>
      <c r="N98" s="66"/>
      <c r="O98" s="66"/>
    </row>
    <row r="99" spans="1:15" outlineLevel="2">
      <c r="A99" s="68"/>
      <c r="B99" s="562" t="str">
        <f>'Plant Configuration'!C138</f>
        <v>Contract Labor/Temporaries</v>
      </c>
      <c r="C99" s="54"/>
      <c r="D99" s="524">
        <f>IF($O$7=6,0,HLOOKUP($D$5,Plant_Configuration,'Plant Configuration'!A138,FALSE))+IF($R$7=6,0,HLOOKUP($E$5,Plant_Configuration,'Plant Configuration'!A138,FALSE))+IF($U$7=6,0,HLOOKUP($F$5,Plant_Configuration,'Plant Configuration'!A138,FALSE))</f>
        <v>0</v>
      </c>
      <c r="E99" s="297">
        <v>0</v>
      </c>
      <c r="F99" s="371">
        <v>1</v>
      </c>
      <c r="H99" s="68"/>
      <c r="I99" s="325">
        <f t="shared" si="21"/>
        <v>0</v>
      </c>
      <c r="J99" s="325">
        <f t="shared" si="22"/>
        <v>0</v>
      </c>
      <c r="K99" s="293">
        <f t="shared" si="23"/>
        <v>0</v>
      </c>
      <c r="L99" s="293">
        <f t="shared" si="24"/>
        <v>0</v>
      </c>
      <c r="N99" s="66"/>
      <c r="O99" s="66"/>
    </row>
    <row r="100" spans="1:15" outlineLevel="2">
      <c r="A100" s="68"/>
      <c r="B100" s="562" t="str">
        <f>'Plant Configuration'!C139</f>
        <v>Other Outside Services</v>
      </c>
      <c r="C100" s="54"/>
      <c r="D100" s="524">
        <f>IF($O$7=6,0,HLOOKUP($D$5,Plant_Configuration,'Plant Configuration'!A139,FALSE))+IF($R$7=6,0,HLOOKUP($E$5,Plant_Configuration,'Plant Configuration'!A139,FALSE))+IF($U$7=6,0,HLOOKUP($F$5,Plant_Configuration,'Plant Configuration'!A139,FALSE))</f>
        <v>0</v>
      </c>
      <c r="E100" s="297">
        <v>0</v>
      </c>
      <c r="F100" s="371">
        <v>1</v>
      </c>
      <c r="H100" s="68"/>
      <c r="I100" s="325">
        <f t="shared" si="21"/>
        <v>0</v>
      </c>
      <c r="J100" s="325">
        <f t="shared" si="22"/>
        <v>0</v>
      </c>
      <c r="K100" s="293">
        <f t="shared" si="23"/>
        <v>0</v>
      </c>
      <c r="L100" s="293">
        <f t="shared" si="24"/>
        <v>0</v>
      </c>
      <c r="N100" s="66"/>
      <c r="O100" s="66"/>
    </row>
    <row r="101" spans="1:15" outlineLevel="2">
      <c r="A101" s="68"/>
      <c r="B101" s="562" t="str">
        <f>'Plant Configuration'!C140</f>
        <v>Freight</v>
      </c>
      <c r="C101" s="54"/>
      <c r="D101" s="524">
        <f>IF($O$7=6,0,HLOOKUP($D$5,Plant_Configuration,'Plant Configuration'!A140,FALSE))+IF($R$7=6,0,HLOOKUP($E$5,Plant_Configuration,'Plant Configuration'!A140,FALSE))+IF($U$7=6,0,HLOOKUP($F$5,Plant_Configuration,'Plant Configuration'!A140,FALSE))</f>
        <v>0</v>
      </c>
      <c r="E101" s="297">
        <v>0</v>
      </c>
      <c r="F101" s="371">
        <v>1</v>
      </c>
      <c r="H101" s="68" t="s">
        <v>557</v>
      </c>
      <c r="I101" s="325">
        <f t="shared" si="21"/>
        <v>0</v>
      </c>
      <c r="J101" s="325">
        <f t="shared" si="22"/>
        <v>0</v>
      </c>
      <c r="K101" s="293">
        <f t="shared" si="23"/>
        <v>0</v>
      </c>
      <c r="L101" s="293">
        <f t="shared" si="24"/>
        <v>0</v>
      </c>
      <c r="N101" s="66"/>
      <c r="O101" s="66"/>
    </row>
    <row r="102" spans="1:15" outlineLevel="2">
      <c r="A102" s="68"/>
      <c r="B102" s="562" t="str">
        <f>'Plant Configuration'!C141</f>
        <v>Other</v>
      </c>
      <c r="C102" s="54"/>
      <c r="D102" s="524">
        <f>IF($O$7=6,0,HLOOKUP($D$5,Plant_Configuration,'Plant Configuration'!A141,FALSE))+IF($R$7=6,0,HLOOKUP($E$5,Plant_Configuration,'Plant Configuration'!A141,FALSE))+IF($U$7=6,0,HLOOKUP($F$5,Plant_Configuration,'Plant Configuration'!A141,FALSE))</f>
        <v>0</v>
      </c>
      <c r="E102" s="297">
        <v>0</v>
      </c>
      <c r="F102" s="371">
        <v>1</v>
      </c>
      <c r="H102" s="68"/>
      <c r="I102" s="325">
        <f t="shared" si="21"/>
        <v>0</v>
      </c>
      <c r="J102" s="325">
        <f t="shared" si="22"/>
        <v>0</v>
      </c>
      <c r="K102" s="293"/>
      <c r="L102" s="293">
        <f t="shared" si="24"/>
        <v>0</v>
      </c>
      <c r="N102" s="66"/>
      <c r="O102" s="66"/>
    </row>
    <row r="103" spans="1:15" s="352" customFormat="1" outlineLevel="1">
      <c r="A103" s="358"/>
      <c r="B103" s="565" t="s">
        <v>1401</v>
      </c>
      <c r="C103"/>
      <c r="D103" s="353">
        <f>SUBTOTAL(9,D95:D102)</f>
        <v>158269.29864450428</v>
      </c>
      <c r="E103" s="354"/>
      <c r="F103" s="372"/>
      <c r="G103" s="111"/>
      <c r="H103" s="68" t="s">
        <v>1085</v>
      </c>
      <c r="I103" s="353">
        <f>SUBTOTAL(9,I95:I102)</f>
        <v>158269.29864450428</v>
      </c>
      <c r="J103" s="353">
        <f>SUBTOTAL(9,J95:J102)</f>
        <v>0</v>
      </c>
      <c r="K103" s="353">
        <f>SUBTOTAL(9,K95:K102)</f>
        <v>158269.29864450428</v>
      </c>
      <c r="L103" s="353">
        <f>SUBTOTAL(9,L95:L102)</f>
        <v>0</v>
      </c>
    </row>
    <row r="104" spans="1:15" s="352" customFormat="1" outlineLevel="1">
      <c r="A104" s="355" t="s">
        <v>559</v>
      </c>
      <c r="B104" s="563"/>
      <c r="C104" s="356"/>
      <c r="D104" s="347"/>
      <c r="E104" s="348"/>
      <c r="F104" s="370"/>
      <c r="G104" s="111"/>
      <c r="H104" s="357"/>
      <c r="I104" s="327">
        <f>IF(D110=0,0,I110/D110)</f>
        <v>0</v>
      </c>
      <c r="J104" s="327">
        <f>1-I104</f>
        <v>1</v>
      </c>
      <c r="K104" s="350">
        <f>IF(D110=0,0,K110/D110)</f>
        <v>0</v>
      </c>
      <c r="L104" s="350">
        <f>1-K104</f>
        <v>1</v>
      </c>
    </row>
    <row r="105" spans="1:15" outlineLevel="2">
      <c r="A105" s="68"/>
      <c r="B105" s="562" t="str">
        <f>'Plant Configuration'!C144</f>
        <v>Operations Support Personnel</v>
      </c>
      <c r="C105" s="54"/>
      <c r="D105" s="524">
        <f>IF($O$7=6,0,HLOOKUP($D$5,Plant_Configuration,'Plant Configuration'!A144,FALSE))+IF($R$7=6,0,HLOOKUP($E$5,Plant_Configuration,'Plant Configuration'!A144,FALSE))+IF($U$7=6,0,HLOOKUP($F$5,Plant_Configuration,'Plant Configuration'!A144,FALSE))</f>
        <v>0</v>
      </c>
      <c r="E105" s="297">
        <v>0</v>
      </c>
      <c r="F105" s="371">
        <v>1</v>
      </c>
      <c r="H105" s="68" t="s">
        <v>560</v>
      </c>
      <c r="I105" s="325">
        <f>D105-J105</f>
        <v>0</v>
      </c>
      <c r="J105" s="325">
        <f>E105*D105</f>
        <v>0</v>
      </c>
      <c r="K105" s="293">
        <f>F105*D105</f>
        <v>0</v>
      </c>
      <c r="L105" s="293">
        <f>D105-K105</f>
        <v>0</v>
      </c>
      <c r="N105" s="66"/>
      <c r="O105" s="66"/>
    </row>
    <row r="106" spans="1:15" outlineLevel="2">
      <c r="A106" s="68"/>
      <c r="B106" s="562" t="str">
        <f>'Plant Configuration'!C145</f>
        <v xml:space="preserve">    Per diem </v>
      </c>
      <c r="C106" s="54"/>
      <c r="D106" s="524">
        <f>IF($O$7=6,0,HLOOKUP($D$5,Plant_Configuration,'Plant Configuration'!A145,FALSE))+IF($R$7=6,0,HLOOKUP($E$5,Plant_Configuration,'Plant Configuration'!A145,FALSE))+IF($U$7=6,0,HLOOKUP($F$5,Plant_Configuration,'Plant Configuration'!A145,FALSE))</f>
        <v>0</v>
      </c>
      <c r="E106" s="297">
        <v>0</v>
      </c>
      <c r="F106" s="371">
        <v>1</v>
      </c>
      <c r="H106" s="68" t="s">
        <v>1120</v>
      </c>
      <c r="I106" s="325">
        <f>D106-J106</f>
        <v>0</v>
      </c>
      <c r="J106" s="325">
        <f>E106*D106</f>
        <v>0</v>
      </c>
      <c r="K106" s="293">
        <f>F106*D106</f>
        <v>0</v>
      </c>
      <c r="L106" s="293">
        <f>D106-K106</f>
        <v>0</v>
      </c>
      <c r="N106" s="66"/>
      <c r="O106" s="66"/>
    </row>
    <row r="107" spans="1:15" outlineLevel="2">
      <c r="A107" s="68"/>
      <c r="B107" s="562" t="str">
        <f>'Plant Configuration'!C146</f>
        <v xml:space="preserve">    Home leave, travel</v>
      </c>
      <c r="C107" s="54"/>
      <c r="D107" s="524">
        <f>IF($O$7=6,0,HLOOKUP($D$5,Plant_Configuration,'Plant Configuration'!A146,FALSE))+IF($R$7=6,0,HLOOKUP($E$5,Plant_Configuration,'Plant Configuration'!A146,FALSE))+IF($U$7=6,0,HLOOKUP($F$5,Plant_Configuration,'Plant Configuration'!A146,FALSE))</f>
        <v>0</v>
      </c>
      <c r="E107" s="297">
        <v>0</v>
      </c>
      <c r="F107" s="371">
        <v>1</v>
      </c>
      <c r="H107" s="68" t="s">
        <v>1059</v>
      </c>
      <c r="I107" s="325">
        <f>D107-J107</f>
        <v>0</v>
      </c>
      <c r="J107" s="325">
        <f>E107*D107</f>
        <v>0</v>
      </c>
      <c r="K107" s="293">
        <f>F107*D107</f>
        <v>0</v>
      </c>
      <c r="L107" s="293">
        <f>D107-K107</f>
        <v>0</v>
      </c>
      <c r="N107" s="66"/>
      <c r="O107" s="66"/>
    </row>
    <row r="108" spans="1:15" outlineLevel="2">
      <c r="A108" s="68"/>
      <c r="B108" s="562" t="str">
        <f>'Plant Configuration'!C147</f>
        <v xml:space="preserve">   Tax Protection (over 6 months)</v>
      </c>
      <c r="C108" s="54"/>
      <c r="D108" s="524">
        <f>IF($O$7=6,0,HLOOKUP($D$5,Plant_Configuration,'Plant Configuration'!A147,FALSE))+IF($R$7=6,0,HLOOKUP($E$5,Plant_Configuration,'Plant Configuration'!A147,FALSE))+IF($U$7=6,0,HLOOKUP($F$5,Plant_Configuration,'Plant Configuration'!A147,FALSE))</f>
        <v>0</v>
      </c>
      <c r="E108" s="297">
        <v>0</v>
      </c>
      <c r="F108" s="371">
        <v>1</v>
      </c>
      <c r="H108" s="68" t="s">
        <v>1123</v>
      </c>
      <c r="I108" s="325">
        <f>D108-J108</f>
        <v>0</v>
      </c>
      <c r="J108" s="325">
        <f>E108*D108</f>
        <v>0</v>
      </c>
      <c r="K108" s="293">
        <f>F108*D108</f>
        <v>0</v>
      </c>
      <c r="L108" s="293">
        <f>D108-K108</f>
        <v>0</v>
      </c>
      <c r="N108" s="66"/>
      <c r="O108" s="66"/>
    </row>
    <row r="109" spans="1:15" outlineLevel="2">
      <c r="A109" s="68"/>
      <c r="B109" s="562" t="str">
        <f>'Plant Configuration'!C148</f>
        <v>Other</v>
      </c>
      <c r="C109" s="54"/>
      <c r="D109" s="524">
        <f>IF($O$7=6,0,HLOOKUP($D$5,Plant_Configuration,'Plant Configuration'!A148,FALSE))+IF($R$7=6,0,HLOOKUP($E$5,Plant_Configuration,'Plant Configuration'!A148,FALSE))+IF($U$7=6,0,HLOOKUP($F$5,Plant_Configuration,'Plant Configuration'!A148,FALSE))</f>
        <v>0</v>
      </c>
      <c r="E109" s="297">
        <v>0</v>
      </c>
      <c r="F109" s="371">
        <v>1</v>
      </c>
      <c r="H109" s="68"/>
      <c r="I109" s="325">
        <f>D109-J109</f>
        <v>0</v>
      </c>
      <c r="J109" s="325">
        <f>E109*D109</f>
        <v>0</v>
      </c>
      <c r="K109" s="293"/>
      <c r="L109" s="293"/>
      <c r="N109" s="66"/>
      <c r="O109" s="66"/>
    </row>
    <row r="110" spans="1:15" s="352" customFormat="1" outlineLevel="1">
      <c r="A110" s="358"/>
      <c r="B110" s="565" t="s">
        <v>1401</v>
      </c>
      <c r="C110"/>
      <c r="D110" s="353">
        <f>SUBTOTAL(9,D105:D108)</f>
        <v>0</v>
      </c>
      <c r="E110" s="354"/>
      <c r="F110" s="372"/>
      <c r="G110" s="111"/>
      <c r="H110" s="68" t="s">
        <v>1060</v>
      </c>
      <c r="I110" s="353">
        <f>SUBTOTAL(9,I105:I108)</f>
        <v>0</v>
      </c>
      <c r="J110" s="353">
        <f>SUBTOTAL(9,J105:J108)</f>
        <v>0</v>
      </c>
      <c r="K110" s="353">
        <f>SUBTOTAL(9,K105:K108)</f>
        <v>0</v>
      </c>
      <c r="L110" s="353">
        <f>SUBTOTAL(9,L105:L108)</f>
        <v>0</v>
      </c>
    </row>
    <row r="111" spans="1:15" s="352" customFormat="1" outlineLevel="1">
      <c r="A111" s="355" t="s">
        <v>1061</v>
      </c>
      <c r="B111" s="563"/>
      <c r="C111" s="356"/>
      <c r="D111" s="347"/>
      <c r="E111" s="348"/>
      <c r="F111" s="370"/>
      <c r="G111" s="111"/>
      <c r="H111" s="357"/>
      <c r="I111" s="327">
        <f>IF(D125=0,0,I125/D125)</f>
        <v>0</v>
      </c>
      <c r="J111" s="327">
        <f>1-I111</f>
        <v>1</v>
      </c>
      <c r="K111" s="350">
        <f>IF(D125=0,0,K125/D125)</f>
        <v>1</v>
      </c>
      <c r="L111" s="350">
        <f>1-K111</f>
        <v>0</v>
      </c>
    </row>
    <row r="112" spans="1:15" outlineLevel="2">
      <c r="A112" s="68"/>
      <c r="B112" s="562" t="str">
        <f>'Plant Configuration'!C151</f>
        <v>Technical/Professional Services</v>
      </c>
      <c r="C112" s="54"/>
      <c r="D112" s="524">
        <f>IF($O$7=6,0,HLOOKUP($D$5,Plant_Configuration,'Plant Configuration'!A151,FALSE))+IF($R$7=6,0,HLOOKUP($E$5,Plant_Configuration,'Plant Configuration'!A151,FALSE))+IF($U$7=6,0,HLOOKUP($F$5,Plant_Configuration,'Plant Configuration'!A151,FALSE))</f>
        <v>0</v>
      </c>
      <c r="E112" s="297">
        <v>1</v>
      </c>
      <c r="F112" s="371">
        <v>1</v>
      </c>
      <c r="H112" s="68" t="s">
        <v>1062</v>
      </c>
      <c r="I112" s="325">
        <f t="shared" ref="I112:I124" si="25">D112-J112</f>
        <v>0</v>
      </c>
      <c r="J112" s="325">
        <f t="shared" ref="J112:J124" si="26">E112*D112</f>
        <v>0</v>
      </c>
      <c r="K112" s="293">
        <f t="shared" ref="K112:K123" si="27">F112*D112</f>
        <v>0</v>
      </c>
      <c r="L112" s="293">
        <f t="shared" ref="L112:L124" si="28">D112-K112</f>
        <v>0</v>
      </c>
      <c r="N112" s="66"/>
      <c r="O112" s="66"/>
    </row>
    <row r="113" spans="1:15" outlineLevel="2">
      <c r="A113" s="68"/>
      <c r="B113" s="562" t="str">
        <f>'Plant Configuration'!C152</f>
        <v>Pretreatment chemicals</v>
      </c>
      <c r="C113" s="321"/>
      <c r="D113" s="524">
        <f>IF($O$7=6,0,HLOOKUP($D$5,Plant_Configuration,'Plant Configuration'!A152,FALSE))+IF($R$7=6,0,HLOOKUP($E$5,Plant_Configuration,'Plant Configuration'!A152,FALSE))+IF($U$7=6,0,HLOOKUP($F$5,Plant_Configuration,'Plant Configuration'!A152,FALSE))</f>
        <v>0</v>
      </c>
      <c r="E113" s="297">
        <v>1</v>
      </c>
      <c r="F113" s="371">
        <v>1</v>
      </c>
      <c r="H113" s="68" t="s">
        <v>1064</v>
      </c>
      <c r="I113" s="325">
        <f t="shared" si="25"/>
        <v>0</v>
      </c>
      <c r="J113" s="325">
        <f t="shared" si="26"/>
        <v>0</v>
      </c>
      <c r="K113" s="293">
        <f t="shared" si="27"/>
        <v>0</v>
      </c>
      <c r="L113" s="293">
        <f t="shared" si="28"/>
        <v>0</v>
      </c>
      <c r="N113" s="70"/>
      <c r="O113" s="66"/>
    </row>
    <row r="114" spans="1:15" outlineLevel="2">
      <c r="A114" s="68"/>
      <c r="B114" s="562" t="str">
        <f>'Plant Configuration'!C153</f>
        <v>Demin Acid/Caustic</v>
      </c>
      <c r="C114" s="322"/>
      <c r="D114" s="524">
        <f>IF($O$7=6,0,HLOOKUP($D$5,Plant_Configuration,'Plant Configuration'!A153,FALSE))+IF($R$7=6,0,HLOOKUP($E$5,Plant_Configuration,'Plant Configuration'!A153,FALSE))+IF($U$7=6,0,HLOOKUP($F$5,Plant_Configuration,'Plant Configuration'!A153,FALSE))</f>
        <v>0</v>
      </c>
      <c r="E114" s="297">
        <v>1</v>
      </c>
      <c r="F114" s="371">
        <v>1</v>
      </c>
      <c r="H114" s="68"/>
      <c r="I114" s="325">
        <f t="shared" si="25"/>
        <v>0</v>
      </c>
      <c r="J114" s="325">
        <f t="shared" si="26"/>
        <v>0</v>
      </c>
      <c r="K114" s="293">
        <f t="shared" si="27"/>
        <v>0</v>
      </c>
      <c r="L114" s="293">
        <f t="shared" si="28"/>
        <v>0</v>
      </c>
      <c r="N114" s="66"/>
      <c r="O114" s="66"/>
    </row>
    <row r="115" spans="1:15" outlineLevel="2">
      <c r="A115" s="68"/>
      <c r="B115" s="562" t="str">
        <f>'Plant Configuration'!C154</f>
        <v>Resin Replacement</v>
      </c>
      <c r="C115" s="322"/>
      <c r="D115" s="524">
        <f>IF($O$7=6,0,HLOOKUP($D$5,Plant_Configuration,'Plant Configuration'!A154,FALSE))+IF($R$7=6,0,HLOOKUP($E$5,Plant_Configuration,'Plant Configuration'!A154,FALSE))+IF($U$7=6,0,HLOOKUP($F$5,Plant_Configuration,'Plant Configuration'!A154,FALSE))</f>
        <v>0</v>
      </c>
      <c r="E115" s="297">
        <v>1</v>
      </c>
      <c r="F115" s="371">
        <v>1</v>
      </c>
      <c r="H115" s="338" t="s">
        <v>1067</v>
      </c>
      <c r="I115" s="325">
        <f t="shared" si="25"/>
        <v>0</v>
      </c>
      <c r="J115" s="325">
        <f t="shared" si="26"/>
        <v>0</v>
      </c>
      <c r="K115" s="293">
        <f t="shared" si="27"/>
        <v>0</v>
      </c>
      <c r="L115" s="293">
        <f t="shared" si="28"/>
        <v>0</v>
      </c>
      <c r="N115" s="66"/>
      <c r="O115" s="66"/>
    </row>
    <row r="116" spans="1:15" outlineLevel="2">
      <c r="A116" s="68"/>
      <c r="B116" s="562" t="str">
        <f>'Plant Configuration'!C155</f>
        <v>CT Chemicals</v>
      </c>
      <c r="C116" s="322"/>
      <c r="D116" s="524">
        <f>IF($O$7=6,0,HLOOKUP($D$5,Plant_Configuration,'Plant Configuration'!A155,FALSE))+IF($R$7=6,0,HLOOKUP($E$5,Plant_Configuration,'Plant Configuration'!A155,FALSE))+IF($U$7=6,0,HLOOKUP($F$5,Plant_Configuration,'Plant Configuration'!A155,FALSE))</f>
        <v>86446.275285936674</v>
      </c>
      <c r="E116" s="297">
        <v>1</v>
      </c>
      <c r="F116" s="371">
        <v>1</v>
      </c>
      <c r="H116" s="68"/>
      <c r="I116" s="325">
        <f t="shared" si="25"/>
        <v>0</v>
      </c>
      <c r="J116" s="325">
        <f t="shared" si="26"/>
        <v>86446.275285936674</v>
      </c>
      <c r="K116" s="293">
        <f t="shared" si="27"/>
        <v>86446.275285936674</v>
      </c>
      <c r="L116" s="293">
        <f t="shared" si="28"/>
        <v>0</v>
      </c>
      <c r="N116" s="66"/>
      <c r="O116" s="66"/>
    </row>
    <row r="117" spans="1:15" outlineLevel="2">
      <c r="A117" s="68"/>
      <c r="B117" s="562" t="str">
        <f>'Plant Configuration'!C156</f>
        <v>Boiler Chemicals</v>
      </c>
      <c r="C117" s="322"/>
      <c r="D117" s="524">
        <f>IF($O$7=6,0,HLOOKUP($D$5,Plant_Configuration,'Plant Configuration'!A156,FALSE))+IF($R$7=6,0,HLOOKUP($E$5,Plant_Configuration,'Plant Configuration'!A156,FALSE))+IF($U$7=6,0,HLOOKUP($F$5,Plant_Configuration,'Plant Configuration'!A156,FALSE))</f>
        <v>96819.828320249071</v>
      </c>
      <c r="E117" s="297">
        <v>1</v>
      </c>
      <c r="F117" s="371">
        <v>1</v>
      </c>
      <c r="H117" s="68"/>
      <c r="I117" s="325">
        <f t="shared" si="25"/>
        <v>0</v>
      </c>
      <c r="J117" s="325">
        <f t="shared" si="26"/>
        <v>96819.828320249071</v>
      </c>
      <c r="K117" s="293">
        <f t="shared" si="27"/>
        <v>96819.828320249071</v>
      </c>
      <c r="L117" s="293">
        <f t="shared" si="28"/>
        <v>0</v>
      </c>
      <c r="N117" s="66"/>
      <c r="O117" s="66"/>
    </row>
    <row r="118" spans="1:15" outlineLevel="2">
      <c r="A118" s="68"/>
      <c r="B118" s="562" t="str">
        <f>'Plant Configuration'!C157</f>
        <v xml:space="preserve">SCR Ammonia </v>
      </c>
      <c r="C118" s="54"/>
      <c r="D118" s="524">
        <f>IF($O$7=6,0,HLOOKUP($D$5,Plant_Configuration,'Plant Configuration'!A157,FALSE))+IF($R$7=6,0,HLOOKUP($E$5,Plant_Configuration,'Plant Configuration'!A157,FALSE))+IF($U$7=6,0,HLOOKUP($F$5,Plant_Configuration,'Plant Configuration'!A157,FALSE))</f>
        <v>421053.57142857142</v>
      </c>
      <c r="E118" s="297">
        <v>1</v>
      </c>
      <c r="F118" s="371">
        <v>1</v>
      </c>
      <c r="H118" s="68"/>
      <c r="I118" s="325">
        <f t="shared" si="25"/>
        <v>0</v>
      </c>
      <c r="J118" s="325">
        <f t="shared" si="26"/>
        <v>421053.57142857142</v>
      </c>
      <c r="K118" s="293">
        <f t="shared" si="27"/>
        <v>421053.57142857142</v>
      </c>
      <c r="L118" s="293">
        <f t="shared" si="28"/>
        <v>0</v>
      </c>
      <c r="N118" s="66"/>
      <c r="O118" s="66"/>
    </row>
    <row r="119" spans="1:15" outlineLevel="2">
      <c r="A119" s="68"/>
      <c r="B119" s="562" t="str">
        <f>'Plant Configuration'!C158</f>
        <v>Potable Water Chemicals</v>
      </c>
      <c r="C119" s="54"/>
      <c r="D119" s="524">
        <f>IF($O$7=6,0,HLOOKUP($D$5,Plant_Configuration,'Plant Configuration'!A158,FALSE))+IF($R$7=6,0,HLOOKUP($E$5,Plant_Configuration,'Plant Configuration'!A158,FALSE))+IF($U$7=6,0,HLOOKUP($F$5,Plant_Configuration,'Plant Configuration'!A158,FALSE))</f>
        <v>0</v>
      </c>
      <c r="E119" s="297">
        <v>1</v>
      </c>
      <c r="F119" s="371">
        <v>1</v>
      </c>
      <c r="H119" s="68"/>
      <c r="I119" s="325">
        <f t="shared" si="25"/>
        <v>0</v>
      </c>
      <c r="J119" s="325">
        <f t="shared" si="26"/>
        <v>0</v>
      </c>
      <c r="K119" s="293">
        <f t="shared" si="27"/>
        <v>0</v>
      </c>
      <c r="L119" s="293">
        <f t="shared" si="28"/>
        <v>0</v>
      </c>
      <c r="N119" s="66"/>
      <c r="O119" s="66"/>
    </row>
    <row r="120" spans="1:15" outlineLevel="2">
      <c r="A120" s="68"/>
      <c r="B120" s="562" t="str">
        <f>'Plant Configuration'!C159</f>
        <v>Hydrogen (generators)</v>
      </c>
      <c r="C120" s="54"/>
      <c r="D120" s="524">
        <f>IF($O$7=6,0,HLOOKUP($D$5,Plant_Configuration,'Plant Configuration'!A159,FALSE))+IF($R$7=6,0,HLOOKUP($E$5,Plant_Configuration,'Plant Configuration'!A159,FALSE))+IF($U$7=6,0,HLOOKUP($F$5,Plant_Configuration,'Plant Configuration'!A159,FALSE))</f>
        <v>0</v>
      </c>
      <c r="E120" s="297">
        <v>1</v>
      </c>
      <c r="F120" s="371">
        <v>1</v>
      </c>
      <c r="H120" s="68" t="s">
        <v>1072</v>
      </c>
      <c r="I120" s="325">
        <f t="shared" si="25"/>
        <v>0</v>
      </c>
      <c r="J120" s="325">
        <f t="shared" si="26"/>
        <v>0</v>
      </c>
      <c r="K120" s="293">
        <f t="shared" si="27"/>
        <v>0</v>
      </c>
      <c r="L120" s="293">
        <f t="shared" si="28"/>
        <v>0</v>
      </c>
      <c r="N120" s="66"/>
      <c r="O120" s="66"/>
    </row>
    <row r="121" spans="1:15" outlineLevel="2">
      <c r="A121" s="68"/>
      <c r="B121" s="562" t="str">
        <f>'Plant Configuration'!C160</f>
        <v>Waste Water Treatment</v>
      </c>
      <c r="C121" s="54"/>
      <c r="D121" s="524">
        <f>IF($O$7=6,0,HLOOKUP($D$5,Plant_Configuration,'Plant Configuration'!A160,FALSE))+IF($R$7=6,0,HLOOKUP($E$5,Plant_Configuration,'Plant Configuration'!A160,FALSE))+IF($U$7=6,0,HLOOKUP($F$5,Plant_Configuration,'Plant Configuration'!A160,FALSE))</f>
        <v>0</v>
      </c>
      <c r="E121" s="297">
        <v>1</v>
      </c>
      <c r="F121" s="371">
        <v>1</v>
      </c>
      <c r="H121" s="68"/>
      <c r="I121" s="325">
        <f t="shared" si="25"/>
        <v>0</v>
      </c>
      <c r="J121" s="325">
        <f t="shared" si="26"/>
        <v>0</v>
      </c>
      <c r="K121" s="293">
        <f t="shared" si="27"/>
        <v>0</v>
      </c>
      <c r="L121" s="293">
        <f t="shared" si="28"/>
        <v>0</v>
      </c>
      <c r="N121" s="66"/>
      <c r="O121" s="66"/>
    </row>
    <row r="122" spans="1:15" outlineLevel="2">
      <c r="A122" s="68"/>
      <c r="B122" s="562" t="str">
        <f>'Plant Configuration'!C161</f>
        <v>Lubricity Agent</v>
      </c>
      <c r="C122" s="54"/>
      <c r="D122" s="524">
        <f>IF($O$7=6,0,HLOOKUP($D$5,Plant_Configuration,'Plant Configuration'!A161,FALSE))+IF($R$7=6,0,HLOOKUP($E$5,Plant_Configuration,'Plant Configuration'!A161,FALSE))+IF($U$7=6,0,HLOOKUP($F$5,Plant_Configuration,'Plant Configuration'!A161,FALSE))</f>
        <v>0</v>
      </c>
      <c r="E122" s="297">
        <v>1</v>
      </c>
      <c r="F122" s="371">
        <v>1</v>
      </c>
      <c r="H122" s="68" t="s">
        <v>1075</v>
      </c>
      <c r="I122" s="325">
        <f t="shared" si="25"/>
        <v>0</v>
      </c>
      <c r="J122" s="325">
        <f t="shared" si="26"/>
        <v>0</v>
      </c>
      <c r="K122" s="293">
        <f t="shared" si="27"/>
        <v>0</v>
      </c>
      <c r="L122" s="293">
        <f t="shared" si="28"/>
        <v>0</v>
      </c>
      <c r="N122" s="66"/>
      <c r="O122" s="66"/>
    </row>
    <row r="123" spans="1:15" outlineLevel="2">
      <c r="A123" s="68"/>
      <c r="B123" s="562" t="str">
        <f>'Plant Configuration'!C162</f>
        <v>Taxes/freight</v>
      </c>
      <c r="C123" s="54"/>
      <c r="D123" s="524">
        <f>IF($O$7=6,0,HLOOKUP($D$5,Plant_Configuration,'Plant Configuration'!A162,FALSE))+IF($R$7=6,0,HLOOKUP($E$5,Plant_Configuration,'Plant Configuration'!A162,FALSE))+IF($U$7=6,0,HLOOKUP($F$5,Plant_Configuration,'Plant Configuration'!A162,FALSE))</f>
        <v>0</v>
      </c>
      <c r="E123" s="297">
        <v>1</v>
      </c>
      <c r="F123" s="371">
        <v>1</v>
      </c>
      <c r="H123" s="68" t="s">
        <v>1076</v>
      </c>
      <c r="I123" s="325">
        <f t="shared" si="25"/>
        <v>0</v>
      </c>
      <c r="J123" s="325">
        <f t="shared" si="26"/>
        <v>0</v>
      </c>
      <c r="K123" s="293">
        <f t="shared" si="27"/>
        <v>0</v>
      </c>
      <c r="L123" s="293">
        <f t="shared" si="28"/>
        <v>0</v>
      </c>
      <c r="N123" s="66"/>
      <c r="O123" s="66"/>
    </row>
    <row r="124" spans="1:15" outlineLevel="2">
      <c r="A124" s="68"/>
      <c r="B124" s="562" t="str">
        <f>'Plant Configuration'!C163</f>
        <v>Other</v>
      </c>
      <c r="C124" s="54"/>
      <c r="D124" s="524">
        <f>IF($O$7=6,0,HLOOKUP($D$5,Plant_Configuration,'Plant Configuration'!A163,FALSE))+IF($R$7=6,0,HLOOKUP($E$5,Plant_Configuration,'Plant Configuration'!A163,FALSE))+IF($U$7=6,0,HLOOKUP($F$5,Plant_Configuration,'Plant Configuration'!A163,FALSE))</f>
        <v>0</v>
      </c>
      <c r="E124" s="297">
        <v>1</v>
      </c>
      <c r="F124" s="371">
        <v>1</v>
      </c>
      <c r="H124" s="68"/>
      <c r="I124" s="325">
        <f t="shared" si="25"/>
        <v>0</v>
      </c>
      <c r="J124" s="325">
        <f t="shared" si="26"/>
        <v>0</v>
      </c>
      <c r="K124" s="293">
        <f>D124</f>
        <v>0</v>
      </c>
      <c r="L124" s="293">
        <f t="shared" si="28"/>
        <v>0</v>
      </c>
      <c r="N124" s="66"/>
      <c r="O124" s="66"/>
    </row>
    <row r="125" spans="1:15" s="352" customFormat="1" outlineLevel="1">
      <c r="A125" s="358"/>
      <c r="B125" s="565" t="s">
        <v>1401</v>
      </c>
      <c r="C125"/>
      <c r="D125" s="353">
        <f>SUBTOTAL(9,D112:D124)</f>
        <v>604319.67503475724</v>
      </c>
      <c r="E125" s="354"/>
      <c r="F125" s="372"/>
      <c r="G125" s="111"/>
      <c r="H125" s="68" t="s">
        <v>1077</v>
      </c>
      <c r="I125" s="353">
        <f>SUBTOTAL(9,I112:I124)</f>
        <v>0</v>
      </c>
      <c r="J125" s="353">
        <f>SUBTOTAL(9,J112:J124)</f>
        <v>604319.67503475724</v>
      </c>
      <c r="K125" s="353">
        <f>SUBTOTAL(9,K112:K124)</f>
        <v>604319.67503475724</v>
      </c>
      <c r="L125" s="353">
        <f>SUBTOTAL(9,L112:L124)</f>
        <v>0</v>
      </c>
    </row>
    <row r="126" spans="1:15" s="352" customFormat="1" outlineLevel="1">
      <c r="A126" s="355" t="s">
        <v>1078</v>
      </c>
      <c r="B126" s="563"/>
      <c r="C126" s="356"/>
      <c r="D126" s="347"/>
      <c r="E126" s="348"/>
      <c r="F126" s="370"/>
      <c r="G126" s="111"/>
      <c r="H126" s="357"/>
      <c r="I126" s="327">
        <f>IF(D133=0,0,I133/D133)</f>
        <v>1</v>
      </c>
      <c r="J126" s="327">
        <f>1-I126</f>
        <v>0</v>
      </c>
      <c r="K126" s="350">
        <f>IF(D133=0,0,K133/D133)</f>
        <v>1</v>
      </c>
      <c r="L126" s="350">
        <f>1-K126</f>
        <v>0</v>
      </c>
    </row>
    <row r="127" spans="1:15" outlineLevel="2">
      <c r="A127" s="68"/>
      <c r="B127" s="562" t="str">
        <f>'Plant Configuration'!C166</f>
        <v>Paint &amp; Materials</v>
      </c>
      <c r="C127" s="54"/>
      <c r="D127" s="524">
        <f>IF($O$7=6,0,HLOOKUP($D$5,Plant_Configuration,'Plant Configuration'!A166,FALSE))+IF($R$7=6,0,HLOOKUP($E$5,Plant_Configuration,'Plant Configuration'!A166,FALSE))+IF($U$7=6,0,HLOOKUP($F$5,Plant_Configuration,'Plant Configuration'!A166,FALSE))</f>
        <v>31099.627690916041</v>
      </c>
      <c r="E127" s="297">
        <v>0</v>
      </c>
      <c r="F127" s="371">
        <v>1</v>
      </c>
      <c r="H127" s="68" t="s">
        <v>1080</v>
      </c>
      <c r="I127" s="325">
        <f t="shared" ref="I127:I132" si="29">D127-J127</f>
        <v>31099.627690916041</v>
      </c>
      <c r="J127" s="325">
        <f t="shared" ref="J127:J132" si="30">E127*D127</f>
        <v>0</v>
      </c>
      <c r="K127" s="293">
        <f>F127*D127</f>
        <v>31099.627690916041</v>
      </c>
      <c r="L127" s="293">
        <f>D127-K127</f>
        <v>0</v>
      </c>
      <c r="N127" s="66"/>
      <c r="O127" s="66"/>
    </row>
    <row r="128" spans="1:15" outlineLevel="2">
      <c r="A128" s="68"/>
      <c r="B128" s="562" t="str">
        <f>'Plant Configuration'!C167</f>
        <v>Technical/Professional Services</v>
      </c>
      <c r="C128" s="54"/>
      <c r="D128" s="524">
        <f>IF($O$7=6,0,HLOOKUP($D$5,Plant_Configuration,'Plant Configuration'!A167,FALSE))+IF($R$7=6,0,HLOOKUP($E$5,Plant_Configuration,'Plant Configuration'!A167,FALSE))+IF($U$7=6,0,HLOOKUP($F$5,Plant_Configuration,'Plant Configuration'!A167,FALSE))</f>
        <v>12439.851076366416</v>
      </c>
      <c r="E128" s="297">
        <v>0</v>
      </c>
      <c r="F128" s="371">
        <v>1</v>
      </c>
      <c r="H128" s="68" t="s">
        <v>1081</v>
      </c>
      <c r="I128" s="325">
        <f t="shared" si="29"/>
        <v>12439.851076366416</v>
      </c>
      <c r="J128" s="325">
        <f t="shared" si="30"/>
        <v>0</v>
      </c>
      <c r="K128" s="293">
        <f>F128*D128</f>
        <v>12439.851076366416</v>
      </c>
      <c r="L128" s="293"/>
      <c r="N128" s="66"/>
      <c r="O128" s="66"/>
    </row>
    <row r="129" spans="1:15" outlineLevel="2">
      <c r="A129" s="68"/>
      <c r="B129" s="562" t="str">
        <f>'Plant Configuration'!C168</f>
        <v>Outside Contract Services</v>
      </c>
      <c r="C129" s="54"/>
      <c r="D129" s="524">
        <f>IF($O$7=6,0,HLOOKUP($D$5,Plant_Configuration,'Plant Configuration'!A168,FALSE))+IF($R$7=6,0,HLOOKUP($E$5,Plant_Configuration,'Plant Configuration'!A168,FALSE))+IF($U$7=6,0,HLOOKUP($F$5,Plant_Configuration,'Plant Configuration'!A168,FALSE))</f>
        <v>12439.851076366416</v>
      </c>
      <c r="E129" s="297">
        <v>0</v>
      </c>
      <c r="F129" s="371">
        <v>1</v>
      </c>
      <c r="H129" s="359" t="s">
        <v>1083</v>
      </c>
      <c r="I129" s="325">
        <f t="shared" si="29"/>
        <v>12439.851076366416</v>
      </c>
      <c r="J129" s="325">
        <f t="shared" si="30"/>
        <v>0</v>
      </c>
      <c r="K129" s="293">
        <f>F129*D129</f>
        <v>12439.851076366416</v>
      </c>
      <c r="L129" s="293"/>
      <c r="N129" s="66"/>
      <c r="O129" s="66"/>
    </row>
    <row r="130" spans="1:15" outlineLevel="2">
      <c r="A130" s="68"/>
      <c r="B130" s="562" t="str">
        <f>'Plant Configuration'!C169</f>
        <v>Equipment rental</v>
      </c>
      <c r="C130" s="54"/>
      <c r="D130" s="524">
        <f>IF($O$7=6,0,HLOOKUP($D$5,Plant_Configuration,'Plant Configuration'!A169,FALSE))+IF($R$7=6,0,HLOOKUP($E$5,Plant_Configuration,'Plant Configuration'!A169,FALSE))+IF($U$7=6,0,HLOOKUP($F$5,Plant_Configuration,'Plant Configuration'!A169,FALSE))</f>
        <v>6219.9255381832081</v>
      </c>
      <c r="E130" s="297">
        <v>0</v>
      </c>
      <c r="F130" s="371">
        <v>1</v>
      </c>
      <c r="H130" s="68"/>
      <c r="I130" s="325">
        <f t="shared" si="29"/>
        <v>6219.9255381832081</v>
      </c>
      <c r="J130" s="325">
        <f t="shared" si="30"/>
        <v>0</v>
      </c>
      <c r="K130" s="293">
        <f>F130*D130</f>
        <v>6219.9255381832081</v>
      </c>
      <c r="L130" s="293"/>
      <c r="O130" s="66"/>
    </row>
    <row r="131" spans="1:15" outlineLevel="2">
      <c r="A131" s="68"/>
      <c r="B131" s="562" t="str">
        <f>'Plant Configuration'!C170</f>
        <v>Miscellaneous</v>
      </c>
      <c r="C131" s="54"/>
      <c r="D131" s="524">
        <f>IF($O$7=6,0,HLOOKUP($D$5,Plant_Configuration,'Plant Configuration'!A170,FALSE))+IF($R$7=6,0,HLOOKUP($E$5,Plant_Configuration,'Plant Configuration'!A170,FALSE))+IF($U$7=6,0,HLOOKUP($F$5,Plant_Configuration,'Plant Configuration'!A170,FALSE))</f>
        <v>0</v>
      </c>
      <c r="E131" s="297">
        <v>0</v>
      </c>
      <c r="F131" s="371">
        <v>1</v>
      </c>
      <c r="H131" s="68"/>
      <c r="I131" s="325">
        <f t="shared" si="29"/>
        <v>0</v>
      </c>
      <c r="J131" s="325">
        <f t="shared" si="30"/>
        <v>0</v>
      </c>
      <c r="K131" s="293">
        <f>F131*D131</f>
        <v>0</v>
      </c>
      <c r="L131" s="293"/>
      <c r="N131" s="66"/>
      <c r="O131" s="66"/>
    </row>
    <row r="132" spans="1:15" outlineLevel="2">
      <c r="A132" s="68"/>
      <c r="B132" s="562" t="str">
        <f>'Plant Configuration'!C171</f>
        <v>Other</v>
      </c>
      <c r="C132" s="54"/>
      <c r="D132" s="524">
        <f>IF($O$7=6,0,HLOOKUP($D$5,Plant_Configuration,'Plant Configuration'!A171,FALSE))+IF($R$7=6,0,HLOOKUP($E$5,Plant_Configuration,'Plant Configuration'!A171,FALSE))+IF($U$7=6,0,HLOOKUP($F$5,Plant_Configuration,'Plant Configuration'!A171,FALSE))</f>
        <v>0</v>
      </c>
      <c r="E132" s="297">
        <v>0</v>
      </c>
      <c r="F132" s="371">
        <v>1</v>
      </c>
      <c r="H132" s="68"/>
      <c r="I132" s="325">
        <f t="shared" si="29"/>
        <v>0</v>
      </c>
      <c r="J132" s="325">
        <f t="shared" si="30"/>
        <v>0</v>
      </c>
      <c r="K132" s="293"/>
      <c r="L132" s="293"/>
      <c r="N132" s="66"/>
      <c r="O132" s="66"/>
    </row>
    <row r="133" spans="1:15" s="352" customFormat="1" outlineLevel="1">
      <c r="A133" s="358"/>
      <c r="B133" s="565" t="s">
        <v>1401</v>
      </c>
      <c r="C133"/>
      <c r="D133" s="353">
        <f>SUBTOTAL(9,D127:D132)</f>
        <v>62199.255381832088</v>
      </c>
      <c r="E133" s="354"/>
      <c r="F133" s="372"/>
      <c r="G133" s="111"/>
      <c r="H133" s="68" t="s">
        <v>1085</v>
      </c>
      <c r="I133" s="353">
        <f>SUBTOTAL(9,I127:I131)</f>
        <v>62199.255381832088</v>
      </c>
      <c r="J133" s="353">
        <f>SUBTOTAL(9,J127:J131)</f>
        <v>0</v>
      </c>
      <c r="K133" s="353">
        <f>SUBTOTAL(9,K127:K131)</f>
        <v>62199.255381832088</v>
      </c>
      <c r="L133" s="353">
        <f>SUBTOTAL(9,L127:L131)</f>
        <v>0</v>
      </c>
      <c r="N133" s="66"/>
    </row>
    <row r="134" spans="1:15" s="352" customFormat="1" outlineLevel="1">
      <c r="A134" s="355" t="s">
        <v>1086</v>
      </c>
      <c r="B134" s="563"/>
      <c r="C134" s="356"/>
      <c r="D134" s="347"/>
      <c r="E134" s="348"/>
      <c r="F134" s="370"/>
      <c r="G134" s="111"/>
      <c r="H134" s="357"/>
      <c r="I134" s="327">
        <f>IF(D143=0,0,I143/D143)</f>
        <v>1</v>
      </c>
      <c r="J134" s="327">
        <f>1-I134</f>
        <v>0</v>
      </c>
      <c r="K134" s="350">
        <f>IF(D143=0,0,K143/D143)</f>
        <v>1</v>
      </c>
      <c r="L134" s="350">
        <f>1-K134</f>
        <v>0</v>
      </c>
    </row>
    <row r="135" spans="1:15" outlineLevel="2">
      <c r="A135" s="68"/>
      <c r="B135" s="562" t="str">
        <f>'Plant Configuration'!C174</f>
        <v>Repair Parts</v>
      </c>
      <c r="C135" s="54"/>
      <c r="D135" s="524">
        <f>IF($O$7=6,0,HLOOKUP($D$5,Plant_Configuration,'Plant Configuration'!A174,FALSE))+IF($R$7=6,0,HLOOKUP($E$5,Plant_Configuration,'Plant Configuration'!A174,FALSE))+IF($U$7=6,0,HLOOKUP($F$5,Plant_Configuration,'Plant Configuration'!A174,FALSE))</f>
        <v>6666.6666666666661</v>
      </c>
      <c r="E135" s="297">
        <v>0</v>
      </c>
      <c r="F135" s="371">
        <v>1</v>
      </c>
      <c r="H135" s="68" t="s">
        <v>1088</v>
      </c>
      <c r="I135" s="325">
        <f t="shared" ref="I135:I142" si="31">D135-J135</f>
        <v>6666.6666666666661</v>
      </c>
      <c r="J135" s="325">
        <f t="shared" ref="J135:J142" si="32">E135*D135</f>
        <v>0</v>
      </c>
      <c r="K135" s="293">
        <f t="shared" ref="K135:K141" si="33">F135*D135</f>
        <v>6666.6666666666661</v>
      </c>
      <c r="L135" s="293">
        <f t="shared" ref="L135:L141" si="34">D135-K135</f>
        <v>0</v>
      </c>
      <c r="N135" s="66"/>
      <c r="O135" s="66"/>
    </row>
    <row r="136" spans="1:15" outlineLevel="2">
      <c r="A136" s="68"/>
      <c r="B136" s="562" t="str">
        <f>'Plant Configuration'!C175</f>
        <v>Outside Repair Services</v>
      </c>
      <c r="C136" s="54"/>
      <c r="D136" s="524">
        <f>IF($O$7=6,0,HLOOKUP($D$5,Plant_Configuration,'Plant Configuration'!A175,FALSE))+IF($R$7=6,0,HLOOKUP($E$5,Plant_Configuration,'Plant Configuration'!A175,FALSE))+IF($U$7=6,0,HLOOKUP($F$5,Plant_Configuration,'Plant Configuration'!A175,FALSE))</f>
        <v>2666.6666666666665</v>
      </c>
      <c r="E136" s="297">
        <v>0</v>
      </c>
      <c r="F136" s="371">
        <v>1</v>
      </c>
      <c r="H136" s="68" t="s">
        <v>1090</v>
      </c>
      <c r="I136" s="325">
        <f t="shared" si="31"/>
        <v>2666.6666666666665</v>
      </c>
      <c r="J136" s="325">
        <f t="shared" si="32"/>
        <v>0</v>
      </c>
      <c r="K136" s="293">
        <f t="shared" si="33"/>
        <v>2666.6666666666665</v>
      </c>
      <c r="L136" s="293">
        <f t="shared" si="34"/>
        <v>0</v>
      </c>
      <c r="N136" s="66"/>
      <c r="O136" s="66"/>
    </row>
    <row r="137" spans="1:15" outlineLevel="2">
      <c r="A137" s="68"/>
      <c r="B137" s="562" t="str">
        <f>'Plant Configuration'!C176</f>
        <v>Technical/Professional Services</v>
      </c>
      <c r="C137" s="54"/>
      <c r="D137" s="524">
        <f>IF($O$7=6,0,HLOOKUP($D$5,Plant_Configuration,'Plant Configuration'!A176,FALSE))+IF($R$7=6,0,HLOOKUP($E$5,Plant_Configuration,'Plant Configuration'!A176,FALSE))+IF($U$7=6,0,HLOOKUP($F$5,Plant_Configuration,'Plant Configuration'!A176,FALSE))</f>
        <v>1333.3333333333333</v>
      </c>
      <c r="E137" s="297">
        <v>0</v>
      </c>
      <c r="F137" s="371">
        <v>1</v>
      </c>
      <c r="H137" s="359" t="s">
        <v>1083</v>
      </c>
      <c r="I137" s="325">
        <f t="shared" si="31"/>
        <v>1333.3333333333333</v>
      </c>
      <c r="J137" s="325">
        <f t="shared" si="32"/>
        <v>0</v>
      </c>
      <c r="K137" s="293">
        <f t="shared" si="33"/>
        <v>1333.3333333333333</v>
      </c>
      <c r="L137" s="293">
        <f t="shared" si="34"/>
        <v>0</v>
      </c>
      <c r="N137" s="66"/>
      <c r="O137" s="66"/>
    </row>
    <row r="138" spans="1:15" outlineLevel="2">
      <c r="A138" s="68"/>
      <c r="B138" s="562" t="str">
        <f>'Plant Configuration'!C177</f>
        <v>Outside Contract Services</v>
      </c>
      <c r="C138" s="54"/>
      <c r="D138" s="524">
        <f>IF($O$7=6,0,HLOOKUP($D$5,Plant_Configuration,'Plant Configuration'!A177,FALSE))+IF($R$7=6,0,HLOOKUP($E$5,Plant_Configuration,'Plant Configuration'!A177,FALSE))+IF($U$7=6,0,HLOOKUP($F$5,Plant_Configuration,'Plant Configuration'!A177,FALSE))</f>
        <v>1999.9999999999998</v>
      </c>
      <c r="E138" s="297">
        <v>0</v>
      </c>
      <c r="F138" s="371">
        <v>1</v>
      </c>
      <c r="H138" s="68"/>
      <c r="I138" s="325">
        <f t="shared" si="31"/>
        <v>1999.9999999999998</v>
      </c>
      <c r="J138" s="325">
        <f t="shared" si="32"/>
        <v>0</v>
      </c>
      <c r="K138" s="293">
        <f t="shared" si="33"/>
        <v>1999.9999999999998</v>
      </c>
      <c r="L138" s="293">
        <f t="shared" si="34"/>
        <v>0</v>
      </c>
      <c r="N138" s="66"/>
      <c r="O138" s="66"/>
    </row>
    <row r="139" spans="1:15" outlineLevel="2">
      <c r="A139" s="68"/>
      <c r="B139" s="562" t="str">
        <f>'Plant Configuration'!C178</f>
        <v>Equipment rental</v>
      </c>
      <c r="C139" s="54"/>
      <c r="D139" s="524">
        <f>IF($O$7=6,0,HLOOKUP($D$5,Plant_Configuration,'Plant Configuration'!A178,FALSE))+IF($R$7=6,0,HLOOKUP($E$5,Plant_Configuration,'Plant Configuration'!A178,FALSE))+IF($U$7=6,0,HLOOKUP($F$5,Plant_Configuration,'Plant Configuration'!A178,FALSE))</f>
        <v>666.66666666666663</v>
      </c>
      <c r="E139" s="297">
        <v>0</v>
      </c>
      <c r="F139" s="371">
        <v>1</v>
      </c>
      <c r="H139" s="68"/>
      <c r="I139" s="325">
        <f t="shared" si="31"/>
        <v>666.66666666666663</v>
      </c>
      <c r="J139" s="325">
        <f t="shared" si="32"/>
        <v>0</v>
      </c>
      <c r="K139" s="293">
        <f t="shared" si="33"/>
        <v>666.66666666666663</v>
      </c>
      <c r="L139" s="293">
        <f t="shared" si="34"/>
        <v>0</v>
      </c>
      <c r="N139" s="66"/>
      <c r="O139" s="66"/>
    </row>
    <row r="140" spans="1:15" outlineLevel="2">
      <c r="A140" s="68"/>
      <c r="B140" s="562" t="str">
        <f>'Plant Configuration'!C179</f>
        <v>Freight</v>
      </c>
      <c r="C140" s="54"/>
      <c r="D140" s="524">
        <f>IF($O$7=6,0,HLOOKUP($D$5,Plant_Configuration,'Plant Configuration'!A179,FALSE))+IF($R$7=6,0,HLOOKUP($E$5,Plant_Configuration,'Plant Configuration'!A179,FALSE))+IF($U$7=6,0,HLOOKUP($F$5,Plant_Configuration,'Plant Configuration'!A179,FALSE))</f>
        <v>0</v>
      </c>
      <c r="E140" s="297">
        <v>0</v>
      </c>
      <c r="F140" s="371">
        <v>1</v>
      </c>
      <c r="H140" s="68"/>
      <c r="I140" s="325">
        <f t="shared" si="31"/>
        <v>0</v>
      </c>
      <c r="J140" s="325">
        <f t="shared" si="32"/>
        <v>0</v>
      </c>
      <c r="K140" s="293">
        <f t="shared" si="33"/>
        <v>0</v>
      </c>
      <c r="L140" s="293">
        <f t="shared" si="34"/>
        <v>0</v>
      </c>
      <c r="N140" s="66"/>
      <c r="O140" s="66"/>
    </row>
    <row r="141" spans="1:15" outlineLevel="2">
      <c r="A141" s="68"/>
      <c r="B141" s="562" t="str">
        <f>'Plant Configuration'!C180</f>
        <v>Other</v>
      </c>
      <c r="C141" s="54"/>
      <c r="D141" s="524">
        <f>IF($O$7=6,0,HLOOKUP($D$5,Plant_Configuration,'Plant Configuration'!A180,FALSE))+IF($R$7=6,0,HLOOKUP($E$5,Plant_Configuration,'Plant Configuration'!A180,FALSE))+IF($U$7=6,0,HLOOKUP($F$5,Plant_Configuration,'Plant Configuration'!A180,FALSE))</f>
        <v>0</v>
      </c>
      <c r="E141" s="297">
        <v>0</v>
      </c>
      <c r="F141" s="371">
        <v>1</v>
      </c>
      <c r="H141" s="68" t="s">
        <v>557</v>
      </c>
      <c r="I141" s="325">
        <f t="shared" si="31"/>
        <v>0</v>
      </c>
      <c r="J141" s="325">
        <f t="shared" si="32"/>
        <v>0</v>
      </c>
      <c r="K141" s="293">
        <f t="shared" si="33"/>
        <v>0</v>
      </c>
      <c r="L141" s="293">
        <f t="shared" si="34"/>
        <v>0</v>
      </c>
      <c r="N141" s="66"/>
      <c r="O141" s="66"/>
    </row>
    <row r="142" spans="1:15" outlineLevel="2">
      <c r="A142" s="68"/>
      <c r="B142" s="562" t="str">
        <f>'Plant Configuration'!C181</f>
        <v>Other</v>
      </c>
      <c r="C142" s="54"/>
      <c r="D142" s="524">
        <f>IF($O$7=6,0,HLOOKUP($D$5,Plant_Configuration,'Plant Configuration'!A181,FALSE))+IF($R$7=6,0,HLOOKUP($E$5,Plant_Configuration,'Plant Configuration'!A181,FALSE))+IF($U$7=6,0,HLOOKUP($F$5,Plant_Configuration,'Plant Configuration'!A181,FALSE))</f>
        <v>0</v>
      </c>
      <c r="E142" s="297">
        <v>0</v>
      </c>
      <c r="F142" s="371">
        <v>1</v>
      </c>
      <c r="H142" s="68"/>
      <c r="I142" s="325">
        <f t="shared" si="31"/>
        <v>0</v>
      </c>
      <c r="J142" s="325">
        <f t="shared" si="32"/>
        <v>0</v>
      </c>
      <c r="K142" s="293"/>
      <c r="L142" s="293"/>
      <c r="N142" s="66"/>
      <c r="O142" s="66"/>
    </row>
    <row r="143" spans="1:15" s="352" customFormat="1" outlineLevel="1">
      <c r="A143" s="358"/>
      <c r="B143" s="565" t="s">
        <v>1401</v>
      </c>
      <c r="C143"/>
      <c r="D143" s="353">
        <f>SUBTOTAL(9,D135:D142)</f>
        <v>13333.333333333332</v>
      </c>
      <c r="E143" s="354"/>
      <c r="F143" s="372"/>
      <c r="G143" s="111"/>
      <c r="H143" s="68" t="s">
        <v>1085</v>
      </c>
      <c r="I143" s="353">
        <f>SUBTOTAL(9,I135:I142)</f>
        <v>13333.333333333332</v>
      </c>
      <c r="J143" s="353">
        <f>SUBTOTAL(9,J135:J142)</f>
        <v>0</v>
      </c>
      <c r="K143" s="353">
        <f>SUBTOTAL(9,K135:K142)</f>
        <v>13333.333333333332</v>
      </c>
      <c r="L143" s="353">
        <f>SUBTOTAL(9,L135:L142)</f>
        <v>0</v>
      </c>
    </row>
    <row r="144" spans="1:15" s="352" customFormat="1" outlineLevel="1">
      <c r="A144" s="355" t="s">
        <v>1091</v>
      </c>
      <c r="B144" s="563"/>
      <c r="C144" s="356"/>
      <c r="D144" s="347"/>
      <c r="E144" s="348"/>
      <c r="F144" s="370"/>
      <c r="G144" s="111"/>
      <c r="H144" s="357"/>
      <c r="I144" s="327">
        <f>IF(D152=0,0,I152/D152)</f>
        <v>1</v>
      </c>
      <c r="J144" s="327">
        <f>1-I144</f>
        <v>0</v>
      </c>
      <c r="K144" s="350">
        <f>IF(D152=0,0,K152/D152)</f>
        <v>1</v>
      </c>
      <c r="L144" s="350">
        <f>1-K144</f>
        <v>0</v>
      </c>
    </row>
    <row r="145" spans="1:15" outlineLevel="2">
      <c r="A145" s="68"/>
      <c r="B145" s="562" t="str">
        <f>'Plant Configuration'!C184</f>
        <v>Repair Parts</v>
      </c>
      <c r="C145" s="54"/>
      <c r="D145" s="524">
        <f>IF($O$7=6,0,HLOOKUP($D$5,Plant_Configuration,'Plant Configuration'!A184,FALSE))+IF($R$7=6,0,HLOOKUP($E$5,Plant_Configuration,'Plant Configuration'!A184,FALSE))+IF($U$7=6,0,HLOOKUP($F$5,Plant_Configuration,'Plant Configuration'!A184,FALSE))</f>
        <v>62199.255381832081</v>
      </c>
      <c r="E145" s="297">
        <v>0</v>
      </c>
      <c r="F145" s="371">
        <v>1</v>
      </c>
      <c r="H145" s="68" t="s">
        <v>1092</v>
      </c>
      <c r="I145" s="325">
        <f t="shared" ref="I145:I151" si="35">D145-J145</f>
        <v>62199.255381832081</v>
      </c>
      <c r="J145" s="325">
        <f t="shared" ref="J145:J151" si="36">E145*D145</f>
        <v>0</v>
      </c>
      <c r="K145" s="293">
        <f t="shared" ref="K145:K151" si="37">F145*D145</f>
        <v>62199.255381832081</v>
      </c>
      <c r="L145" s="293">
        <f t="shared" ref="L145:L151" si="38">D145-K145</f>
        <v>0</v>
      </c>
      <c r="N145" s="66"/>
      <c r="O145" s="66"/>
    </row>
    <row r="146" spans="1:15" outlineLevel="2">
      <c r="A146" s="68"/>
      <c r="B146" s="562" t="str">
        <f>'Plant Configuration'!C185</f>
        <v>Outside Repair Services</v>
      </c>
      <c r="C146" s="54"/>
      <c r="D146" s="524">
        <f>IF($O$7=6,0,HLOOKUP($D$5,Plant_Configuration,'Plant Configuration'!A185,FALSE))+IF($R$7=6,0,HLOOKUP($E$5,Plant_Configuration,'Plant Configuration'!A185,FALSE))+IF($U$7=6,0,HLOOKUP($F$5,Plant_Configuration,'Plant Configuration'!A185,FALSE))</f>
        <v>24879.702152732832</v>
      </c>
      <c r="E146" s="297">
        <v>0</v>
      </c>
      <c r="F146" s="371">
        <v>1</v>
      </c>
      <c r="H146" s="68" t="s">
        <v>1093</v>
      </c>
      <c r="I146" s="325">
        <f t="shared" si="35"/>
        <v>24879.702152732832</v>
      </c>
      <c r="J146" s="325">
        <f t="shared" si="36"/>
        <v>0</v>
      </c>
      <c r="K146" s="293">
        <f t="shared" si="37"/>
        <v>24879.702152732832</v>
      </c>
      <c r="L146" s="293">
        <f t="shared" si="38"/>
        <v>0</v>
      </c>
      <c r="N146" s="66"/>
      <c r="O146" s="66"/>
    </row>
    <row r="147" spans="1:15" outlineLevel="2">
      <c r="A147" s="68"/>
      <c r="B147" s="562" t="str">
        <f>'Plant Configuration'!C186</f>
        <v>Technical/Professional Services</v>
      </c>
      <c r="C147" s="54"/>
      <c r="D147" s="524">
        <f>IF($O$7=6,0,HLOOKUP($D$5,Plant_Configuration,'Plant Configuration'!A186,FALSE))+IF($R$7=6,0,HLOOKUP($E$5,Plant_Configuration,'Plant Configuration'!A186,FALSE))+IF($U$7=6,0,HLOOKUP($F$5,Plant_Configuration,'Plant Configuration'!A186,FALSE))</f>
        <v>12439.851076366416</v>
      </c>
      <c r="E147" s="297">
        <v>0</v>
      </c>
      <c r="F147" s="371">
        <v>1</v>
      </c>
      <c r="H147" s="359" t="s">
        <v>1083</v>
      </c>
      <c r="I147" s="325">
        <f t="shared" si="35"/>
        <v>12439.851076366416</v>
      </c>
      <c r="J147" s="325">
        <f t="shared" si="36"/>
        <v>0</v>
      </c>
      <c r="K147" s="293">
        <f t="shared" si="37"/>
        <v>12439.851076366416</v>
      </c>
      <c r="L147" s="293">
        <f t="shared" si="38"/>
        <v>0</v>
      </c>
      <c r="N147" s="66"/>
      <c r="O147" s="66"/>
    </row>
    <row r="148" spans="1:15" outlineLevel="2">
      <c r="A148" s="68"/>
      <c r="B148" s="562" t="str">
        <f>'Plant Configuration'!C187</f>
        <v>Outside Contract Labor</v>
      </c>
      <c r="C148" s="54"/>
      <c r="D148" s="524">
        <f>IF($O$7=6,0,HLOOKUP($D$5,Plant_Configuration,'Plant Configuration'!A187,FALSE))+IF($R$7=6,0,HLOOKUP($E$5,Plant_Configuration,'Plant Configuration'!A187,FALSE))+IF($U$7=6,0,HLOOKUP($F$5,Plant_Configuration,'Plant Configuration'!A187,FALSE))</f>
        <v>18659.776614549624</v>
      </c>
      <c r="E148" s="297">
        <v>0</v>
      </c>
      <c r="F148" s="371">
        <v>1</v>
      </c>
      <c r="H148" s="68"/>
      <c r="I148" s="325">
        <f t="shared" si="35"/>
        <v>18659.776614549624</v>
      </c>
      <c r="J148" s="325">
        <f t="shared" si="36"/>
        <v>0</v>
      </c>
      <c r="K148" s="293">
        <f t="shared" si="37"/>
        <v>18659.776614549624</v>
      </c>
      <c r="L148" s="293">
        <f t="shared" si="38"/>
        <v>0</v>
      </c>
      <c r="N148" s="66"/>
      <c r="O148" s="66"/>
    </row>
    <row r="149" spans="1:15" outlineLevel="2">
      <c r="A149" s="68"/>
      <c r="B149" s="562" t="str">
        <f>'Plant Configuration'!C188</f>
        <v>Equipment rental</v>
      </c>
      <c r="C149" s="54"/>
      <c r="D149" s="524">
        <f>IF($O$7=6,0,HLOOKUP($D$5,Plant_Configuration,'Plant Configuration'!A188,FALSE))+IF($R$7=6,0,HLOOKUP($E$5,Plant_Configuration,'Plant Configuration'!A188,FALSE))+IF($U$7=6,0,HLOOKUP($F$5,Plant_Configuration,'Plant Configuration'!A188,FALSE))</f>
        <v>6219.9255381832081</v>
      </c>
      <c r="E149" s="297">
        <v>0</v>
      </c>
      <c r="F149" s="371">
        <v>1</v>
      </c>
      <c r="H149" s="68"/>
      <c r="I149" s="325">
        <f t="shared" si="35"/>
        <v>6219.9255381832081</v>
      </c>
      <c r="J149" s="325">
        <f t="shared" si="36"/>
        <v>0</v>
      </c>
      <c r="K149" s="293">
        <f t="shared" si="37"/>
        <v>6219.9255381832081</v>
      </c>
      <c r="L149" s="293">
        <f t="shared" si="38"/>
        <v>0</v>
      </c>
      <c r="N149" s="66"/>
      <c r="O149" s="66"/>
    </row>
    <row r="150" spans="1:15" outlineLevel="2">
      <c r="A150" s="68"/>
      <c r="B150" s="562" t="str">
        <f>'Plant Configuration'!C189</f>
        <v>Miscellaneous</v>
      </c>
      <c r="C150" s="54"/>
      <c r="D150" s="524">
        <f>IF($O$7=6,0,HLOOKUP($D$5,Plant_Configuration,'Plant Configuration'!A189,FALSE))+IF($R$7=6,0,HLOOKUP($E$5,Plant_Configuration,'Plant Configuration'!A189,FALSE))+IF($U$7=6,0,HLOOKUP($F$5,Plant_Configuration,'Plant Configuration'!A189,FALSE))</f>
        <v>0</v>
      </c>
      <c r="E150" s="297">
        <v>0</v>
      </c>
      <c r="F150" s="371">
        <v>1</v>
      </c>
      <c r="H150" s="68"/>
      <c r="I150" s="325">
        <f t="shared" si="35"/>
        <v>0</v>
      </c>
      <c r="J150" s="325">
        <f t="shared" si="36"/>
        <v>0</v>
      </c>
      <c r="K150" s="293">
        <f t="shared" si="37"/>
        <v>0</v>
      </c>
      <c r="L150" s="293">
        <f t="shared" si="38"/>
        <v>0</v>
      </c>
      <c r="N150" s="66"/>
      <c r="O150" s="66"/>
    </row>
    <row r="151" spans="1:15" outlineLevel="2">
      <c r="A151" s="68"/>
      <c r="B151" s="562" t="str">
        <f>'Plant Configuration'!C190</f>
        <v>Freight</v>
      </c>
      <c r="C151" s="54"/>
      <c r="D151" s="524">
        <f>IF($O$7=6,0,HLOOKUP($D$5,Plant_Configuration,'Plant Configuration'!A190,FALSE))+IF($R$7=6,0,HLOOKUP($E$5,Plant_Configuration,'Plant Configuration'!A190,FALSE))+IF($U$7=6,0,HLOOKUP($F$5,Plant_Configuration,'Plant Configuration'!A190,FALSE))</f>
        <v>0</v>
      </c>
      <c r="E151" s="297">
        <v>0</v>
      </c>
      <c r="F151" s="371">
        <v>1</v>
      </c>
      <c r="H151" s="68" t="s">
        <v>557</v>
      </c>
      <c r="I151" s="325">
        <f t="shared" si="35"/>
        <v>0</v>
      </c>
      <c r="J151" s="325">
        <f t="shared" si="36"/>
        <v>0</v>
      </c>
      <c r="K151" s="293">
        <f t="shared" si="37"/>
        <v>0</v>
      </c>
      <c r="L151" s="293">
        <f t="shared" si="38"/>
        <v>0</v>
      </c>
      <c r="N151" s="66"/>
      <c r="O151" s="66"/>
    </row>
    <row r="152" spans="1:15" s="352" customFormat="1" outlineLevel="1">
      <c r="A152" s="358"/>
      <c r="B152" s="565" t="s">
        <v>1401</v>
      </c>
      <c r="C152"/>
      <c r="D152" s="353">
        <f>SUBTOTAL(9,D145:D151)</f>
        <v>124398.51076366416</v>
      </c>
      <c r="E152" s="354"/>
      <c r="F152" s="372"/>
      <c r="G152" s="111"/>
      <c r="H152" s="68" t="s">
        <v>1095</v>
      </c>
      <c r="I152" s="353">
        <f>SUBTOTAL(9,I145:I151)</f>
        <v>124398.51076366416</v>
      </c>
      <c r="J152" s="353">
        <f>SUBTOTAL(9,J145:J151)</f>
        <v>0</v>
      </c>
      <c r="K152" s="353">
        <f>SUBTOTAL(9,K145:K151)</f>
        <v>124398.51076366416</v>
      </c>
      <c r="L152" s="353">
        <f>SUBTOTAL(9,L145:L151)</f>
        <v>0</v>
      </c>
    </row>
    <row r="153" spans="1:15" s="352" customFormat="1" outlineLevel="1">
      <c r="A153" s="355" t="s">
        <v>1096</v>
      </c>
      <c r="B153" s="563"/>
      <c r="C153" s="356"/>
      <c r="D153" s="347"/>
      <c r="E153" s="348"/>
      <c r="F153" s="370"/>
      <c r="G153" s="111"/>
      <c r="H153" s="357"/>
      <c r="I153" s="327">
        <f>IF(D162=0,0,I162/D162)</f>
        <v>1</v>
      </c>
      <c r="J153" s="327">
        <f>1-I153</f>
        <v>0</v>
      </c>
      <c r="K153" s="350">
        <f>IF(D162=0,0,K162/D162)</f>
        <v>1</v>
      </c>
      <c r="L153" s="350">
        <f>1-K153</f>
        <v>0</v>
      </c>
    </row>
    <row r="154" spans="1:15" outlineLevel="2">
      <c r="A154" s="68"/>
      <c r="B154" s="562" t="str">
        <f>'Plant Configuration'!C193</f>
        <v>Repair Parts</v>
      </c>
      <c r="C154" s="54"/>
      <c r="D154" s="524">
        <f>IF($O$7=6,0,HLOOKUP($D$5,Plant_Configuration,'Plant Configuration'!A193,FALSE))+IF($R$7=6,0,HLOOKUP($E$5,Plant_Configuration,'Plant Configuration'!A193,FALSE))+IF($U$7=6,0,HLOOKUP($F$5,Plant_Configuration,'Plant Configuration'!A193,FALSE))</f>
        <v>79526.19080962817</v>
      </c>
      <c r="E154" s="297">
        <v>0</v>
      </c>
      <c r="F154" s="371">
        <v>1</v>
      </c>
      <c r="H154" s="68" t="s">
        <v>1080</v>
      </c>
      <c r="I154" s="325">
        <f t="shared" ref="I154:I161" si="39">D154-J154</f>
        <v>79526.19080962817</v>
      </c>
      <c r="J154" s="325">
        <f t="shared" ref="J154:J161" si="40">E154*D154</f>
        <v>0</v>
      </c>
      <c r="K154" s="293">
        <f t="shared" ref="K154:K160" si="41">F154*D154</f>
        <v>79526.19080962817</v>
      </c>
      <c r="L154" s="293">
        <f t="shared" ref="L154:L160" si="42">D154-K154</f>
        <v>0</v>
      </c>
      <c r="N154" s="66"/>
      <c r="O154" s="66"/>
    </row>
    <row r="155" spans="1:15" outlineLevel="2">
      <c r="A155" s="68"/>
      <c r="B155" s="562" t="str">
        <f>'Plant Configuration'!C194</f>
        <v>Outside Repair Services</v>
      </c>
      <c r="C155" s="54"/>
      <c r="D155" s="524">
        <f>IF($O$7=6,0,HLOOKUP($D$5,Plant_Configuration,'Plant Configuration'!A194,FALSE))+IF($R$7=6,0,HLOOKUP($E$5,Plant_Configuration,'Plant Configuration'!A194,FALSE))+IF($U$7=6,0,HLOOKUP($F$5,Plant_Configuration,'Plant Configuration'!A194,FALSE))</f>
        <v>31810.476323851268</v>
      </c>
      <c r="E155" s="297">
        <v>0</v>
      </c>
      <c r="F155" s="371">
        <v>1</v>
      </c>
      <c r="H155" s="68" t="s">
        <v>1097</v>
      </c>
      <c r="I155" s="325">
        <f t="shared" si="39"/>
        <v>31810.476323851268</v>
      </c>
      <c r="J155" s="325">
        <f t="shared" si="40"/>
        <v>0</v>
      </c>
      <c r="K155" s="293">
        <f t="shared" si="41"/>
        <v>31810.476323851268</v>
      </c>
      <c r="L155" s="293">
        <f t="shared" si="42"/>
        <v>0</v>
      </c>
      <c r="N155" s="66"/>
      <c r="O155" s="66"/>
    </row>
    <row r="156" spans="1:15" outlineLevel="2">
      <c r="A156" s="68"/>
      <c r="B156" s="562" t="str">
        <f>'Plant Configuration'!C195</f>
        <v>Technical/Professional Services</v>
      </c>
      <c r="C156" s="54"/>
      <c r="D156" s="524">
        <f>IF($O$7=6,0,HLOOKUP($D$5,Plant_Configuration,'Plant Configuration'!A195,FALSE))+IF($R$7=6,0,HLOOKUP($E$5,Plant_Configuration,'Plant Configuration'!A195,FALSE))+IF($U$7=6,0,HLOOKUP($F$5,Plant_Configuration,'Plant Configuration'!A195,FALSE))</f>
        <v>15905.238161925634</v>
      </c>
      <c r="E156" s="297">
        <v>0</v>
      </c>
      <c r="F156" s="371">
        <v>1</v>
      </c>
      <c r="H156" s="359" t="s">
        <v>1083</v>
      </c>
      <c r="I156" s="325">
        <f t="shared" si="39"/>
        <v>15905.238161925634</v>
      </c>
      <c r="J156" s="325">
        <f t="shared" si="40"/>
        <v>0</v>
      </c>
      <c r="K156" s="293">
        <f t="shared" si="41"/>
        <v>15905.238161925634</v>
      </c>
      <c r="L156" s="293">
        <f t="shared" si="42"/>
        <v>0</v>
      </c>
      <c r="N156" s="66"/>
      <c r="O156" s="66"/>
    </row>
    <row r="157" spans="1:15" outlineLevel="2">
      <c r="A157" s="68"/>
      <c r="B157" s="562" t="str">
        <f>'Plant Configuration'!C196</f>
        <v>Outside Contract Labor</v>
      </c>
      <c r="C157" s="54"/>
      <c r="D157" s="524">
        <f>IF($O$7=6,0,HLOOKUP($D$5,Plant_Configuration,'Plant Configuration'!A196,FALSE))+IF($R$7=6,0,HLOOKUP($E$5,Plant_Configuration,'Plant Configuration'!A196,FALSE))+IF($U$7=6,0,HLOOKUP($F$5,Plant_Configuration,'Plant Configuration'!A196,FALSE))</f>
        <v>23857.857242888451</v>
      </c>
      <c r="E157" s="297">
        <v>0</v>
      </c>
      <c r="F157" s="371">
        <v>1</v>
      </c>
      <c r="H157" s="68"/>
      <c r="I157" s="325">
        <f t="shared" si="39"/>
        <v>23857.857242888451</v>
      </c>
      <c r="J157" s="325">
        <f t="shared" si="40"/>
        <v>0</v>
      </c>
      <c r="K157" s="293">
        <f t="shared" si="41"/>
        <v>23857.857242888451</v>
      </c>
      <c r="L157" s="293">
        <f t="shared" si="42"/>
        <v>0</v>
      </c>
      <c r="N157" s="66"/>
      <c r="O157" s="66"/>
    </row>
    <row r="158" spans="1:15" outlineLevel="2">
      <c r="A158" s="68"/>
      <c r="B158" s="562" t="str">
        <f>'Plant Configuration'!C197</f>
        <v>Equipment rental</v>
      </c>
      <c r="C158" s="54"/>
      <c r="D158" s="524">
        <f>IF($O$7=6,0,HLOOKUP($D$5,Plant_Configuration,'Plant Configuration'!A197,FALSE))+IF($R$7=6,0,HLOOKUP($E$5,Plant_Configuration,'Plant Configuration'!A197,FALSE))+IF($U$7=6,0,HLOOKUP($F$5,Plant_Configuration,'Plant Configuration'!A197,FALSE))</f>
        <v>7952.619080962817</v>
      </c>
      <c r="E158" s="297">
        <v>0</v>
      </c>
      <c r="F158" s="371">
        <v>1</v>
      </c>
      <c r="H158" s="68"/>
      <c r="I158" s="325">
        <f t="shared" si="39"/>
        <v>7952.619080962817</v>
      </c>
      <c r="J158" s="325">
        <f t="shared" si="40"/>
        <v>0</v>
      </c>
      <c r="K158" s="293">
        <f t="shared" si="41"/>
        <v>7952.619080962817</v>
      </c>
      <c r="L158" s="293">
        <f t="shared" si="42"/>
        <v>0</v>
      </c>
      <c r="N158" s="66"/>
      <c r="O158" s="66"/>
    </row>
    <row r="159" spans="1:15" outlineLevel="2">
      <c r="A159" s="68"/>
      <c r="B159" s="562" t="str">
        <f>'Plant Configuration'!C198</f>
        <v>Miscellaneous (chillers)</v>
      </c>
      <c r="C159" s="54"/>
      <c r="D159" s="524">
        <f>IF($O$7=6,0,HLOOKUP($D$5,Plant_Configuration,'Plant Configuration'!A198,FALSE))+IF($R$7=6,0,HLOOKUP($E$5,Plant_Configuration,'Plant Configuration'!A198,FALSE))+IF($U$7=6,0,HLOOKUP($F$5,Plant_Configuration,'Plant Configuration'!A198,FALSE))</f>
        <v>0</v>
      </c>
      <c r="E159" s="297">
        <v>0</v>
      </c>
      <c r="F159" s="371">
        <v>1</v>
      </c>
      <c r="H159" s="68"/>
      <c r="I159" s="325">
        <f t="shared" si="39"/>
        <v>0</v>
      </c>
      <c r="J159" s="325">
        <f t="shared" si="40"/>
        <v>0</v>
      </c>
      <c r="K159" s="293">
        <f t="shared" si="41"/>
        <v>0</v>
      </c>
      <c r="L159" s="293">
        <f t="shared" si="42"/>
        <v>0</v>
      </c>
      <c r="N159" s="66"/>
      <c r="O159" s="66"/>
    </row>
    <row r="160" spans="1:15" outlineLevel="2">
      <c r="A160" s="68"/>
      <c r="B160" s="562" t="str">
        <f>'Plant Configuration'!C199</f>
        <v>Freight</v>
      </c>
      <c r="C160" s="54"/>
      <c r="D160" s="524">
        <f>IF($O$7=6,0,HLOOKUP($D$5,Plant_Configuration,'Plant Configuration'!A199,FALSE))+IF($R$7=6,0,HLOOKUP($E$5,Plant_Configuration,'Plant Configuration'!A199,FALSE))+IF($U$7=6,0,HLOOKUP($F$5,Plant_Configuration,'Plant Configuration'!A199,FALSE))</f>
        <v>0</v>
      </c>
      <c r="E160" s="297">
        <v>0</v>
      </c>
      <c r="F160" s="371">
        <v>1</v>
      </c>
      <c r="H160" s="68" t="s">
        <v>557</v>
      </c>
      <c r="I160" s="325">
        <f t="shared" si="39"/>
        <v>0</v>
      </c>
      <c r="J160" s="325">
        <f t="shared" si="40"/>
        <v>0</v>
      </c>
      <c r="K160" s="293">
        <f t="shared" si="41"/>
        <v>0</v>
      </c>
      <c r="L160" s="293">
        <f t="shared" si="42"/>
        <v>0</v>
      </c>
      <c r="N160" s="66"/>
      <c r="O160" s="66"/>
    </row>
    <row r="161" spans="1:15" outlineLevel="2">
      <c r="A161" s="68"/>
      <c r="B161" s="562" t="str">
        <f>'Plant Configuration'!C200</f>
        <v>Other</v>
      </c>
      <c r="C161" s="54"/>
      <c r="D161" s="524">
        <f>IF($O$7=6,0,HLOOKUP($D$5,Plant_Configuration,'Plant Configuration'!A200,FALSE))+IF($R$7=6,0,HLOOKUP($E$5,Plant_Configuration,'Plant Configuration'!A200,FALSE))+IF($U$7=6,0,HLOOKUP($F$5,Plant_Configuration,'Plant Configuration'!A200,FALSE))</f>
        <v>0</v>
      </c>
      <c r="E161" s="297">
        <v>0</v>
      </c>
      <c r="F161" s="371">
        <v>1</v>
      </c>
      <c r="H161" s="68"/>
      <c r="I161" s="325">
        <f t="shared" si="39"/>
        <v>0</v>
      </c>
      <c r="J161" s="325">
        <f t="shared" si="40"/>
        <v>0</v>
      </c>
      <c r="K161" s="293"/>
      <c r="L161" s="293"/>
      <c r="N161" s="66"/>
      <c r="O161" s="66"/>
    </row>
    <row r="162" spans="1:15" s="352" customFormat="1" outlineLevel="1">
      <c r="A162" s="358"/>
      <c r="B162" s="565" t="s">
        <v>1401</v>
      </c>
      <c r="C162"/>
      <c r="D162" s="353">
        <f>SUBTOTAL(9,D154:D161)</f>
        <v>159052.38161925634</v>
      </c>
      <c r="E162" s="354"/>
      <c r="F162" s="372"/>
      <c r="G162" s="111"/>
      <c r="H162" s="68" t="s">
        <v>1085</v>
      </c>
      <c r="I162" s="353">
        <f>SUBTOTAL(9,I154:I161)</f>
        <v>159052.38161925634</v>
      </c>
      <c r="J162" s="353">
        <f>SUBTOTAL(9,J154:J161)</f>
        <v>0</v>
      </c>
      <c r="K162" s="353">
        <f>SUBTOTAL(9,K154:K161)</f>
        <v>159052.38161925634</v>
      </c>
      <c r="L162" s="353">
        <f>SUBTOTAL(9,L154:L161)</f>
        <v>0</v>
      </c>
    </row>
    <row r="163" spans="1:15" s="352" customFormat="1" outlineLevel="1">
      <c r="A163" s="355" t="s">
        <v>1098</v>
      </c>
      <c r="B163" s="563"/>
      <c r="C163" s="356"/>
      <c r="D163" s="347"/>
      <c r="E163" s="348"/>
      <c r="F163" s="370"/>
      <c r="G163" s="111"/>
      <c r="H163" s="357"/>
      <c r="I163" s="327">
        <f>IF(D173=0,0,I173/D173)</f>
        <v>1</v>
      </c>
      <c r="J163" s="327">
        <f>1-I163</f>
        <v>0</v>
      </c>
      <c r="K163" s="350">
        <f>IF(D173=0,0,K173/D173)</f>
        <v>1</v>
      </c>
      <c r="L163" s="350">
        <f>1-K163</f>
        <v>0</v>
      </c>
    </row>
    <row r="164" spans="1:15" outlineLevel="2">
      <c r="A164" s="68"/>
      <c r="B164" s="562" t="str">
        <f>'Plant Configuration'!C203</f>
        <v>Repair Parts</v>
      </c>
      <c r="C164" s="54"/>
      <c r="D164" s="524">
        <f>IF($O$7=6,0,HLOOKUP($D$5,Plant_Configuration,'Plant Configuration'!A203,FALSE))+IF($R$7=6,0,HLOOKUP($E$5,Plant_Configuration,'Plant Configuration'!A203,FALSE))+IF($U$7=6,0,HLOOKUP($F$5,Plant_Configuration,'Plant Configuration'!A203,FALSE))</f>
        <v>28052.055474691377</v>
      </c>
      <c r="E164" s="297">
        <v>0</v>
      </c>
      <c r="F164" s="371">
        <v>1</v>
      </c>
      <c r="H164" s="68" t="s">
        <v>1099</v>
      </c>
      <c r="I164" s="325">
        <f t="shared" ref="I164:I172" si="43">D164-J164</f>
        <v>28052.055474691377</v>
      </c>
      <c r="J164" s="325">
        <f t="shared" ref="J164:J172" si="44">E164*D164</f>
        <v>0</v>
      </c>
      <c r="K164" s="293">
        <f t="shared" ref="K164:K171" si="45">F164*D164</f>
        <v>28052.055474691377</v>
      </c>
      <c r="L164" s="293">
        <f t="shared" ref="L164:L171" si="46">D164-K164</f>
        <v>0</v>
      </c>
      <c r="N164" s="66"/>
      <c r="O164" s="66"/>
    </row>
    <row r="165" spans="1:15" outlineLevel="2">
      <c r="A165" s="68"/>
      <c r="B165" s="562" t="str">
        <f>'Plant Configuration'!C204</f>
        <v>Electric Meter Calibration &amp; Testing</v>
      </c>
      <c r="C165" s="54"/>
      <c r="D165" s="524">
        <f>IF($O$7=6,0,HLOOKUP($D$5,Plant_Configuration,'Plant Configuration'!A204,FALSE))+IF($R$7=6,0,HLOOKUP($E$5,Plant_Configuration,'Plant Configuration'!A204,FALSE))+IF($U$7=6,0,HLOOKUP($F$5,Plant_Configuration,'Plant Configuration'!A204,FALSE))</f>
        <v>11220.822189876551</v>
      </c>
      <c r="E165" s="297">
        <v>0</v>
      </c>
      <c r="F165" s="371">
        <v>1</v>
      </c>
      <c r="H165" s="68" t="s">
        <v>1101</v>
      </c>
      <c r="I165" s="325">
        <f t="shared" si="43"/>
        <v>11220.822189876551</v>
      </c>
      <c r="J165" s="325">
        <f t="shared" si="44"/>
        <v>0</v>
      </c>
      <c r="K165" s="293">
        <f t="shared" si="45"/>
        <v>11220.822189876551</v>
      </c>
      <c r="L165" s="293">
        <f t="shared" si="46"/>
        <v>0</v>
      </c>
      <c r="N165" s="66"/>
      <c r="O165" s="66"/>
    </row>
    <row r="166" spans="1:15" outlineLevel="2">
      <c r="A166" s="68"/>
      <c r="B166" s="562" t="str">
        <f>'Plant Configuration'!C205</f>
        <v>Outside Repair Services</v>
      </c>
      <c r="C166" s="54"/>
      <c r="D166" s="524">
        <f>IF($O$7=6,0,HLOOKUP($D$5,Plant_Configuration,'Plant Configuration'!A205,FALSE))+IF($R$7=6,0,HLOOKUP($E$5,Plant_Configuration,'Plant Configuration'!A205,FALSE))+IF($U$7=6,0,HLOOKUP($F$5,Plant_Configuration,'Plant Configuration'!A205,FALSE))</f>
        <v>5610.4110949382757</v>
      </c>
      <c r="E166" s="297">
        <v>0</v>
      </c>
      <c r="F166" s="371">
        <v>1</v>
      </c>
      <c r="H166" s="68" t="s">
        <v>1102</v>
      </c>
      <c r="I166" s="325">
        <f t="shared" si="43"/>
        <v>5610.4110949382757</v>
      </c>
      <c r="J166" s="325">
        <f t="shared" si="44"/>
        <v>0</v>
      </c>
      <c r="K166" s="293">
        <f t="shared" si="45"/>
        <v>5610.4110949382757</v>
      </c>
      <c r="L166" s="293">
        <f t="shared" si="46"/>
        <v>0</v>
      </c>
      <c r="N166" s="66"/>
      <c r="O166" s="66"/>
    </row>
    <row r="167" spans="1:15" outlineLevel="2">
      <c r="A167" s="68"/>
      <c r="B167" s="562" t="str">
        <f>'Plant Configuration'!C206</f>
        <v>Technical/Professional Services</v>
      </c>
      <c r="C167" s="54"/>
      <c r="D167" s="524">
        <f>IF($O$7=6,0,HLOOKUP($D$5,Plant_Configuration,'Plant Configuration'!A206,FALSE))+IF($R$7=6,0,HLOOKUP($E$5,Plant_Configuration,'Plant Configuration'!A206,FALSE))+IF($U$7=6,0,HLOOKUP($F$5,Plant_Configuration,'Plant Configuration'!A206,FALSE))</f>
        <v>2805.2055474691379</v>
      </c>
      <c r="E167" s="297">
        <v>0</v>
      </c>
      <c r="F167" s="371">
        <v>1</v>
      </c>
      <c r="H167" s="68" t="s">
        <v>1103</v>
      </c>
      <c r="I167" s="325">
        <f t="shared" si="43"/>
        <v>2805.2055474691379</v>
      </c>
      <c r="J167" s="325">
        <f t="shared" si="44"/>
        <v>0</v>
      </c>
      <c r="K167" s="293">
        <f t="shared" si="45"/>
        <v>2805.2055474691379</v>
      </c>
      <c r="L167" s="293">
        <f t="shared" si="46"/>
        <v>0</v>
      </c>
      <c r="N167" s="66"/>
      <c r="O167" s="66"/>
    </row>
    <row r="168" spans="1:15" outlineLevel="2">
      <c r="A168" s="68"/>
      <c r="B168" s="562" t="str">
        <f>'Plant Configuration'!C207</f>
        <v>Outside Contract Labor</v>
      </c>
      <c r="C168" s="54"/>
      <c r="D168" s="524">
        <f>IF($O$7=6,0,HLOOKUP($D$5,Plant_Configuration,'Plant Configuration'!A207,FALSE))+IF($R$7=6,0,HLOOKUP($E$5,Plant_Configuration,'Plant Configuration'!A207,FALSE))+IF($U$7=6,0,HLOOKUP($F$5,Plant_Configuration,'Plant Configuration'!A207,FALSE))</f>
        <v>5610.4110949382757</v>
      </c>
      <c r="E168" s="297">
        <v>0</v>
      </c>
      <c r="F168" s="371">
        <v>1</v>
      </c>
      <c r="H168" s="68" t="s">
        <v>1104</v>
      </c>
      <c r="I168" s="325">
        <f t="shared" si="43"/>
        <v>5610.4110949382757</v>
      </c>
      <c r="J168" s="325">
        <f t="shared" si="44"/>
        <v>0</v>
      </c>
      <c r="K168" s="293">
        <f t="shared" si="45"/>
        <v>5610.4110949382757</v>
      </c>
      <c r="L168" s="293">
        <f t="shared" si="46"/>
        <v>0</v>
      </c>
      <c r="N168" s="66"/>
      <c r="O168" s="66"/>
    </row>
    <row r="169" spans="1:15" outlineLevel="2">
      <c r="A169" s="68"/>
      <c r="B169" s="562" t="str">
        <f>'Plant Configuration'!C208</f>
        <v>Equipment rental</v>
      </c>
      <c r="C169" s="54"/>
      <c r="D169" s="524">
        <f>IF($O$7=6,0,HLOOKUP($D$5,Plant_Configuration,'Plant Configuration'!A208,FALSE))+IF($R$7=6,0,HLOOKUP($E$5,Plant_Configuration,'Plant Configuration'!A208,FALSE))+IF($U$7=6,0,HLOOKUP($F$5,Plant_Configuration,'Plant Configuration'!A208,FALSE))</f>
        <v>2805.2055474691379</v>
      </c>
      <c r="E169" s="297">
        <v>0</v>
      </c>
      <c r="F169" s="371">
        <v>1</v>
      </c>
      <c r="H169" s="68"/>
      <c r="I169" s="325">
        <f t="shared" si="43"/>
        <v>2805.2055474691379</v>
      </c>
      <c r="J169" s="325">
        <f t="shared" si="44"/>
        <v>0</v>
      </c>
      <c r="K169" s="293">
        <f t="shared" si="45"/>
        <v>2805.2055474691379</v>
      </c>
      <c r="L169" s="293">
        <f t="shared" si="46"/>
        <v>0</v>
      </c>
      <c r="N169" s="66"/>
      <c r="O169" s="66"/>
    </row>
    <row r="170" spans="1:15" outlineLevel="2">
      <c r="A170" s="68"/>
      <c r="B170" s="562" t="str">
        <f>'Plant Configuration'!C209</f>
        <v>Miscellaneous</v>
      </c>
      <c r="C170" s="54"/>
      <c r="D170" s="524">
        <f>IF($O$7=6,0,HLOOKUP($D$5,Plant_Configuration,'Plant Configuration'!A209,FALSE))+IF($R$7=6,0,HLOOKUP($E$5,Plant_Configuration,'Plant Configuration'!A209,FALSE))+IF($U$7=6,0,HLOOKUP($F$5,Plant_Configuration,'Plant Configuration'!A209,FALSE))</f>
        <v>0</v>
      </c>
      <c r="E170" s="297">
        <v>0</v>
      </c>
      <c r="F170" s="371">
        <v>1</v>
      </c>
      <c r="H170" s="68"/>
      <c r="I170" s="325">
        <f t="shared" si="43"/>
        <v>0</v>
      </c>
      <c r="J170" s="325">
        <f t="shared" si="44"/>
        <v>0</v>
      </c>
      <c r="K170" s="293">
        <f t="shared" si="45"/>
        <v>0</v>
      </c>
      <c r="L170" s="293">
        <f t="shared" si="46"/>
        <v>0</v>
      </c>
      <c r="N170" s="66"/>
      <c r="O170" s="66"/>
    </row>
    <row r="171" spans="1:15" outlineLevel="2">
      <c r="A171" s="68"/>
      <c r="B171" s="562" t="str">
        <f>'Plant Configuration'!C210</f>
        <v>Freight</v>
      </c>
      <c r="C171" s="54"/>
      <c r="D171" s="524">
        <f>IF($O$7=6,0,HLOOKUP($D$5,Plant_Configuration,'Plant Configuration'!A210,FALSE))+IF($R$7=6,0,HLOOKUP($E$5,Plant_Configuration,'Plant Configuration'!A210,FALSE))+IF($U$7=6,0,HLOOKUP($F$5,Plant_Configuration,'Plant Configuration'!A210,FALSE))</f>
        <v>0</v>
      </c>
      <c r="E171" s="297">
        <v>0</v>
      </c>
      <c r="F171" s="371">
        <v>1</v>
      </c>
      <c r="H171" s="68" t="s">
        <v>1105</v>
      </c>
      <c r="I171" s="325">
        <f t="shared" si="43"/>
        <v>0</v>
      </c>
      <c r="J171" s="325">
        <f t="shared" si="44"/>
        <v>0</v>
      </c>
      <c r="K171" s="293">
        <f t="shared" si="45"/>
        <v>0</v>
      </c>
      <c r="L171" s="293">
        <f t="shared" si="46"/>
        <v>0</v>
      </c>
      <c r="N171" s="66"/>
      <c r="O171" s="66"/>
    </row>
    <row r="172" spans="1:15" outlineLevel="2">
      <c r="A172" s="68"/>
      <c r="B172" s="562" t="str">
        <f>'Plant Configuration'!C211</f>
        <v>Other</v>
      </c>
      <c r="C172" s="54"/>
      <c r="D172" s="524">
        <f>IF($O$7=6,0,HLOOKUP($D$5,Plant_Configuration,'Plant Configuration'!A211,FALSE))+IF($R$7=6,0,HLOOKUP($E$5,Plant_Configuration,'Plant Configuration'!A211,FALSE))+IF($U$7=6,0,HLOOKUP($F$5,Plant_Configuration,'Plant Configuration'!A211,FALSE))</f>
        <v>0</v>
      </c>
      <c r="E172" s="297">
        <v>0</v>
      </c>
      <c r="F172" s="371">
        <v>1</v>
      </c>
      <c r="H172" s="68"/>
      <c r="I172" s="325">
        <f t="shared" si="43"/>
        <v>0</v>
      </c>
      <c r="J172" s="325">
        <f t="shared" si="44"/>
        <v>0</v>
      </c>
      <c r="K172" s="293"/>
      <c r="L172" s="293"/>
      <c r="N172" s="66"/>
      <c r="O172" s="66"/>
    </row>
    <row r="173" spans="1:15" s="352" customFormat="1" outlineLevel="1">
      <c r="A173" s="358"/>
      <c r="B173" s="565" t="s">
        <v>1401</v>
      </c>
      <c r="C173"/>
      <c r="D173" s="353">
        <f>SUBTOTAL(9,D164:D172)</f>
        <v>56104.110949382753</v>
      </c>
      <c r="E173" s="354"/>
      <c r="F173" s="372"/>
      <c r="G173" s="111"/>
      <c r="H173" s="68" t="s">
        <v>1106</v>
      </c>
      <c r="I173" s="353">
        <f>SUBTOTAL(9,I164:I172)</f>
        <v>56104.110949382753</v>
      </c>
      <c r="J173" s="353">
        <f>SUBTOTAL(9,J164:J172)</f>
        <v>0</v>
      </c>
      <c r="K173" s="353">
        <f>SUBTOTAL(9,K164:K172)</f>
        <v>56104.110949382753</v>
      </c>
      <c r="L173" s="353">
        <f>SUBTOTAL(9,L164:L172)</f>
        <v>0</v>
      </c>
    </row>
    <row r="174" spans="1:15" s="352" customFormat="1" outlineLevel="1">
      <c r="A174" s="355" t="s">
        <v>1107</v>
      </c>
      <c r="B174" s="563"/>
      <c r="C174" s="356"/>
      <c r="D174" s="347"/>
      <c r="E174" s="348"/>
      <c r="F174" s="370"/>
      <c r="G174" s="111"/>
      <c r="H174" s="357"/>
      <c r="I174" s="327">
        <f>IF(D183=0,0,183/D183)</f>
        <v>3.689633551007738E-4</v>
      </c>
      <c r="J174" s="327">
        <f>1-I174</f>
        <v>0.99963103664489927</v>
      </c>
      <c r="K174" s="350">
        <f>IF(D183=0,0,K183/D183)</f>
        <v>1</v>
      </c>
      <c r="L174" s="350">
        <f>1-K174</f>
        <v>0</v>
      </c>
    </row>
    <row r="175" spans="1:15" outlineLevel="2">
      <c r="A175" s="68"/>
      <c r="B175" s="562" t="str">
        <f>'Plant Configuration'!C214</f>
        <v>Repair Parts</v>
      </c>
      <c r="C175" s="54"/>
      <c r="D175" s="524">
        <f>IF($O$7=6,0,HLOOKUP($D$5,Plant_Configuration,'Plant Configuration'!A214,FALSE))+IF($R$7=6,0,HLOOKUP($E$5,Plant_Configuration,'Plant Configuration'!A214,FALSE))+IF($U$7=6,0,HLOOKUP($F$5,Plant_Configuration,'Plant Configuration'!A214,FALSE))</f>
        <v>247992.10744115463</v>
      </c>
      <c r="E175" s="297">
        <v>0.9</v>
      </c>
      <c r="F175" s="371">
        <v>1</v>
      </c>
      <c r="H175" s="68" t="s">
        <v>1108</v>
      </c>
      <c r="I175" s="325">
        <f t="shared" ref="I175:I182" si="47">D175-J175</f>
        <v>24799.210744115466</v>
      </c>
      <c r="J175" s="325">
        <f t="shared" ref="J175:J182" si="48">E175*D175</f>
        <v>223192.89669703916</v>
      </c>
      <c r="K175" s="293">
        <f t="shared" ref="K175:K181" si="49">F175*D175</f>
        <v>247992.10744115463</v>
      </c>
      <c r="L175" s="293">
        <f t="shared" ref="L175:L181" si="50">D175-K175</f>
        <v>0</v>
      </c>
      <c r="N175" s="66"/>
      <c r="O175" s="66"/>
    </row>
    <row r="176" spans="1:15" outlineLevel="2">
      <c r="A176" s="68"/>
      <c r="B176" s="562" t="str">
        <f>'Plant Configuration'!C215</f>
        <v>Outside Repair Services</v>
      </c>
      <c r="C176" s="54"/>
      <c r="D176" s="524">
        <f>IF($O$7=6,0,HLOOKUP($D$5,Plant_Configuration,'Plant Configuration'!A215,FALSE))+IF($R$7=6,0,HLOOKUP($E$5,Plant_Configuration,'Plant Configuration'!A215,FALSE))+IF($U$7=6,0,HLOOKUP($F$5,Plant_Configuration,'Plant Configuration'!A215,FALSE))</f>
        <v>99196.842976461863</v>
      </c>
      <c r="E176" s="297">
        <v>0.9</v>
      </c>
      <c r="F176" s="371">
        <v>1</v>
      </c>
      <c r="H176" s="68" t="s">
        <v>1109</v>
      </c>
      <c r="I176" s="325">
        <f t="shared" si="47"/>
        <v>9919.6842976461776</v>
      </c>
      <c r="J176" s="325">
        <f t="shared" si="48"/>
        <v>89277.158678815686</v>
      </c>
      <c r="K176" s="293">
        <f t="shared" si="49"/>
        <v>99196.842976461863</v>
      </c>
      <c r="L176" s="293">
        <f t="shared" si="50"/>
        <v>0</v>
      </c>
      <c r="N176" s="66"/>
      <c r="O176" s="66"/>
    </row>
    <row r="177" spans="1:15" outlineLevel="2">
      <c r="A177" s="68"/>
      <c r="B177" s="562" t="str">
        <f>'Plant Configuration'!C216</f>
        <v>Technical/Professional Services</v>
      </c>
      <c r="C177" s="54"/>
      <c r="D177" s="524">
        <f>IF($O$7=6,0,HLOOKUP($D$5,Plant_Configuration,'Plant Configuration'!A216,FALSE))+IF($R$7=6,0,HLOOKUP($E$5,Plant_Configuration,'Plant Configuration'!A216,FALSE))+IF($U$7=6,0,HLOOKUP($F$5,Plant_Configuration,'Plant Configuration'!A216,FALSE))</f>
        <v>49598.421488230932</v>
      </c>
      <c r="E177" s="297">
        <v>0.9</v>
      </c>
      <c r="F177" s="371">
        <v>1</v>
      </c>
      <c r="H177" s="359" t="s">
        <v>1083</v>
      </c>
      <c r="I177" s="325">
        <f t="shared" si="47"/>
        <v>4959.8421488230888</v>
      </c>
      <c r="J177" s="325">
        <f t="shared" si="48"/>
        <v>44638.579339407843</v>
      </c>
      <c r="K177" s="293">
        <f t="shared" si="49"/>
        <v>49598.421488230932</v>
      </c>
      <c r="L177" s="293">
        <f t="shared" si="50"/>
        <v>0</v>
      </c>
      <c r="N177" s="66"/>
      <c r="O177" s="66"/>
    </row>
    <row r="178" spans="1:15" outlineLevel="2">
      <c r="A178" s="68"/>
      <c r="B178" s="562" t="str">
        <f>'Plant Configuration'!C217</f>
        <v>Outside Contract Labor</v>
      </c>
      <c r="C178" s="54"/>
      <c r="D178" s="524">
        <f>IF($O$7=6,0,HLOOKUP($D$5,Plant_Configuration,'Plant Configuration'!A217,FALSE))+IF($R$7=6,0,HLOOKUP($E$5,Plant_Configuration,'Plant Configuration'!A217,FALSE))+IF($U$7=6,0,HLOOKUP($F$5,Plant_Configuration,'Plant Configuration'!A217,FALSE))</f>
        <v>74397.632232346383</v>
      </c>
      <c r="E178" s="297">
        <v>0.9</v>
      </c>
      <c r="F178" s="371">
        <v>1</v>
      </c>
      <c r="H178" s="68"/>
      <c r="I178" s="325">
        <f t="shared" si="47"/>
        <v>7439.7632232346368</v>
      </c>
      <c r="J178" s="325">
        <f t="shared" si="48"/>
        <v>66957.869009111746</v>
      </c>
      <c r="K178" s="293">
        <f t="shared" si="49"/>
        <v>74397.632232346383</v>
      </c>
      <c r="L178" s="293">
        <f t="shared" si="50"/>
        <v>0</v>
      </c>
      <c r="N178" s="66"/>
      <c r="O178" s="66"/>
    </row>
    <row r="179" spans="1:15" outlineLevel="2">
      <c r="A179" s="68"/>
      <c r="B179" s="562" t="str">
        <f>'Plant Configuration'!C218</f>
        <v xml:space="preserve">Equipment rental </v>
      </c>
      <c r="C179" s="54"/>
      <c r="D179" s="524">
        <f>IF($O$7=6,0,HLOOKUP($D$5,Plant_Configuration,'Plant Configuration'!A218,FALSE))+IF($R$7=6,0,HLOOKUP($E$5,Plant_Configuration,'Plant Configuration'!A218,FALSE))+IF($U$7=6,0,HLOOKUP($F$5,Plant_Configuration,'Plant Configuration'!A218,FALSE))</f>
        <v>24799.210744115466</v>
      </c>
      <c r="E179" s="297">
        <v>0.9</v>
      </c>
      <c r="F179" s="371">
        <v>1</v>
      </c>
      <c r="H179" s="68"/>
      <c r="I179" s="325">
        <f t="shared" si="47"/>
        <v>2479.9210744115444</v>
      </c>
      <c r="J179" s="325">
        <f t="shared" si="48"/>
        <v>22319.289669703921</v>
      </c>
      <c r="K179" s="293">
        <f t="shared" si="49"/>
        <v>24799.210744115466</v>
      </c>
      <c r="L179" s="293">
        <f t="shared" si="50"/>
        <v>0</v>
      </c>
      <c r="N179" s="66"/>
      <c r="O179" s="66"/>
    </row>
    <row r="180" spans="1:15" outlineLevel="2">
      <c r="A180" s="68"/>
      <c r="B180" s="562" t="str">
        <f>'Plant Configuration'!C219</f>
        <v>Miscellaneous</v>
      </c>
      <c r="C180" s="54"/>
      <c r="D180" s="524">
        <f>IF($O$7=6,0,HLOOKUP($D$5,Plant_Configuration,'Plant Configuration'!A219,FALSE))+IF($R$7=6,0,HLOOKUP($E$5,Plant_Configuration,'Plant Configuration'!A219,FALSE))+IF($U$7=6,0,HLOOKUP($F$5,Plant_Configuration,'Plant Configuration'!A219,FALSE))</f>
        <v>0</v>
      </c>
      <c r="E180" s="297">
        <v>0.9</v>
      </c>
      <c r="F180" s="371">
        <v>1</v>
      </c>
      <c r="H180" s="68"/>
      <c r="I180" s="325">
        <f t="shared" si="47"/>
        <v>0</v>
      </c>
      <c r="J180" s="325">
        <f t="shared" si="48"/>
        <v>0</v>
      </c>
      <c r="K180" s="293">
        <f t="shared" si="49"/>
        <v>0</v>
      </c>
      <c r="L180" s="293">
        <f t="shared" si="50"/>
        <v>0</v>
      </c>
      <c r="N180" s="66"/>
      <c r="O180" s="66"/>
    </row>
    <row r="181" spans="1:15" outlineLevel="2">
      <c r="A181" s="68"/>
      <c r="B181" s="562" t="str">
        <f>'Plant Configuration'!C220</f>
        <v>Freight</v>
      </c>
      <c r="C181" s="54"/>
      <c r="D181" s="524">
        <f>IF($O$7=6,0,HLOOKUP($D$5,Plant_Configuration,'Plant Configuration'!A220,FALSE))+IF($R$7=6,0,HLOOKUP($E$5,Plant_Configuration,'Plant Configuration'!A220,FALSE))+IF($U$7=6,0,HLOOKUP($F$5,Plant_Configuration,'Plant Configuration'!A220,FALSE))</f>
        <v>0</v>
      </c>
      <c r="E181" s="297">
        <v>0.9</v>
      </c>
      <c r="F181" s="371">
        <v>1</v>
      </c>
      <c r="H181" s="68" t="s">
        <v>557</v>
      </c>
      <c r="I181" s="325">
        <f t="shared" si="47"/>
        <v>0</v>
      </c>
      <c r="J181" s="325">
        <f t="shared" si="48"/>
        <v>0</v>
      </c>
      <c r="K181" s="293">
        <f t="shared" si="49"/>
        <v>0</v>
      </c>
      <c r="L181" s="293">
        <f t="shared" si="50"/>
        <v>0</v>
      </c>
      <c r="N181" s="66"/>
      <c r="O181" s="66"/>
    </row>
    <row r="182" spans="1:15" outlineLevel="2">
      <c r="A182" s="68"/>
      <c r="B182" s="562" t="str">
        <f>'Plant Configuration'!C221</f>
        <v>Other</v>
      </c>
      <c r="C182" s="54"/>
      <c r="D182" s="524">
        <f>IF($O$7=6,0,HLOOKUP($D$5,Plant_Configuration,'Plant Configuration'!A221,FALSE))+IF($R$7=6,0,HLOOKUP($E$5,Plant_Configuration,'Plant Configuration'!A221,FALSE))+IF($U$7=6,0,HLOOKUP($F$5,Plant_Configuration,'Plant Configuration'!A221,FALSE))</f>
        <v>0</v>
      </c>
      <c r="E182" s="297">
        <v>0.9</v>
      </c>
      <c r="F182" s="371">
        <v>1</v>
      </c>
      <c r="H182" s="68"/>
      <c r="I182" s="325">
        <f t="shared" si="47"/>
        <v>0</v>
      </c>
      <c r="J182" s="325">
        <f t="shared" si="48"/>
        <v>0</v>
      </c>
      <c r="K182" s="293"/>
      <c r="L182" s="293"/>
      <c r="N182" s="66"/>
      <c r="O182" s="66"/>
    </row>
    <row r="183" spans="1:15" s="352" customFormat="1" outlineLevel="1">
      <c r="A183" s="358"/>
      <c r="B183" s="565" t="s">
        <v>1401</v>
      </c>
      <c r="C183"/>
      <c r="D183" s="353">
        <f>SUBTOTAL(9,D175:D182)</f>
        <v>495984.21488230932</v>
      </c>
      <c r="E183" s="354"/>
      <c r="F183" s="372"/>
      <c r="G183" s="111"/>
      <c r="H183" s="68" t="s">
        <v>1085</v>
      </c>
      <c r="I183" s="353">
        <f>SUBTOTAL(9,I175:I182)</f>
        <v>49598.421488230917</v>
      </c>
      <c r="J183" s="353">
        <f>SUBTOTAL(9,J175:J182)</f>
        <v>446385.79339407838</v>
      </c>
      <c r="K183" s="353">
        <f>SUBTOTAL(9,K175:K182)</f>
        <v>495984.21488230932</v>
      </c>
      <c r="L183" s="353">
        <f>SUBTOTAL(9,L175:L182)</f>
        <v>0</v>
      </c>
    </row>
    <row r="184" spans="1:15" s="352" customFormat="1" outlineLevel="1">
      <c r="A184" s="355" t="s">
        <v>1111</v>
      </c>
      <c r="B184" s="563"/>
      <c r="C184" s="356"/>
      <c r="D184" s="347"/>
      <c r="E184" s="348"/>
      <c r="F184" s="370"/>
      <c r="G184" s="111"/>
      <c r="H184" s="357"/>
      <c r="I184" s="327">
        <f>IF(D193=0,0,I193/D193)</f>
        <v>0.6</v>
      </c>
      <c r="J184" s="327">
        <f>1-I184</f>
        <v>0.4</v>
      </c>
      <c r="K184" s="350">
        <f>IF(D193=0,0,K193/D193)</f>
        <v>1</v>
      </c>
      <c r="L184" s="350">
        <f>1-K184</f>
        <v>0</v>
      </c>
    </row>
    <row r="185" spans="1:15" outlineLevel="2">
      <c r="A185" s="68"/>
      <c r="B185" s="562" t="str">
        <f>'Plant Configuration'!C224</f>
        <v>Repair Parts</v>
      </c>
      <c r="C185" s="54"/>
      <c r="D185" s="524">
        <f>IF($O$7=6,0,HLOOKUP($D$5,Plant_Configuration,'Plant Configuration'!A224,FALSE))+IF($R$7=6,0,HLOOKUP($E$5,Plant_Configuration,'Plant Configuration'!A224,FALSE))+IF($U$7=6,0,HLOOKUP($F$5,Plant_Configuration,'Plant Configuration'!A224,FALSE))</f>
        <v>150854.40470698394</v>
      </c>
      <c r="E185" s="297">
        <v>0.4</v>
      </c>
      <c r="F185" s="371">
        <v>1</v>
      </c>
      <c r="H185" s="68" t="s">
        <v>1112</v>
      </c>
      <c r="I185" s="325">
        <f t="shared" ref="I185:I192" si="51">D185-J185</f>
        <v>90512.642824190363</v>
      </c>
      <c r="J185" s="325">
        <f t="shared" ref="J185:J192" si="52">E185*D185</f>
        <v>60341.76188279358</v>
      </c>
      <c r="K185" s="293">
        <f t="shared" ref="K185:K191" si="53">F185*D185</f>
        <v>150854.40470698394</v>
      </c>
      <c r="L185" s="293">
        <f t="shared" ref="L185:L191" si="54">D185-K185</f>
        <v>0</v>
      </c>
      <c r="N185" s="66"/>
      <c r="O185" s="66"/>
    </row>
    <row r="186" spans="1:15" outlineLevel="2">
      <c r="A186" s="68"/>
      <c r="B186" s="562" t="str">
        <f>'Plant Configuration'!C225</f>
        <v>Outside Repair Services</v>
      </c>
      <c r="C186" s="54"/>
      <c r="D186" s="524">
        <f>IF($O$7=6,0,HLOOKUP($D$5,Plant_Configuration,'Plant Configuration'!A225,FALSE))+IF($R$7=6,0,HLOOKUP($E$5,Plant_Configuration,'Plant Configuration'!A225,FALSE))+IF($U$7=6,0,HLOOKUP($F$5,Plant_Configuration,'Plant Configuration'!A225,FALSE))</f>
        <v>60341.76188279358</v>
      </c>
      <c r="E186" s="297">
        <v>0.4</v>
      </c>
      <c r="F186" s="371">
        <v>1</v>
      </c>
      <c r="H186" s="68" t="s">
        <v>1113</v>
      </c>
      <c r="I186" s="325">
        <f t="shared" si="51"/>
        <v>36205.057129676148</v>
      </c>
      <c r="J186" s="325">
        <f t="shared" si="52"/>
        <v>24136.704753117432</v>
      </c>
      <c r="K186" s="293">
        <f t="shared" si="53"/>
        <v>60341.76188279358</v>
      </c>
      <c r="L186" s="293">
        <f t="shared" si="54"/>
        <v>0</v>
      </c>
      <c r="N186" s="66"/>
      <c r="O186" s="66"/>
    </row>
    <row r="187" spans="1:15" outlineLevel="2">
      <c r="A187" s="68"/>
      <c r="B187" s="562" t="str">
        <f>'Plant Configuration'!C226</f>
        <v>Technical/Professional Services</v>
      </c>
      <c r="C187" s="54"/>
      <c r="D187" s="524">
        <f>IF($O$7=6,0,HLOOKUP($D$5,Plant_Configuration,'Plant Configuration'!A226,FALSE))+IF($R$7=6,0,HLOOKUP($E$5,Plant_Configuration,'Plant Configuration'!A226,FALSE))+IF($U$7=6,0,HLOOKUP($F$5,Plant_Configuration,'Plant Configuration'!A226,FALSE))</f>
        <v>30170.88094139679</v>
      </c>
      <c r="E187" s="297">
        <v>0.4</v>
      </c>
      <c r="F187" s="371">
        <v>1</v>
      </c>
      <c r="H187" s="68" t="s">
        <v>22</v>
      </c>
      <c r="I187" s="325">
        <f t="shared" si="51"/>
        <v>18102.528564838074</v>
      </c>
      <c r="J187" s="325">
        <f t="shared" si="52"/>
        <v>12068.352376558716</v>
      </c>
      <c r="K187" s="293">
        <f t="shared" si="53"/>
        <v>30170.88094139679</v>
      </c>
      <c r="L187" s="293">
        <f t="shared" si="54"/>
        <v>0</v>
      </c>
      <c r="N187" s="66"/>
      <c r="O187" s="66"/>
    </row>
    <row r="188" spans="1:15" outlineLevel="2">
      <c r="A188" s="68"/>
      <c r="B188" s="562" t="str">
        <f>'Plant Configuration'!C227</f>
        <v>Outside Contract Labor</v>
      </c>
      <c r="C188" s="54"/>
      <c r="D188" s="524">
        <f>IF($O$7=6,0,HLOOKUP($D$5,Plant_Configuration,'Plant Configuration'!A227,FALSE))+IF($R$7=6,0,HLOOKUP($E$5,Plant_Configuration,'Plant Configuration'!A227,FALSE))+IF($U$7=6,0,HLOOKUP($F$5,Plant_Configuration,'Plant Configuration'!A227,FALSE))</f>
        <v>45256.321412095182</v>
      </c>
      <c r="E188" s="297">
        <v>0.4</v>
      </c>
      <c r="F188" s="371">
        <v>1</v>
      </c>
      <c r="H188" s="359" t="s">
        <v>1083</v>
      </c>
      <c r="I188" s="325">
        <f t="shared" si="51"/>
        <v>27153.792847257107</v>
      </c>
      <c r="J188" s="325">
        <f t="shared" si="52"/>
        <v>18102.528564838074</v>
      </c>
      <c r="K188" s="293">
        <f t="shared" si="53"/>
        <v>45256.321412095182</v>
      </c>
      <c r="L188" s="293">
        <f t="shared" si="54"/>
        <v>0</v>
      </c>
      <c r="N188" s="66"/>
      <c r="O188" s="66"/>
    </row>
    <row r="189" spans="1:15" outlineLevel="2">
      <c r="A189" s="68"/>
      <c r="B189" s="562" t="str">
        <f>'Plant Configuration'!C228</f>
        <v>Equipment rental</v>
      </c>
      <c r="C189" s="54"/>
      <c r="D189" s="524">
        <f>IF($O$7=6,0,HLOOKUP($D$5,Plant_Configuration,'Plant Configuration'!A228,FALSE))+IF($R$7=6,0,HLOOKUP($E$5,Plant_Configuration,'Plant Configuration'!A228,FALSE))+IF($U$7=6,0,HLOOKUP($F$5,Plant_Configuration,'Plant Configuration'!A228,FALSE))</f>
        <v>15085.440470698395</v>
      </c>
      <c r="E189" s="297">
        <v>0.4</v>
      </c>
      <c r="F189" s="371">
        <v>1</v>
      </c>
      <c r="H189" s="68" t="s">
        <v>23</v>
      </c>
      <c r="I189" s="325">
        <f t="shared" si="51"/>
        <v>9051.264282419037</v>
      </c>
      <c r="J189" s="325">
        <f t="shared" si="52"/>
        <v>6034.176188279358</v>
      </c>
      <c r="K189" s="293">
        <f t="shared" si="53"/>
        <v>15085.440470698395</v>
      </c>
      <c r="L189" s="293">
        <f t="shared" si="54"/>
        <v>0</v>
      </c>
      <c r="N189" s="66"/>
      <c r="O189" s="66"/>
    </row>
    <row r="190" spans="1:15" outlineLevel="2">
      <c r="A190" s="68"/>
      <c r="B190" s="562" t="str">
        <f>'Plant Configuration'!C229</f>
        <v>Miscellaneous</v>
      </c>
      <c r="C190" s="54"/>
      <c r="D190" s="524">
        <f>IF($O$7=6,0,HLOOKUP($D$5,Plant_Configuration,'Plant Configuration'!A229,FALSE))+IF($R$7=6,0,HLOOKUP($E$5,Plant_Configuration,'Plant Configuration'!A229,FALSE))+IF($U$7=6,0,HLOOKUP($F$5,Plant_Configuration,'Plant Configuration'!A229,FALSE))</f>
        <v>0</v>
      </c>
      <c r="E190" s="297">
        <v>0.4</v>
      </c>
      <c r="F190" s="371">
        <v>1</v>
      </c>
      <c r="H190" s="68"/>
      <c r="I190" s="325">
        <f t="shared" si="51"/>
        <v>0</v>
      </c>
      <c r="J190" s="325">
        <f t="shared" si="52"/>
        <v>0</v>
      </c>
      <c r="K190" s="293">
        <f t="shared" si="53"/>
        <v>0</v>
      </c>
      <c r="L190" s="293">
        <f t="shared" si="54"/>
        <v>0</v>
      </c>
      <c r="N190" s="66"/>
      <c r="O190" s="66"/>
    </row>
    <row r="191" spans="1:15" outlineLevel="2">
      <c r="A191" s="68"/>
      <c r="B191" s="562" t="str">
        <f>'Plant Configuration'!C230</f>
        <v>Freight</v>
      </c>
      <c r="C191" s="54"/>
      <c r="D191" s="524">
        <f>IF($O$7=6,0,HLOOKUP($D$5,Plant_Configuration,'Plant Configuration'!A230,FALSE))+IF($R$7=6,0,HLOOKUP($E$5,Plant_Configuration,'Plant Configuration'!A230,FALSE))+IF($U$7=6,0,HLOOKUP($F$5,Plant_Configuration,'Plant Configuration'!A230,FALSE))</f>
        <v>0</v>
      </c>
      <c r="E191" s="297">
        <v>0.4</v>
      </c>
      <c r="F191" s="371">
        <v>1</v>
      </c>
      <c r="H191" s="68" t="s">
        <v>557</v>
      </c>
      <c r="I191" s="325">
        <f t="shared" si="51"/>
        <v>0</v>
      </c>
      <c r="J191" s="325">
        <f t="shared" si="52"/>
        <v>0</v>
      </c>
      <c r="K191" s="293">
        <f t="shared" si="53"/>
        <v>0</v>
      </c>
      <c r="L191" s="293">
        <f t="shared" si="54"/>
        <v>0</v>
      </c>
      <c r="N191" s="66"/>
      <c r="O191" s="66"/>
    </row>
    <row r="192" spans="1:15" outlineLevel="2">
      <c r="A192" s="68"/>
      <c r="B192" s="562" t="str">
        <f>'Plant Configuration'!C231</f>
        <v>Other</v>
      </c>
      <c r="C192" s="54"/>
      <c r="D192" s="524">
        <f>IF($O$7=6,0,HLOOKUP($D$5,Plant_Configuration,'Plant Configuration'!A231,FALSE))+IF($R$7=6,0,HLOOKUP($E$5,Plant_Configuration,'Plant Configuration'!A231,FALSE))+IF($U$7=6,0,HLOOKUP($F$5,Plant_Configuration,'Plant Configuration'!A231,FALSE))</f>
        <v>0</v>
      </c>
      <c r="E192" s="297">
        <v>0.4</v>
      </c>
      <c r="F192" s="371">
        <v>1</v>
      </c>
      <c r="H192" s="68" t="s">
        <v>24</v>
      </c>
      <c r="I192" s="325">
        <f t="shared" si="51"/>
        <v>0</v>
      </c>
      <c r="J192" s="325">
        <f t="shared" si="52"/>
        <v>0</v>
      </c>
      <c r="K192" s="293"/>
      <c r="L192" s="293"/>
      <c r="N192" s="66"/>
      <c r="O192" s="66"/>
    </row>
    <row r="193" spans="1:15" s="352" customFormat="1" outlineLevel="1">
      <c r="A193" s="358"/>
      <c r="B193" s="565" t="s">
        <v>1401</v>
      </c>
      <c r="C193"/>
      <c r="D193" s="353">
        <f>SUBTOTAL(9,D185:D192)</f>
        <v>301708.80941396789</v>
      </c>
      <c r="E193" s="354"/>
      <c r="F193" s="372"/>
      <c r="G193" s="111"/>
      <c r="H193" s="68" t="s">
        <v>1085</v>
      </c>
      <c r="I193" s="353">
        <f>SUBTOTAL(9,I185:I192)</f>
        <v>181025.28564838073</v>
      </c>
      <c r="J193" s="353">
        <f>SUBTOTAL(9,J185:J192)</f>
        <v>120683.52376558716</v>
      </c>
      <c r="K193" s="353">
        <f>SUBTOTAL(9,K185:K192)</f>
        <v>301708.80941396789</v>
      </c>
      <c r="L193" s="353">
        <f>SUBTOTAL(9,L185:L192)</f>
        <v>0</v>
      </c>
    </row>
    <row r="194" spans="1:15" s="352" customFormat="1" outlineLevel="1">
      <c r="A194" s="355" t="s">
        <v>25</v>
      </c>
      <c r="B194" s="563"/>
      <c r="C194" s="356"/>
      <c r="D194" s="347"/>
      <c r="E194" s="348"/>
      <c r="F194" s="370"/>
      <c r="G194" s="111"/>
      <c r="H194" s="357"/>
      <c r="I194" s="327">
        <f>IF(D204=0,0,I204/D204)</f>
        <v>0.60000000000000009</v>
      </c>
      <c r="J194" s="327">
        <f>1-I194</f>
        <v>0.39999999999999991</v>
      </c>
      <c r="K194" s="350">
        <f>IF(D204=0,0,K204/D204)</f>
        <v>1</v>
      </c>
      <c r="L194" s="350">
        <f>1-K194</f>
        <v>0</v>
      </c>
    </row>
    <row r="195" spans="1:15" outlineLevel="2">
      <c r="A195" s="68"/>
      <c r="B195" s="562" t="str">
        <f>'Plant Configuration'!C234</f>
        <v>Non-scheduled maint. parts/repairs</v>
      </c>
      <c r="C195" s="54"/>
      <c r="D195" s="524">
        <f>IF($O$7=6,0,HLOOKUP($D$5,Plant_Configuration,'Plant Configuration'!A234,FALSE))+IF($R$7=6,0,HLOOKUP($E$5,Plant_Configuration,'Plant Configuration'!A234,FALSE))+IF($U$7=6,0,HLOOKUP($F$5,Plant_Configuration,'Plant Configuration'!A234,FALSE))</f>
        <v>363348.83113715501</v>
      </c>
      <c r="E195" s="297">
        <v>0.4</v>
      </c>
      <c r="F195" s="371">
        <v>1</v>
      </c>
      <c r="H195" s="68" t="s">
        <v>1092</v>
      </c>
      <c r="I195" s="325">
        <f t="shared" ref="I195:I203" si="55">D195-J195</f>
        <v>218009.29868229301</v>
      </c>
      <c r="J195" s="325">
        <f t="shared" ref="J195:J203" si="56">E195*D195</f>
        <v>145339.532454862</v>
      </c>
      <c r="K195" s="293">
        <f t="shared" ref="K195:K202" si="57">F195*D195</f>
        <v>363348.83113715501</v>
      </c>
      <c r="L195" s="293">
        <f t="shared" ref="L195:L202" si="58">D195-K195</f>
        <v>0</v>
      </c>
      <c r="N195" s="66"/>
      <c r="O195" s="66"/>
    </row>
    <row r="196" spans="1:15" outlineLevel="2">
      <c r="A196" s="68"/>
      <c r="B196" s="562" t="str">
        <f>'Plant Configuration'!C235</f>
        <v>Outside Repair Services</v>
      </c>
      <c r="C196" s="54"/>
      <c r="D196" s="524">
        <f>IF($O$7=6,0,HLOOKUP($D$5,Plant_Configuration,'Plant Configuration'!A235,FALSE))+IF($R$7=6,0,HLOOKUP($E$5,Plant_Configuration,'Plant Configuration'!A235,FALSE))+IF($U$7=6,0,HLOOKUP($F$5,Plant_Configuration,'Plant Configuration'!A235,FALSE))</f>
        <v>145339.532454862</v>
      </c>
      <c r="E196" s="297">
        <v>0.4</v>
      </c>
      <c r="F196" s="371">
        <v>1</v>
      </c>
      <c r="H196" s="68" t="s">
        <v>27</v>
      </c>
      <c r="I196" s="325">
        <f t="shared" si="55"/>
        <v>87203.719472917204</v>
      </c>
      <c r="J196" s="325">
        <f t="shared" si="56"/>
        <v>58135.8129819448</v>
      </c>
      <c r="K196" s="293">
        <f t="shared" si="57"/>
        <v>145339.532454862</v>
      </c>
      <c r="L196" s="293">
        <f t="shared" si="58"/>
        <v>0</v>
      </c>
      <c r="N196" s="66"/>
      <c r="O196" s="66"/>
    </row>
    <row r="197" spans="1:15" outlineLevel="2">
      <c r="A197" s="68"/>
      <c r="B197" s="562" t="str">
        <f>'Plant Configuration'!C236</f>
        <v>Technical/Professional Services</v>
      </c>
      <c r="C197" s="54"/>
      <c r="D197" s="524">
        <f>IF($O$7=6,0,HLOOKUP($D$5,Plant_Configuration,'Plant Configuration'!A236,FALSE))+IF($R$7=6,0,HLOOKUP($E$5,Plant_Configuration,'Plant Configuration'!A236,FALSE))+IF($U$7=6,0,HLOOKUP($F$5,Plant_Configuration,'Plant Configuration'!A236,FALSE))</f>
        <v>72669.766227430999</v>
      </c>
      <c r="E197" s="297">
        <v>0.4</v>
      </c>
      <c r="F197" s="371">
        <v>1</v>
      </c>
      <c r="H197" s="359" t="s">
        <v>1083</v>
      </c>
      <c r="I197" s="325">
        <f t="shared" si="55"/>
        <v>43601.859736458602</v>
      </c>
      <c r="J197" s="325">
        <f t="shared" si="56"/>
        <v>29067.9064909724</v>
      </c>
      <c r="K197" s="293">
        <f t="shared" si="57"/>
        <v>72669.766227430999</v>
      </c>
      <c r="L197" s="293">
        <f t="shared" si="58"/>
        <v>0</v>
      </c>
      <c r="N197" s="66"/>
      <c r="O197" s="66"/>
    </row>
    <row r="198" spans="1:15" outlineLevel="2">
      <c r="A198" s="68"/>
      <c r="B198" s="562" t="str">
        <f>'Plant Configuration'!C237</f>
        <v>Scheduled Maint.</v>
      </c>
      <c r="C198" s="54"/>
      <c r="D198" s="524">
        <f>IF($O$7=6,0,HLOOKUP($D$5,Plant_Configuration,'Plant Configuration'!A237,FALSE))+IF($R$7=6,0,HLOOKUP($E$5,Plant_Configuration,'Plant Configuration'!A237,FALSE))+IF($U$7=6,0,HLOOKUP($F$5,Plant_Configuration,'Plant Configuration'!A237,FALSE))</f>
        <v>109004.64934114651</v>
      </c>
      <c r="E198" s="297">
        <v>0.4</v>
      </c>
      <c r="F198" s="371">
        <v>1</v>
      </c>
      <c r="H198" s="68"/>
      <c r="I198" s="325">
        <f t="shared" si="55"/>
        <v>65402.789604687903</v>
      </c>
      <c r="J198" s="325">
        <f t="shared" si="56"/>
        <v>43601.859736458602</v>
      </c>
      <c r="K198" s="293">
        <f t="shared" si="57"/>
        <v>109004.64934114651</v>
      </c>
      <c r="L198" s="293">
        <f t="shared" si="58"/>
        <v>0</v>
      </c>
      <c r="N198" s="66"/>
      <c r="O198" s="66"/>
    </row>
    <row r="199" spans="1:15" outlineLevel="2">
      <c r="A199" s="68"/>
      <c r="B199" s="562" t="str">
        <f>'Plant Configuration'!C238</f>
        <v>Equipment rental</v>
      </c>
      <c r="C199" s="54"/>
      <c r="D199" s="524">
        <f>IF($O$7=6,0,HLOOKUP($D$5,Plant_Configuration,'Plant Configuration'!A238,FALSE))+IF($R$7=6,0,HLOOKUP($E$5,Plant_Configuration,'Plant Configuration'!A238,FALSE))+IF($U$7=6,0,HLOOKUP($F$5,Plant_Configuration,'Plant Configuration'!A238,FALSE))</f>
        <v>36334.883113715499</v>
      </c>
      <c r="E199" s="297">
        <v>0.4</v>
      </c>
      <c r="F199" s="371">
        <v>1</v>
      </c>
      <c r="H199" s="68" t="s">
        <v>737</v>
      </c>
      <c r="I199" s="325">
        <f t="shared" si="55"/>
        <v>21800.929868229301</v>
      </c>
      <c r="J199" s="325">
        <f t="shared" si="56"/>
        <v>14533.9532454862</v>
      </c>
      <c r="K199" s="293">
        <f t="shared" si="57"/>
        <v>36334.883113715499</v>
      </c>
      <c r="L199" s="293">
        <f t="shared" si="58"/>
        <v>0</v>
      </c>
      <c r="N199" s="66"/>
      <c r="O199" s="66"/>
    </row>
    <row r="200" spans="1:15" outlineLevel="2">
      <c r="A200" s="68"/>
      <c r="B200" s="562" t="str">
        <f>'Plant Configuration'!C239</f>
        <v>Miscellaneous</v>
      </c>
      <c r="C200" s="54"/>
      <c r="D200" s="524">
        <f>IF($O$7=6,0,HLOOKUP($D$5,Plant_Configuration,'Plant Configuration'!A239,FALSE))+IF($R$7=6,0,HLOOKUP($E$5,Plant_Configuration,'Plant Configuration'!A239,FALSE))+IF($U$7=6,0,HLOOKUP($F$5,Plant_Configuration,'Plant Configuration'!A239,FALSE))</f>
        <v>0</v>
      </c>
      <c r="E200" s="297">
        <v>0.4</v>
      </c>
      <c r="F200" s="371">
        <v>1</v>
      </c>
      <c r="H200" s="68" t="s">
        <v>738</v>
      </c>
      <c r="I200" s="325">
        <f t="shared" si="55"/>
        <v>0</v>
      </c>
      <c r="J200" s="325">
        <f t="shared" si="56"/>
        <v>0</v>
      </c>
      <c r="K200" s="293">
        <f t="shared" si="57"/>
        <v>0</v>
      </c>
      <c r="L200" s="293">
        <f t="shared" si="58"/>
        <v>0</v>
      </c>
      <c r="N200" s="66"/>
      <c r="O200" s="66"/>
    </row>
    <row r="201" spans="1:15" outlineLevel="2">
      <c r="A201" s="68"/>
      <c r="B201" s="562" t="str">
        <f>'Plant Configuration'!C240</f>
        <v>Auxiliary Parts</v>
      </c>
      <c r="C201" s="54"/>
      <c r="D201" s="524">
        <f>IF($O$7=6,0,HLOOKUP($D$5,Plant_Configuration,'Plant Configuration'!A240,FALSE))+IF($R$7=6,0,HLOOKUP($E$5,Plant_Configuration,'Plant Configuration'!A240,FALSE))+IF($U$7=6,0,HLOOKUP($F$5,Plant_Configuration,'Plant Configuration'!A240,FALSE))</f>
        <v>0</v>
      </c>
      <c r="E201" s="297">
        <v>0.4</v>
      </c>
      <c r="F201" s="371">
        <v>1</v>
      </c>
      <c r="H201" s="68"/>
      <c r="I201" s="325">
        <f t="shared" si="55"/>
        <v>0</v>
      </c>
      <c r="J201" s="325">
        <f t="shared" si="56"/>
        <v>0</v>
      </c>
      <c r="K201" s="293">
        <f t="shared" si="57"/>
        <v>0</v>
      </c>
      <c r="L201" s="293">
        <f t="shared" si="58"/>
        <v>0</v>
      </c>
      <c r="N201" s="66"/>
      <c r="O201" s="66"/>
    </row>
    <row r="202" spans="1:15" outlineLevel="2">
      <c r="A202" s="68"/>
      <c r="B202" s="562" t="str">
        <f>'Plant Configuration'!C241</f>
        <v>Freight</v>
      </c>
      <c r="C202" s="54"/>
      <c r="D202" s="524">
        <f>IF($O$7=6,0,HLOOKUP($D$5,Plant_Configuration,'Plant Configuration'!A241,FALSE))+IF($R$7=6,0,HLOOKUP($E$5,Plant_Configuration,'Plant Configuration'!A241,FALSE))+IF($U$7=6,0,HLOOKUP($F$5,Plant_Configuration,'Plant Configuration'!A241,FALSE))</f>
        <v>0</v>
      </c>
      <c r="E202" s="297">
        <v>0.4</v>
      </c>
      <c r="F202" s="371">
        <v>1</v>
      </c>
      <c r="H202" s="68" t="s">
        <v>740</v>
      </c>
      <c r="I202" s="325">
        <f t="shared" si="55"/>
        <v>0</v>
      </c>
      <c r="J202" s="325">
        <f t="shared" si="56"/>
        <v>0</v>
      </c>
      <c r="K202" s="293">
        <f t="shared" si="57"/>
        <v>0</v>
      </c>
      <c r="L202" s="293">
        <f t="shared" si="58"/>
        <v>0</v>
      </c>
      <c r="N202" s="66"/>
      <c r="O202" s="66"/>
    </row>
    <row r="203" spans="1:15" outlineLevel="2">
      <c r="A203" s="68"/>
      <c r="B203" s="562" t="str">
        <f>'Plant Configuration'!C242</f>
        <v>Other</v>
      </c>
      <c r="C203" s="54"/>
      <c r="D203" s="524">
        <f>IF($O$7=6,0,HLOOKUP($D$5,Plant_Configuration,'Plant Configuration'!A242,FALSE))+IF($R$7=6,0,HLOOKUP($E$5,Plant_Configuration,'Plant Configuration'!A242,FALSE))+IF($U$7=6,0,HLOOKUP($F$5,Plant_Configuration,'Plant Configuration'!A242,FALSE))</f>
        <v>0</v>
      </c>
      <c r="E203" s="297">
        <v>0.4</v>
      </c>
      <c r="F203" s="371">
        <v>1</v>
      </c>
      <c r="H203" s="68"/>
      <c r="I203" s="325">
        <f t="shared" si="55"/>
        <v>0</v>
      </c>
      <c r="J203" s="325">
        <f t="shared" si="56"/>
        <v>0</v>
      </c>
      <c r="K203" s="293"/>
      <c r="L203" s="293"/>
      <c r="N203" s="66"/>
      <c r="O203" s="66"/>
    </row>
    <row r="204" spans="1:15" s="352" customFormat="1" outlineLevel="1">
      <c r="A204" s="358"/>
      <c r="B204" s="565" t="s">
        <v>1401</v>
      </c>
      <c r="C204"/>
      <c r="D204" s="353">
        <f>SUBTOTAL(9,D195:D203)</f>
        <v>726697.6622743099</v>
      </c>
      <c r="E204" s="354"/>
      <c r="F204" s="372"/>
      <c r="G204" s="111"/>
      <c r="H204" s="68" t="s">
        <v>741</v>
      </c>
      <c r="I204" s="353">
        <f>SUBTOTAL(9,I195:I203)</f>
        <v>436018.59736458602</v>
      </c>
      <c r="J204" s="353">
        <f>SUBTOTAL(9,J195:J203)</f>
        <v>290679.06490972399</v>
      </c>
      <c r="K204" s="353">
        <f>SUBTOTAL(9,K195:K203)</f>
        <v>726697.6622743099</v>
      </c>
      <c r="L204" s="353">
        <f>SUBTOTAL(9,L195:L203)</f>
        <v>0</v>
      </c>
    </row>
    <row r="205" spans="1:15" s="352" customFormat="1" outlineLevel="1">
      <c r="A205" s="355" t="s">
        <v>742</v>
      </c>
      <c r="B205" s="563"/>
      <c r="C205" s="356"/>
      <c r="D205" s="347"/>
      <c r="E205" s="348"/>
      <c r="F205" s="370"/>
      <c r="G205" s="111"/>
      <c r="H205" s="357"/>
      <c r="I205" s="327">
        <f>IF(D214=0,0,I214/D214)</f>
        <v>0</v>
      </c>
      <c r="J205" s="327">
        <f>1-I205</f>
        <v>1</v>
      </c>
      <c r="K205" s="350">
        <f>IF(D214=0,0,K214/D214)</f>
        <v>0</v>
      </c>
      <c r="L205" s="350">
        <f>1-K205</f>
        <v>1</v>
      </c>
    </row>
    <row r="206" spans="1:15" outlineLevel="2">
      <c r="A206" s="68"/>
      <c r="B206" s="562" t="str">
        <f>'Plant Configuration'!C245</f>
        <v>Repair Parts</v>
      </c>
      <c r="C206" s="54"/>
      <c r="D206" s="524">
        <f>IF($O$7=6,0,HLOOKUP($D$5,Plant_Configuration,'Plant Configuration'!A245,FALSE))+IF($R$7=6,0,HLOOKUP($E$5,Plant_Configuration,'Plant Configuration'!A245,FALSE))+IF($U$7=6,0,HLOOKUP($F$5,Plant_Configuration,'Plant Configuration'!A245,FALSE))</f>
        <v>0</v>
      </c>
      <c r="E206" s="297">
        <v>0.75</v>
      </c>
      <c r="F206" s="371">
        <v>1</v>
      </c>
      <c r="H206" s="68" t="s">
        <v>743</v>
      </c>
      <c r="I206" s="325">
        <f t="shared" ref="I206:I213" si="59">D206-J206</f>
        <v>0</v>
      </c>
      <c r="J206" s="325">
        <f t="shared" ref="J206:J213" si="60">E206*D206</f>
        <v>0</v>
      </c>
      <c r="K206" s="293">
        <f t="shared" ref="K206:K212" si="61">F206*D206</f>
        <v>0</v>
      </c>
      <c r="L206" s="293">
        <f t="shared" ref="L206:L212" si="62">D206-K206</f>
        <v>0</v>
      </c>
      <c r="N206" s="66"/>
      <c r="O206" s="66"/>
    </row>
    <row r="207" spans="1:15" outlineLevel="2">
      <c r="A207" s="68"/>
      <c r="B207" s="562" t="str">
        <f>'Plant Configuration'!C246</f>
        <v>Outside Repair Services</v>
      </c>
      <c r="C207" s="54"/>
      <c r="D207" s="524">
        <f>IF($O$7=6,0,HLOOKUP($D$5,Plant_Configuration,'Plant Configuration'!A246,FALSE))+IF($R$7=6,0,HLOOKUP($E$5,Plant_Configuration,'Plant Configuration'!A246,FALSE))+IF($U$7=6,0,HLOOKUP($F$5,Plant_Configuration,'Plant Configuration'!A246,FALSE))</f>
        <v>0</v>
      </c>
      <c r="E207" s="297">
        <v>0.75</v>
      </c>
      <c r="F207" s="371">
        <v>1</v>
      </c>
      <c r="H207" s="68" t="s">
        <v>744</v>
      </c>
      <c r="I207" s="325">
        <f t="shared" si="59"/>
        <v>0</v>
      </c>
      <c r="J207" s="325">
        <f t="shared" si="60"/>
        <v>0</v>
      </c>
      <c r="K207" s="293">
        <f t="shared" si="61"/>
        <v>0</v>
      </c>
      <c r="L207" s="293">
        <f t="shared" si="62"/>
        <v>0</v>
      </c>
      <c r="N207" s="66"/>
      <c r="O207" s="66"/>
    </row>
    <row r="208" spans="1:15" outlineLevel="2">
      <c r="A208" s="68"/>
      <c r="B208" s="562" t="str">
        <f>'Plant Configuration'!C247</f>
        <v>Technical/Professional Services</v>
      </c>
      <c r="C208" s="54"/>
      <c r="D208" s="524">
        <f>IF($O$7=6,0,HLOOKUP($D$5,Plant_Configuration,'Plant Configuration'!A247,FALSE))+IF($R$7=6,0,HLOOKUP($E$5,Plant_Configuration,'Plant Configuration'!A247,FALSE))+IF($U$7=6,0,HLOOKUP($F$5,Plant_Configuration,'Plant Configuration'!A247,FALSE))</f>
        <v>0</v>
      </c>
      <c r="E208" s="297">
        <v>0.75</v>
      </c>
      <c r="F208" s="371">
        <v>1</v>
      </c>
      <c r="H208" s="68" t="s">
        <v>745</v>
      </c>
      <c r="I208" s="325">
        <f t="shared" si="59"/>
        <v>0</v>
      </c>
      <c r="J208" s="325">
        <f t="shared" si="60"/>
        <v>0</v>
      </c>
      <c r="K208" s="293">
        <f t="shared" si="61"/>
        <v>0</v>
      </c>
      <c r="L208" s="293">
        <f t="shared" si="62"/>
        <v>0</v>
      </c>
      <c r="N208" s="66"/>
      <c r="O208" s="66"/>
    </row>
    <row r="209" spans="1:15" outlineLevel="2">
      <c r="A209" s="68"/>
      <c r="B209" s="562" t="str">
        <f>'Plant Configuration'!C248</f>
        <v>Outside Contract Labor</v>
      </c>
      <c r="C209" s="54"/>
      <c r="D209" s="524">
        <f>IF($O$7=6,0,HLOOKUP($D$5,Plant_Configuration,'Plant Configuration'!A248,FALSE))+IF($R$7=6,0,HLOOKUP($E$5,Plant_Configuration,'Plant Configuration'!A248,FALSE))+IF($U$7=6,0,HLOOKUP($F$5,Plant_Configuration,'Plant Configuration'!A248,FALSE))</f>
        <v>0</v>
      </c>
      <c r="E209" s="297">
        <v>0.75</v>
      </c>
      <c r="F209" s="371">
        <v>1</v>
      </c>
      <c r="H209" s="68"/>
      <c r="I209" s="325">
        <f t="shared" si="59"/>
        <v>0</v>
      </c>
      <c r="J209" s="325">
        <f t="shared" si="60"/>
        <v>0</v>
      </c>
      <c r="K209" s="293">
        <f t="shared" si="61"/>
        <v>0</v>
      </c>
      <c r="L209" s="293">
        <f t="shared" si="62"/>
        <v>0</v>
      </c>
      <c r="N209" s="66"/>
      <c r="O209" s="66"/>
    </row>
    <row r="210" spans="1:15" outlineLevel="2">
      <c r="A210" s="68"/>
      <c r="B210" s="562" t="str">
        <f>'Plant Configuration'!C249</f>
        <v>Equipment rental</v>
      </c>
      <c r="C210" s="54"/>
      <c r="D210" s="524">
        <f>IF($O$7=6,0,HLOOKUP($D$5,Plant_Configuration,'Plant Configuration'!A249,FALSE))+IF($R$7=6,0,HLOOKUP($E$5,Plant_Configuration,'Plant Configuration'!A249,FALSE))+IF($U$7=6,0,HLOOKUP($F$5,Plant_Configuration,'Plant Configuration'!A249,FALSE))</f>
        <v>0</v>
      </c>
      <c r="E210" s="297">
        <v>0.75</v>
      </c>
      <c r="F210" s="371">
        <v>1</v>
      </c>
      <c r="H210" s="172" t="s">
        <v>746</v>
      </c>
      <c r="I210" s="325">
        <f t="shared" si="59"/>
        <v>0</v>
      </c>
      <c r="J210" s="325">
        <f t="shared" si="60"/>
        <v>0</v>
      </c>
      <c r="K210" s="293">
        <f t="shared" si="61"/>
        <v>0</v>
      </c>
      <c r="L210" s="293">
        <f t="shared" si="62"/>
        <v>0</v>
      </c>
      <c r="N210" s="66"/>
      <c r="O210" s="66"/>
    </row>
    <row r="211" spans="1:15" outlineLevel="2">
      <c r="A211" s="68"/>
      <c r="B211" s="562" t="str">
        <f>'Plant Configuration'!C250</f>
        <v>Miscellaneous</v>
      </c>
      <c r="C211" s="54"/>
      <c r="D211" s="524">
        <f>IF($O$7=6,0,HLOOKUP($D$5,Plant_Configuration,'Plant Configuration'!A250,FALSE))+IF($R$7=6,0,HLOOKUP($E$5,Plant_Configuration,'Plant Configuration'!A250,FALSE))+IF($U$7=6,0,HLOOKUP($F$5,Plant_Configuration,'Plant Configuration'!A250,FALSE))</f>
        <v>0</v>
      </c>
      <c r="E211" s="297">
        <v>0.75</v>
      </c>
      <c r="F211" s="371">
        <v>1</v>
      </c>
      <c r="H211" s="68"/>
      <c r="I211" s="325">
        <f t="shared" si="59"/>
        <v>0</v>
      </c>
      <c r="J211" s="325">
        <f t="shared" si="60"/>
        <v>0</v>
      </c>
      <c r="K211" s="293">
        <f t="shared" si="61"/>
        <v>0</v>
      </c>
      <c r="L211" s="293">
        <f t="shared" si="62"/>
        <v>0</v>
      </c>
      <c r="N211" s="66"/>
      <c r="O211" s="66"/>
    </row>
    <row r="212" spans="1:15" outlineLevel="2">
      <c r="A212" s="68"/>
      <c r="B212" s="562" t="str">
        <f>'Plant Configuration'!C251</f>
        <v>Freight</v>
      </c>
      <c r="C212" s="54"/>
      <c r="D212" s="524">
        <f>IF($O$7=6,0,HLOOKUP($D$5,Plant_Configuration,'Plant Configuration'!A251,FALSE))+IF($R$7=6,0,HLOOKUP($E$5,Plant_Configuration,'Plant Configuration'!A251,FALSE))+IF($U$7=6,0,HLOOKUP($F$5,Plant_Configuration,'Plant Configuration'!A251,FALSE))</f>
        <v>0</v>
      </c>
      <c r="E212" s="297">
        <v>0.75</v>
      </c>
      <c r="F212" s="371">
        <v>1</v>
      </c>
      <c r="H212" s="68"/>
      <c r="I212" s="325">
        <f t="shared" si="59"/>
        <v>0</v>
      </c>
      <c r="J212" s="325">
        <f t="shared" si="60"/>
        <v>0</v>
      </c>
      <c r="K212" s="293">
        <f t="shared" si="61"/>
        <v>0</v>
      </c>
      <c r="L212" s="293">
        <f t="shared" si="62"/>
        <v>0</v>
      </c>
      <c r="N212" s="66"/>
      <c r="O212" s="66"/>
    </row>
    <row r="213" spans="1:15" outlineLevel="2">
      <c r="A213" s="68"/>
      <c r="B213" s="562" t="str">
        <f>'Plant Configuration'!C252</f>
        <v>Other</v>
      </c>
      <c r="C213" s="54"/>
      <c r="D213" s="524">
        <f>IF($O$7=6,0,HLOOKUP($D$5,Plant_Configuration,'Plant Configuration'!A252,FALSE))+IF($R$7=6,0,HLOOKUP($E$5,Plant_Configuration,'Plant Configuration'!A252,FALSE))+IF($U$7=6,0,HLOOKUP($F$5,Plant_Configuration,'Plant Configuration'!A252,FALSE))</f>
        <v>0</v>
      </c>
      <c r="E213" s="297">
        <v>0.75</v>
      </c>
      <c r="F213" s="371"/>
      <c r="H213" s="68"/>
      <c r="I213" s="325">
        <f t="shared" si="59"/>
        <v>0</v>
      </c>
      <c r="J213" s="325">
        <f t="shared" si="60"/>
        <v>0</v>
      </c>
      <c r="K213" s="293"/>
      <c r="L213" s="293"/>
      <c r="N213" s="66"/>
      <c r="O213" s="66"/>
    </row>
    <row r="214" spans="1:15" s="352" customFormat="1" outlineLevel="1">
      <c r="A214" s="68"/>
      <c r="B214" s="565" t="s">
        <v>1401</v>
      </c>
      <c r="C214"/>
      <c r="D214" s="353">
        <f>SUBTOTAL(9,D206:D213)</f>
        <v>0</v>
      </c>
      <c r="E214" s="354"/>
      <c r="F214" s="372"/>
      <c r="G214" s="111"/>
      <c r="H214" s="68"/>
      <c r="I214" s="353">
        <f>SUBTOTAL(9,I206:I211)</f>
        <v>0</v>
      </c>
      <c r="J214" s="353">
        <f>SUBTOTAL(9,J206:J211)</f>
        <v>0</v>
      </c>
      <c r="K214" s="353">
        <f>SUBTOTAL(9,K206:K211)</f>
        <v>0</v>
      </c>
      <c r="L214" s="353">
        <f>SUBTOTAL(9,L206:L211)</f>
        <v>0</v>
      </c>
    </row>
    <row r="215" spans="1:15" s="352" customFormat="1" outlineLevel="1">
      <c r="A215" s="355" t="s">
        <v>747</v>
      </c>
      <c r="B215" s="563"/>
      <c r="C215" s="356"/>
      <c r="D215" s="347"/>
      <c r="E215" s="348"/>
      <c r="F215" s="370"/>
      <c r="G215" s="111"/>
      <c r="H215" s="357"/>
      <c r="I215" s="327">
        <f>IF(D224=0,0,I224/D224)</f>
        <v>0</v>
      </c>
      <c r="J215" s="327">
        <f>1-I215</f>
        <v>1</v>
      </c>
      <c r="K215" s="350">
        <f>IF(D224=0,0,K224/D224)</f>
        <v>0</v>
      </c>
      <c r="L215" s="350">
        <f>1-K215</f>
        <v>1</v>
      </c>
    </row>
    <row r="216" spans="1:15" outlineLevel="2">
      <c r="A216" s="68"/>
      <c r="B216" s="562" t="str">
        <f>'Plant Configuration'!C255</f>
        <v>Repair Parts</v>
      </c>
      <c r="C216" s="54"/>
      <c r="D216" s="524">
        <f>IF($O$7=6,0,HLOOKUP($D$5,Plant_Configuration,'Plant Configuration'!A255,FALSE))+IF($R$7=6,0,HLOOKUP($E$5,Plant_Configuration,'Plant Configuration'!A255,FALSE))+IF($U$7=6,0,HLOOKUP($F$5,Plant_Configuration,'Plant Configuration'!A255,FALSE))</f>
        <v>0</v>
      </c>
      <c r="E216" s="297">
        <v>0.75</v>
      </c>
      <c r="F216" s="371">
        <v>1</v>
      </c>
      <c r="H216" s="68" t="s">
        <v>748</v>
      </c>
      <c r="I216" s="325">
        <f t="shared" ref="I216:I223" si="63">D216-J216</f>
        <v>0</v>
      </c>
      <c r="J216" s="325">
        <f t="shared" ref="J216:J223" si="64">E216*D216</f>
        <v>0</v>
      </c>
      <c r="K216" s="293">
        <f t="shared" ref="K216:K222" si="65">F216*D216</f>
        <v>0</v>
      </c>
      <c r="L216" s="293">
        <f t="shared" ref="L216:L222" si="66">D216-K216</f>
        <v>0</v>
      </c>
      <c r="N216" s="66"/>
      <c r="O216" s="66"/>
    </row>
    <row r="217" spans="1:15" outlineLevel="2">
      <c r="A217" s="68"/>
      <c r="B217" s="562" t="str">
        <f>'Plant Configuration'!C256</f>
        <v>Outside Repair Services</v>
      </c>
      <c r="C217" s="54"/>
      <c r="D217" s="524">
        <f>IF($O$7=6,0,HLOOKUP($D$5,Plant_Configuration,'Plant Configuration'!A256,FALSE))+IF($R$7=6,0,HLOOKUP($E$5,Plant_Configuration,'Plant Configuration'!A256,FALSE))+IF($U$7=6,0,HLOOKUP($F$5,Plant_Configuration,'Plant Configuration'!A256,FALSE))</f>
        <v>0</v>
      </c>
      <c r="E217" s="297">
        <v>0.75</v>
      </c>
      <c r="F217" s="371">
        <v>1</v>
      </c>
      <c r="H217" s="68" t="s">
        <v>749</v>
      </c>
      <c r="I217" s="325">
        <f t="shared" si="63"/>
        <v>0</v>
      </c>
      <c r="J217" s="325">
        <f t="shared" si="64"/>
        <v>0</v>
      </c>
      <c r="K217" s="293">
        <f t="shared" si="65"/>
        <v>0</v>
      </c>
      <c r="L217" s="293">
        <f t="shared" si="66"/>
        <v>0</v>
      </c>
      <c r="N217" s="66"/>
      <c r="O217" s="66"/>
    </row>
    <row r="218" spans="1:15" outlineLevel="2">
      <c r="A218" s="68"/>
      <c r="B218" s="562" t="str">
        <f>'Plant Configuration'!C257</f>
        <v>Technical/Professional Services</v>
      </c>
      <c r="C218" s="54"/>
      <c r="D218" s="524">
        <f>IF($O$7=6,0,HLOOKUP($D$5,Plant_Configuration,'Plant Configuration'!A257,FALSE))+IF($R$7=6,0,HLOOKUP($E$5,Plant_Configuration,'Plant Configuration'!A257,FALSE))+IF($U$7=6,0,HLOOKUP($F$5,Plant_Configuration,'Plant Configuration'!A257,FALSE))</f>
        <v>0</v>
      </c>
      <c r="E218" s="297">
        <v>0.75</v>
      </c>
      <c r="F218" s="371">
        <v>1</v>
      </c>
      <c r="H218" s="68"/>
      <c r="I218" s="325">
        <f t="shared" si="63"/>
        <v>0</v>
      </c>
      <c r="J218" s="325">
        <f t="shared" si="64"/>
        <v>0</v>
      </c>
      <c r="K218" s="293">
        <f t="shared" si="65"/>
        <v>0</v>
      </c>
      <c r="L218" s="293">
        <f t="shared" si="66"/>
        <v>0</v>
      </c>
      <c r="N218" s="66"/>
      <c r="O218" s="66"/>
    </row>
    <row r="219" spans="1:15" outlineLevel="2">
      <c r="A219" s="68"/>
      <c r="B219" s="562" t="str">
        <f>'Plant Configuration'!C258</f>
        <v>Outside Contract Labor</v>
      </c>
      <c r="C219" s="54"/>
      <c r="D219" s="524">
        <f>IF($O$7=6,0,HLOOKUP($D$5,Plant_Configuration,'Plant Configuration'!A258,FALSE))+IF($R$7=6,0,HLOOKUP($E$5,Plant_Configuration,'Plant Configuration'!A258,FALSE))+IF($U$7=6,0,HLOOKUP($F$5,Plant_Configuration,'Plant Configuration'!A258,FALSE))</f>
        <v>0</v>
      </c>
      <c r="E219" s="297">
        <v>0.75</v>
      </c>
      <c r="F219" s="371">
        <v>1</v>
      </c>
      <c r="H219" s="68"/>
      <c r="I219" s="325">
        <f t="shared" si="63"/>
        <v>0</v>
      </c>
      <c r="J219" s="325">
        <f t="shared" si="64"/>
        <v>0</v>
      </c>
      <c r="K219" s="293">
        <f t="shared" si="65"/>
        <v>0</v>
      </c>
      <c r="L219" s="293">
        <f t="shared" si="66"/>
        <v>0</v>
      </c>
      <c r="N219" s="66"/>
      <c r="O219" s="66"/>
    </row>
    <row r="220" spans="1:15" outlineLevel="2">
      <c r="A220" s="68"/>
      <c r="B220" s="562" t="str">
        <f>'Plant Configuration'!C259</f>
        <v>Equipment rental</v>
      </c>
      <c r="C220" s="54"/>
      <c r="D220" s="524">
        <f>IF($O$7=6,0,HLOOKUP($D$5,Plant_Configuration,'Plant Configuration'!A259,FALSE))+IF($R$7=6,0,HLOOKUP($E$5,Plant_Configuration,'Plant Configuration'!A259,FALSE))+IF($U$7=6,0,HLOOKUP($F$5,Plant_Configuration,'Plant Configuration'!A259,FALSE))</f>
        <v>0</v>
      </c>
      <c r="E220" s="297">
        <v>0.75</v>
      </c>
      <c r="F220" s="371">
        <v>1</v>
      </c>
      <c r="H220" s="68"/>
      <c r="I220" s="325">
        <f t="shared" si="63"/>
        <v>0</v>
      </c>
      <c r="J220" s="325">
        <f t="shared" si="64"/>
        <v>0</v>
      </c>
      <c r="K220" s="293">
        <f t="shared" si="65"/>
        <v>0</v>
      </c>
      <c r="L220" s="293">
        <f t="shared" si="66"/>
        <v>0</v>
      </c>
      <c r="N220" s="66"/>
      <c r="O220" s="66"/>
    </row>
    <row r="221" spans="1:15" outlineLevel="2">
      <c r="A221" s="68"/>
      <c r="B221" s="562" t="str">
        <f>'Plant Configuration'!C260</f>
        <v>Miscellaneous</v>
      </c>
      <c r="C221" s="54"/>
      <c r="D221" s="524">
        <f>IF($O$7=6,0,HLOOKUP($D$5,Plant_Configuration,'Plant Configuration'!A260,FALSE))+IF($R$7=6,0,HLOOKUP($E$5,Plant_Configuration,'Plant Configuration'!A260,FALSE))+IF($U$7=6,0,HLOOKUP($F$5,Plant_Configuration,'Plant Configuration'!A260,FALSE))</f>
        <v>0</v>
      </c>
      <c r="E221" s="297">
        <v>0.75</v>
      </c>
      <c r="F221" s="371">
        <v>1</v>
      </c>
      <c r="H221" s="172" t="s">
        <v>750</v>
      </c>
      <c r="I221" s="325">
        <f t="shared" si="63"/>
        <v>0</v>
      </c>
      <c r="J221" s="325">
        <f t="shared" si="64"/>
        <v>0</v>
      </c>
      <c r="K221" s="293">
        <f t="shared" si="65"/>
        <v>0</v>
      </c>
      <c r="L221" s="293">
        <f t="shared" si="66"/>
        <v>0</v>
      </c>
      <c r="N221" s="66"/>
      <c r="O221" s="66"/>
    </row>
    <row r="222" spans="1:15" outlineLevel="2">
      <c r="A222" s="68"/>
      <c r="B222" s="562" t="str">
        <f>'Plant Configuration'!C261</f>
        <v>Freight</v>
      </c>
      <c r="C222" s="54"/>
      <c r="D222" s="524">
        <f>IF($O$7=6,0,HLOOKUP($D$5,Plant_Configuration,'Plant Configuration'!A261,FALSE))+IF($R$7=6,0,HLOOKUP($E$5,Plant_Configuration,'Plant Configuration'!A261,FALSE))+IF($U$7=6,0,HLOOKUP($F$5,Plant_Configuration,'Plant Configuration'!A261,FALSE))</f>
        <v>0</v>
      </c>
      <c r="E222" s="297">
        <v>0.75</v>
      </c>
      <c r="F222" s="371">
        <v>1</v>
      </c>
      <c r="H222" s="68"/>
      <c r="I222" s="325">
        <f t="shared" si="63"/>
        <v>0</v>
      </c>
      <c r="J222" s="325">
        <f t="shared" si="64"/>
        <v>0</v>
      </c>
      <c r="K222" s="293">
        <f t="shared" si="65"/>
        <v>0</v>
      </c>
      <c r="L222" s="293">
        <f t="shared" si="66"/>
        <v>0</v>
      </c>
      <c r="N222" s="66"/>
      <c r="O222" s="66"/>
    </row>
    <row r="223" spans="1:15" outlineLevel="2">
      <c r="A223" s="68"/>
      <c r="B223" s="562" t="str">
        <f>'Plant Configuration'!C262</f>
        <v>Other</v>
      </c>
      <c r="C223" s="54"/>
      <c r="D223" s="524">
        <f>IF($O$7=6,0,HLOOKUP($D$5,Plant_Configuration,'Plant Configuration'!A262,FALSE))+IF($R$7=6,0,HLOOKUP($E$5,Plant_Configuration,'Plant Configuration'!A262,FALSE))+IF($U$7=6,0,HLOOKUP($F$5,Plant_Configuration,'Plant Configuration'!A262,FALSE))</f>
        <v>0</v>
      </c>
      <c r="E223" s="297">
        <v>0.75</v>
      </c>
      <c r="F223" s="371"/>
      <c r="H223" s="68"/>
      <c r="I223" s="325">
        <f t="shared" si="63"/>
        <v>0</v>
      </c>
      <c r="J223" s="325">
        <f t="shared" si="64"/>
        <v>0</v>
      </c>
      <c r="K223" s="293"/>
      <c r="L223" s="293"/>
      <c r="N223" s="66"/>
      <c r="O223" s="66"/>
    </row>
    <row r="224" spans="1:15" s="352" customFormat="1" outlineLevel="1">
      <c r="A224" s="68"/>
      <c r="B224" s="565" t="s">
        <v>1401</v>
      </c>
      <c r="C224"/>
      <c r="D224" s="353">
        <f>SUBTOTAL(9,D216:D223)</f>
        <v>0</v>
      </c>
      <c r="E224" s="354"/>
      <c r="F224" s="372"/>
      <c r="G224" s="111"/>
      <c r="H224" s="68"/>
      <c r="I224" s="353">
        <f>SUBTOTAL(9,I216:I223)</f>
        <v>0</v>
      </c>
      <c r="J224" s="353">
        <f>SUBTOTAL(9,J216:J223)</f>
        <v>0</v>
      </c>
      <c r="K224" s="353">
        <f>SUBTOTAL(9,K216:K223)</f>
        <v>0</v>
      </c>
      <c r="L224" s="353">
        <f>SUBTOTAL(9,L216:L223)</f>
        <v>0</v>
      </c>
    </row>
    <row r="225" spans="1:15" s="352" customFormat="1" outlineLevel="1">
      <c r="A225" s="355" t="s">
        <v>751</v>
      </c>
      <c r="B225" s="563"/>
      <c r="C225" s="356"/>
      <c r="D225" s="347"/>
      <c r="E225" s="348"/>
      <c r="F225" s="370"/>
      <c r="G225" s="111"/>
      <c r="H225" s="357"/>
      <c r="I225" s="327">
        <f>IF(D243=0,0,I243/D243)</f>
        <v>0.75</v>
      </c>
      <c r="J225" s="327">
        <f>1-I225</f>
        <v>0.25</v>
      </c>
      <c r="K225" s="350">
        <f>IF(D243=0,0,K243/D243)</f>
        <v>1</v>
      </c>
      <c r="L225" s="350">
        <f>1-K225</f>
        <v>0</v>
      </c>
    </row>
    <row r="226" spans="1:15" outlineLevel="2">
      <c r="A226" s="68"/>
      <c r="B226" s="562" t="str">
        <f>'Plant Configuration'!C265</f>
        <v>Warehouse Supplies</v>
      </c>
      <c r="C226" s="54"/>
      <c r="D226" s="524">
        <f>IF($O$7=6,0,HLOOKUP($D$5,Plant_Configuration,'Plant Configuration'!A265,FALSE))+IF($R$7=6,0,HLOOKUP($E$5,Plant_Configuration,'Plant Configuration'!A265,FALSE))+IF($U$7=6,0,HLOOKUP($F$5,Plant_Configuration,'Plant Configuration'!A265,FALSE))</f>
        <v>369641.28912631638</v>
      </c>
      <c r="E226" s="297">
        <v>0.25</v>
      </c>
      <c r="F226" s="371">
        <v>1</v>
      </c>
      <c r="H226" s="359" t="s">
        <v>753</v>
      </c>
      <c r="I226" s="325">
        <f t="shared" ref="I226:I242" si="67">D226-J226</f>
        <v>277230.9668447373</v>
      </c>
      <c r="J226" s="325">
        <f t="shared" ref="J226:J242" si="68">E226*D226</f>
        <v>92410.322281579094</v>
      </c>
      <c r="K226" s="293">
        <f t="shared" ref="K226:K241" si="69">F226*D226</f>
        <v>369641.28912631638</v>
      </c>
      <c r="L226" s="293">
        <f t="shared" ref="L226:L241" si="70">D226-K226</f>
        <v>0</v>
      </c>
      <c r="N226" s="66"/>
      <c r="O226" s="66"/>
    </row>
    <row r="227" spans="1:15" outlineLevel="2">
      <c r="A227" s="68"/>
      <c r="B227" s="562" t="str">
        <f>'Plant Configuration'!C266</f>
        <v>Vehicle Fuel/Gasoline</v>
      </c>
      <c r="C227" s="54"/>
      <c r="D227" s="524">
        <f>IF($O$7=6,0,HLOOKUP($D$5,Plant_Configuration,'Plant Configuration'!A266,FALSE))+IF($R$7=6,0,HLOOKUP($E$5,Plant_Configuration,'Plant Configuration'!A266,FALSE))+IF($U$7=6,0,HLOOKUP($F$5,Plant_Configuration,'Plant Configuration'!A266,FALSE))</f>
        <v>0</v>
      </c>
      <c r="E227" s="297">
        <v>0.25</v>
      </c>
      <c r="F227" s="371">
        <v>1</v>
      </c>
      <c r="H227" s="68" t="s">
        <v>755</v>
      </c>
      <c r="I227" s="325">
        <f t="shared" si="67"/>
        <v>0</v>
      </c>
      <c r="J227" s="325">
        <f t="shared" si="68"/>
        <v>0</v>
      </c>
      <c r="K227" s="293">
        <f t="shared" si="69"/>
        <v>0</v>
      </c>
      <c r="L227" s="293">
        <f t="shared" si="70"/>
        <v>0</v>
      </c>
      <c r="N227" s="66"/>
      <c r="O227" s="66"/>
    </row>
    <row r="228" spans="1:15" outlineLevel="2">
      <c r="A228" s="68"/>
      <c r="B228" s="562" t="str">
        <f>'Plant Configuration'!C267</f>
        <v>Vehicle Repairs &amp; Maintenance</v>
      </c>
      <c r="C228" s="54"/>
      <c r="D228" s="524">
        <f>IF($O$7=6,0,HLOOKUP($D$5,Plant_Configuration,'Plant Configuration'!A267,FALSE))+IF($R$7=6,0,HLOOKUP($E$5,Plant_Configuration,'Plant Configuration'!A267,FALSE))+IF($U$7=6,0,HLOOKUP($F$5,Plant_Configuration,'Plant Configuration'!A267,FALSE))</f>
        <v>0</v>
      </c>
      <c r="E228" s="297">
        <v>0.25</v>
      </c>
      <c r="F228" s="371">
        <v>1</v>
      </c>
      <c r="H228" s="359" t="s">
        <v>1083</v>
      </c>
      <c r="I228" s="325">
        <f t="shared" si="67"/>
        <v>0</v>
      </c>
      <c r="J228" s="325">
        <f t="shared" si="68"/>
        <v>0</v>
      </c>
      <c r="K228" s="293">
        <f t="shared" si="69"/>
        <v>0</v>
      </c>
      <c r="L228" s="293">
        <f t="shared" si="70"/>
        <v>0</v>
      </c>
      <c r="N228" s="66"/>
      <c r="O228" s="66"/>
    </row>
    <row r="229" spans="1:15" outlineLevel="2">
      <c r="A229" s="68"/>
      <c r="B229" s="562" t="str">
        <f>'Plant Configuration'!C268</f>
        <v>Vehicle Lease</v>
      </c>
      <c r="C229" s="54"/>
      <c r="D229" s="524">
        <f>IF($O$7=6,0,HLOOKUP($D$5,Plant_Configuration,'Plant Configuration'!A268,FALSE))+IF($R$7=6,0,HLOOKUP($E$5,Plant_Configuration,'Plant Configuration'!A268,FALSE))+IF($U$7=6,0,HLOOKUP($F$5,Plant_Configuration,'Plant Configuration'!A268,FALSE))</f>
        <v>0</v>
      </c>
      <c r="E229" s="297">
        <v>0.25</v>
      </c>
      <c r="F229" s="371">
        <v>1</v>
      </c>
      <c r="H229" s="68"/>
      <c r="I229" s="325">
        <f t="shared" si="67"/>
        <v>0</v>
      </c>
      <c r="J229" s="325">
        <f t="shared" si="68"/>
        <v>0</v>
      </c>
      <c r="K229" s="293">
        <f t="shared" si="69"/>
        <v>0</v>
      </c>
      <c r="L229" s="293">
        <f t="shared" si="70"/>
        <v>0</v>
      </c>
      <c r="N229" s="66"/>
      <c r="O229" s="66"/>
    </row>
    <row r="230" spans="1:15" outlineLevel="2">
      <c r="A230" s="68"/>
      <c r="B230" s="562" t="str">
        <f>'Plant Configuration'!C269</f>
        <v>Equipment rent/lease</v>
      </c>
      <c r="C230" s="54"/>
      <c r="D230" s="524">
        <f>IF($O$7=6,0,HLOOKUP($D$5,Plant_Configuration,'Plant Configuration'!A269,FALSE))+IF($R$7=6,0,HLOOKUP($E$5,Plant_Configuration,'Plant Configuration'!A269,FALSE))+IF($U$7=6,0,HLOOKUP($F$5,Plant_Configuration,'Plant Configuration'!A269,FALSE))</f>
        <v>0</v>
      </c>
      <c r="E230" s="297">
        <v>0.25</v>
      </c>
      <c r="F230" s="371">
        <v>1</v>
      </c>
      <c r="H230" s="68"/>
      <c r="I230" s="325">
        <f t="shared" si="67"/>
        <v>0</v>
      </c>
      <c r="J230" s="325">
        <f t="shared" si="68"/>
        <v>0</v>
      </c>
      <c r="K230" s="293">
        <f t="shared" si="69"/>
        <v>0</v>
      </c>
      <c r="L230" s="293">
        <f t="shared" si="70"/>
        <v>0</v>
      </c>
      <c r="N230" s="66"/>
      <c r="O230" s="66"/>
    </row>
    <row r="231" spans="1:15" outlineLevel="2">
      <c r="A231" s="68"/>
      <c r="B231" s="562" t="str">
        <f>'Plant Configuration'!C270</f>
        <v>Lubricants/Turbine Oil/Grease/Compounds</v>
      </c>
      <c r="C231" s="54"/>
      <c r="D231" s="524">
        <f>IF($O$7=6,0,HLOOKUP($D$5,Plant_Configuration,'Plant Configuration'!A270,FALSE))+IF($R$7=6,0,HLOOKUP($E$5,Plant_Configuration,'Plant Configuration'!A270,FALSE))+IF($U$7=6,0,HLOOKUP($F$5,Plant_Configuration,'Plant Configuration'!A270,FALSE))</f>
        <v>0</v>
      </c>
      <c r="E231" s="297">
        <v>0.25</v>
      </c>
      <c r="F231" s="371">
        <v>1</v>
      </c>
      <c r="H231" s="68"/>
      <c r="I231" s="325">
        <f t="shared" si="67"/>
        <v>0</v>
      </c>
      <c r="J231" s="325">
        <f t="shared" si="68"/>
        <v>0</v>
      </c>
      <c r="K231" s="293">
        <f t="shared" si="69"/>
        <v>0</v>
      </c>
      <c r="L231" s="293">
        <f t="shared" si="70"/>
        <v>0</v>
      </c>
      <c r="N231" s="66"/>
      <c r="O231" s="66"/>
    </row>
    <row r="232" spans="1:15" outlineLevel="2">
      <c r="A232" s="68"/>
      <c r="B232" s="562" t="str">
        <f>'Plant Configuration'!C271</f>
        <v>Tools &amp; Tool Repair</v>
      </c>
      <c r="C232" s="54"/>
      <c r="D232" s="524">
        <f>IF($O$7=6,0,HLOOKUP($D$5,Plant_Configuration,'Plant Configuration'!A271,FALSE))+IF($R$7=6,0,HLOOKUP($E$5,Plant_Configuration,'Plant Configuration'!A271,FALSE))+IF($U$7=6,0,HLOOKUP($F$5,Plant_Configuration,'Plant Configuration'!A271,FALSE))</f>
        <v>0</v>
      </c>
      <c r="E232" s="297">
        <v>0.25</v>
      </c>
      <c r="F232" s="371">
        <v>1</v>
      </c>
      <c r="H232" s="68"/>
      <c r="I232" s="325">
        <f t="shared" si="67"/>
        <v>0</v>
      </c>
      <c r="J232" s="325">
        <f t="shared" si="68"/>
        <v>0</v>
      </c>
      <c r="K232" s="293">
        <f t="shared" si="69"/>
        <v>0</v>
      </c>
      <c r="L232" s="293">
        <f t="shared" si="70"/>
        <v>0</v>
      </c>
      <c r="N232" s="66"/>
      <c r="O232" s="66"/>
    </row>
    <row r="233" spans="1:15" outlineLevel="2">
      <c r="A233" s="68"/>
      <c r="B233" s="562" t="str">
        <f>'Plant Configuration'!C272</f>
        <v>Maint. Materials &amp; Supplies</v>
      </c>
      <c r="C233" s="54"/>
      <c r="D233" s="524">
        <f>IF($O$7=6,0,HLOOKUP($D$5,Plant_Configuration,'Plant Configuration'!A272,FALSE))+IF($R$7=6,0,HLOOKUP($E$5,Plant_Configuration,'Plant Configuration'!A272,FALSE))+IF($U$7=6,0,HLOOKUP($F$5,Plant_Configuration,'Plant Configuration'!A272,FALSE))</f>
        <v>0</v>
      </c>
      <c r="E233" s="297">
        <v>0.25</v>
      </c>
      <c r="F233" s="371">
        <v>1</v>
      </c>
      <c r="H233" s="68"/>
      <c r="I233" s="325">
        <f t="shared" si="67"/>
        <v>0</v>
      </c>
      <c r="J233" s="325">
        <f t="shared" si="68"/>
        <v>0</v>
      </c>
      <c r="K233" s="293">
        <f t="shared" si="69"/>
        <v>0</v>
      </c>
      <c r="L233" s="293">
        <f t="shared" si="70"/>
        <v>0</v>
      </c>
      <c r="N233" s="66"/>
      <c r="O233" s="66"/>
    </row>
    <row r="234" spans="1:15" outlineLevel="2">
      <c r="A234" s="68"/>
      <c r="B234" s="562" t="str">
        <f>'Plant Configuration'!C273</f>
        <v>Technical/Professional Services</v>
      </c>
      <c r="C234" s="54"/>
      <c r="D234" s="524">
        <f>IF($O$7=6,0,HLOOKUP($D$5,Plant_Configuration,'Plant Configuration'!A273,FALSE))+IF($R$7=6,0,HLOOKUP($E$5,Plant_Configuration,'Plant Configuration'!A273,FALSE))+IF($U$7=6,0,HLOOKUP($F$5,Plant_Configuration,'Plant Configuration'!A273,FALSE))</f>
        <v>0</v>
      </c>
      <c r="E234" s="297">
        <v>0.25</v>
      </c>
      <c r="F234" s="371">
        <v>1</v>
      </c>
      <c r="H234" s="68"/>
      <c r="I234" s="325">
        <f t="shared" si="67"/>
        <v>0</v>
      </c>
      <c r="J234" s="325">
        <f t="shared" si="68"/>
        <v>0</v>
      </c>
      <c r="K234" s="293">
        <f t="shared" si="69"/>
        <v>0</v>
      </c>
      <c r="L234" s="293">
        <f t="shared" si="70"/>
        <v>0</v>
      </c>
      <c r="N234" s="66"/>
      <c r="O234" s="66"/>
    </row>
    <row r="235" spans="1:15" outlineLevel="2">
      <c r="A235" s="68"/>
      <c r="B235" s="562" t="str">
        <f>'Plant Configuration'!C274</f>
        <v>Contact Labor/Temporaries</v>
      </c>
      <c r="C235" s="54"/>
      <c r="D235" s="524">
        <f>IF($O$7=6,0,HLOOKUP($D$5,Plant_Configuration,'Plant Configuration'!A274,FALSE))+IF($R$7=6,0,HLOOKUP($E$5,Plant_Configuration,'Plant Configuration'!A274,FALSE))+IF($U$7=6,0,HLOOKUP($F$5,Plant_Configuration,'Plant Configuration'!A274,FALSE))</f>
        <v>0</v>
      </c>
      <c r="E235" s="297">
        <v>0.25</v>
      </c>
      <c r="F235" s="371">
        <v>1</v>
      </c>
      <c r="H235" s="68"/>
      <c r="I235" s="325">
        <f t="shared" si="67"/>
        <v>0</v>
      </c>
      <c r="J235" s="325">
        <f t="shared" si="68"/>
        <v>0</v>
      </c>
      <c r="K235" s="293">
        <f t="shared" si="69"/>
        <v>0</v>
      </c>
      <c r="L235" s="293">
        <f t="shared" si="70"/>
        <v>0</v>
      </c>
      <c r="N235" s="66"/>
      <c r="O235" s="66"/>
    </row>
    <row r="236" spans="1:15" outlineLevel="2">
      <c r="A236" s="68"/>
      <c r="B236" s="562" t="str">
        <f>'Plant Configuration'!C275</f>
        <v>Outside Repair Services</v>
      </c>
      <c r="C236" s="54"/>
      <c r="D236" s="524">
        <f>IF($O$7=6,0,HLOOKUP($D$5,Plant_Configuration,'Plant Configuration'!A275,FALSE))+IF($R$7=6,0,HLOOKUP($E$5,Plant_Configuration,'Plant Configuration'!A275,FALSE))+IF($U$7=6,0,HLOOKUP($F$5,Plant_Configuration,'Plant Configuration'!A275,FALSE))</f>
        <v>0</v>
      </c>
      <c r="E236" s="297">
        <v>0.25</v>
      </c>
      <c r="F236" s="371">
        <v>1</v>
      </c>
      <c r="H236" s="68"/>
      <c r="I236" s="325">
        <f t="shared" si="67"/>
        <v>0</v>
      </c>
      <c r="J236" s="325">
        <f t="shared" si="68"/>
        <v>0</v>
      </c>
      <c r="K236" s="293">
        <f t="shared" si="69"/>
        <v>0</v>
      </c>
      <c r="L236" s="293">
        <f t="shared" si="70"/>
        <v>0</v>
      </c>
      <c r="N236" s="66"/>
      <c r="O236" s="66"/>
    </row>
    <row r="237" spans="1:15" outlineLevel="2">
      <c r="A237" s="68"/>
      <c r="B237" s="562" t="str">
        <f>'Plant Configuration'!C276</f>
        <v>Outside Services Contract Labor</v>
      </c>
      <c r="C237" s="54"/>
      <c r="D237" s="524">
        <f>IF($O$7=6,0,HLOOKUP($D$5,Plant_Configuration,'Plant Configuration'!A276,FALSE))+IF($R$7=6,0,HLOOKUP($E$5,Plant_Configuration,'Plant Configuration'!A276,FALSE))+IF($U$7=6,0,HLOOKUP($F$5,Plant_Configuration,'Plant Configuration'!A276,FALSE))</f>
        <v>0</v>
      </c>
      <c r="E237" s="297">
        <v>0.25</v>
      </c>
      <c r="F237" s="371">
        <v>1</v>
      </c>
      <c r="H237" s="68"/>
      <c r="I237" s="325">
        <f t="shared" si="67"/>
        <v>0</v>
      </c>
      <c r="J237" s="325">
        <f t="shared" si="68"/>
        <v>0</v>
      </c>
      <c r="K237" s="293">
        <f t="shared" si="69"/>
        <v>0</v>
      </c>
      <c r="L237" s="293">
        <f t="shared" si="70"/>
        <v>0</v>
      </c>
      <c r="N237" s="66"/>
      <c r="O237" s="66"/>
    </row>
    <row r="238" spans="1:15" outlineLevel="2">
      <c r="A238" s="68"/>
      <c r="B238" s="562" t="str">
        <f>'Plant Configuration'!C277</f>
        <v>Radio Parts and repairs</v>
      </c>
      <c r="C238" s="54"/>
      <c r="D238" s="524">
        <f>IF($O$7=6,0,HLOOKUP($D$5,Plant_Configuration,'Plant Configuration'!A277,FALSE))+IF($R$7=6,0,HLOOKUP($E$5,Plant_Configuration,'Plant Configuration'!A277,FALSE))+IF($U$7=6,0,HLOOKUP($F$5,Plant_Configuration,'Plant Configuration'!A277,FALSE))</f>
        <v>0</v>
      </c>
      <c r="E238" s="297">
        <v>0.25</v>
      </c>
      <c r="F238" s="371">
        <v>1</v>
      </c>
      <c r="H238" s="68"/>
      <c r="I238" s="325">
        <f t="shared" si="67"/>
        <v>0</v>
      </c>
      <c r="J238" s="325">
        <f t="shared" si="68"/>
        <v>0</v>
      </c>
      <c r="K238" s="293">
        <f t="shared" si="69"/>
        <v>0</v>
      </c>
      <c r="L238" s="293">
        <f t="shared" si="70"/>
        <v>0</v>
      </c>
      <c r="N238" s="66"/>
      <c r="O238" s="66"/>
    </row>
    <row r="239" spans="1:15" outlineLevel="2">
      <c r="A239" s="68"/>
      <c r="B239" s="562" t="str">
        <f>'Plant Configuration'!C278</f>
        <v>BOP Repairs</v>
      </c>
      <c r="C239" s="54"/>
      <c r="D239" s="524">
        <f>IF($O$7=6,0,HLOOKUP($D$5,Plant_Configuration,'Plant Configuration'!A278,FALSE))+IF($R$7=6,0,HLOOKUP($E$5,Plant_Configuration,'Plant Configuration'!A278,FALSE))+IF($U$7=6,0,HLOOKUP($F$5,Plant_Configuration,'Plant Configuration'!A278,FALSE))</f>
        <v>0</v>
      </c>
      <c r="E239" s="297">
        <v>0.25</v>
      </c>
      <c r="F239" s="371">
        <v>1</v>
      </c>
      <c r="H239" s="68"/>
      <c r="I239" s="325">
        <f t="shared" si="67"/>
        <v>0</v>
      </c>
      <c r="J239" s="325">
        <f t="shared" si="68"/>
        <v>0</v>
      </c>
      <c r="K239" s="293">
        <f t="shared" si="69"/>
        <v>0</v>
      </c>
      <c r="L239" s="293">
        <f t="shared" si="70"/>
        <v>0</v>
      </c>
      <c r="N239" s="66"/>
      <c r="O239" s="66"/>
    </row>
    <row r="240" spans="1:15" outlineLevel="2">
      <c r="A240" s="68"/>
      <c r="B240" s="562" t="str">
        <f>'Plant Configuration'!C279</f>
        <v>Hydrogen</v>
      </c>
      <c r="C240" s="54"/>
      <c r="D240" s="524">
        <f>IF($O$7=6,0,HLOOKUP($D$5,Plant_Configuration,'Plant Configuration'!A279,FALSE))+IF($R$7=6,0,HLOOKUP($E$5,Plant_Configuration,'Plant Configuration'!A279,FALSE))+IF($U$7=6,0,HLOOKUP($F$5,Plant_Configuration,'Plant Configuration'!A279,FALSE))</f>
        <v>0</v>
      </c>
      <c r="E240" s="297">
        <v>0.25</v>
      </c>
      <c r="F240" s="371">
        <v>1</v>
      </c>
      <c r="H240" s="68" t="s">
        <v>766</v>
      </c>
      <c r="I240" s="325">
        <f t="shared" si="67"/>
        <v>0</v>
      </c>
      <c r="J240" s="325">
        <f t="shared" si="68"/>
        <v>0</v>
      </c>
      <c r="K240" s="293">
        <f t="shared" si="69"/>
        <v>0</v>
      </c>
      <c r="L240" s="293">
        <f t="shared" si="70"/>
        <v>0</v>
      </c>
      <c r="N240" s="66"/>
      <c r="O240" s="66"/>
    </row>
    <row r="241" spans="1:15" outlineLevel="2">
      <c r="A241" s="68"/>
      <c r="B241" s="562" t="str">
        <f>'Plant Configuration'!C280</f>
        <v>Freight</v>
      </c>
      <c r="C241" s="54"/>
      <c r="D241" s="524">
        <f>IF($O$7=6,0,HLOOKUP($D$5,Plant_Configuration,'Plant Configuration'!A280,FALSE))+IF($R$7=6,0,HLOOKUP($E$5,Plant_Configuration,'Plant Configuration'!A280,FALSE))+IF($U$7=6,0,HLOOKUP($F$5,Plant_Configuration,'Plant Configuration'!A280,FALSE))</f>
        <v>0</v>
      </c>
      <c r="E241" s="297">
        <v>0.25</v>
      </c>
      <c r="F241" s="371">
        <v>1</v>
      </c>
      <c r="H241" s="68" t="s">
        <v>557</v>
      </c>
      <c r="I241" s="325">
        <f t="shared" si="67"/>
        <v>0</v>
      </c>
      <c r="J241" s="325">
        <f t="shared" si="68"/>
        <v>0</v>
      </c>
      <c r="K241" s="293">
        <f t="shared" si="69"/>
        <v>0</v>
      </c>
      <c r="L241" s="293">
        <f t="shared" si="70"/>
        <v>0</v>
      </c>
      <c r="N241" s="66"/>
      <c r="O241" s="66"/>
    </row>
    <row r="242" spans="1:15" outlineLevel="2">
      <c r="A242" s="68"/>
      <c r="B242" s="562" t="str">
        <f>'Plant Configuration'!C281</f>
        <v>Other</v>
      </c>
      <c r="C242" s="54"/>
      <c r="D242" s="524">
        <f>IF($O$7=6,0,HLOOKUP($D$5,Plant_Configuration,'Plant Configuration'!A281,FALSE))+IF($R$7=6,0,HLOOKUP($E$5,Plant_Configuration,'Plant Configuration'!A281,FALSE))+IF($U$7=6,0,HLOOKUP($F$5,Plant_Configuration,'Plant Configuration'!A281,FALSE))</f>
        <v>0</v>
      </c>
      <c r="E242" s="297">
        <v>0.25</v>
      </c>
      <c r="F242" s="371">
        <v>1</v>
      </c>
      <c r="H242" s="68"/>
      <c r="I242" s="325">
        <f t="shared" si="67"/>
        <v>0</v>
      </c>
      <c r="J242" s="325">
        <f t="shared" si="68"/>
        <v>0</v>
      </c>
      <c r="K242" s="293"/>
      <c r="L242" s="293"/>
      <c r="N242" s="66"/>
      <c r="O242" s="66"/>
    </row>
    <row r="243" spans="1:15" s="352" customFormat="1" outlineLevel="1">
      <c r="A243" s="358"/>
      <c r="B243" s="565" t="s">
        <v>1401</v>
      </c>
      <c r="C243"/>
      <c r="D243" s="353">
        <f>SUBTOTAL(9,D226:D242)</f>
        <v>369641.28912631638</v>
      </c>
      <c r="E243" s="354"/>
      <c r="F243" s="372"/>
      <c r="G243" s="111"/>
      <c r="H243" s="68" t="s">
        <v>558</v>
      </c>
      <c r="I243" s="353">
        <f>SUBTOTAL(9,I226:I242)</f>
        <v>277230.9668447373</v>
      </c>
      <c r="J243" s="353">
        <f>SUBTOTAL(9,J226:J242)</f>
        <v>92410.322281579094</v>
      </c>
      <c r="K243" s="353">
        <f>SUBTOTAL(9,K226:K242)</f>
        <v>369641.28912631638</v>
      </c>
      <c r="L243" s="353">
        <f>SUBTOTAL(9,L226:L242)</f>
        <v>0</v>
      </c>
    </row>
    <row r="244" spans="1:15" s="352" customFormat="1" outlineLevel="1">
      <c r="A244" s="355" t="s">
        <v>767</v>
      </c>
      <c r="B244" s="563"/>
      <c r="C244" s="356"/>
      <c r="D244" s="347"/>
      <c r="E244" s="348"/>
      <c r="F244" s="370"/>
      <c r="G244" s="111"/>
      <c r="H244" s="357"/>
      <c r="I244" s="327">
        <f>IF(D252=0,0,I252/D252)</f>
        <v>1</v>
      </c>
      <c r="J244" s="327">
        <f>1-I244</f>
        <v>0</v>
      </c>
      <c r="K244" s="350">
        <f>IF(D252=0,0,K252/D252)</f>
        <v>1</v>
      </c>
      <c r="L244" s="350">
        <f>1-K244</f>
        <v>0</v>
      </c>
    </row>
    <row r="245" spans="1:15" outlineLevel="2">
      <c r="A245" s="68"/>
      <c r="B245" s="562" t="str">
        <f>'Plant Configuration'!C284</f>
        <v>Basis/Justification:</v>
      </c>
      <c r="C245" s="54"/>
      <c r="D245" s="524">
        <f>IF($O$7=6,0,HLOOKUP($D$5,Plant_Configuration,'Plant Configuration'!A284,FALSE))+IF($R$7=6,0,HLOOKUP($E$5,Plant_Configuration,'Plant Configuration'!A284,FALSE))+IF($U$7=6,0,HLOOKUP($F$5,Plant_Configuration,'Plant Configuration'!A284,FALSE))</f>
        <v>1160000</v>
      </c>
      <c r="E245" s="297">
        <v>0</v>
      </c>
      <c r="F245" s="371">
        <v>1</v>
      </c>
      <c r="H245" s="68" t="s">
        <v>768</v>
      </c>
      <c r="I245" s="325">
        <f t="shared" ref="I245:I251" si="71">D245-J245</f>
        <v>1160000</v>
      </c>
      <c r="J245" s="325">
        <f t="shared" ref="J245:J251" si="72">E245*D245</f>
        <v>0</v>
      </c>
      <c r="K245" s="293">
        <f>F245*D245</f>
        <v>1160000</v>
      </c>
      <c r="L245" s="293">
        <f>D245-K245</f>
        <v>0</v>
      </c>
      <c r="N245" s="66"/>
      <c r="O245" s="66"/>
    </row>
    <row r="246" spans="1:15" outlineLevel="2">
      <c r="A246" s="68"/>
      <c r="B246" s="562"/>
      <c r="C246" s="54"/>
      <c r="D246" s="524">
        <f>IF($O$7=6,0,HLOOKUP($D$5,Plant_Configuration,'Plant Configuration'!A285,FALSE))+IF($R$7=6,0,HLOOKUP($E$5,Plant_Configuration,'Plant Configuration'!A285,FALSE))+IF($U$7=6,0,HLOOKUP($F$5,Plant_Configuration,'Plant Configuration'!A285,FALSE))</f>
        <v>0</v>
      </c>
      <c r="E246" s="297">
        <v>0</v>
      </c>
      <c r="F246" s="371">
        <v>1</v>
      </c>
      <c r="H246" s="68" t="s">
        <v>769</v>
      </c>
      <c r="I246" s="325">
        <f t="shared" si="71"/>
        <v>0</v>
      </c>
      <c r="J246" s="325">
        <f t="shared" si="72"/>
        <v>0</v>
      </c>
      <c r="K246" s="293"/>
      <c r="L246" s="293"/>
      <c r="N246" s="66"/>
      <c r="O246" s="66"/>
    </row>
    <row r="247" spans="1:15" outlineLevel="2">
      <c r="A247" s="68" t="s">
        <v>561</v>
      </c>
      <c r="B247" s="562"/>
      <c r="C247" s="54"/>
      <c r="D247" s="524">
        <f>IF($O$7=6,0,HLOOKUP($D$5,Plant_Configuration,'Plant Configuration'!A286,FALSE))+IF($R$7=6,0,HLOOKUP($E$5,Plant_Configuration,'Plant Configuration'!A286,FALSE))+IF($U$7=6,0,HLOOKUP($F$5,Plant_Configuration,'Plant Configuration'!A286,FALSE))</f>
        <v>0</v>
      </c>
      <c r="E247" s="297">
        <v>0</v>
      </c>
      <c r="F247" s="371">
        <v>1</v>
      </c>
      <c r="H247" s="68" t="s">
        <v>562</v>
      </c>
      <c r="I247" s="325">
        <f t="shared" si="71"/>
        <v>0</v>
      </c>
      <c r="J247" s="325">
        <f t="shared" si="72"/>
        <v>0</v>
      </c>
      <c r="K247" s="293"/>
      <c r="L247" s="293"/>
      <c r="N247" s="66"/>
      <c r="O247" s="66"/>
    </row>
    <row r="248" spans="1:15" outlineLevel="2">
      <c r="A248" s="68" t="s">
        <v>563</v>
      </c>
      <c r="B248" s="562"/>
      <c r="C248" s="54"/>
      <c r="D248" s="524">
        <f>IF($O$7=6,0,HLOOKUP($D$5,Plant_Configuration,'Plant Configuration'!A287,FALSE))+IF($R$7=6,0,HLOOKUP($E$5,Plant_Configuration,'Plant Configuration'!A287,FALSE))+IF($U$7=6,0,HLOOKUP($F$5,Plant_Configuration,'Plant Configuration'!A287,FALSE))</f>
        <v>0</v>
      </c>
      <c r="E248" s="297">
        <v>0</v>
      </c>
      <c r="F248" s="371">
        <v>1</v>
      </c>
      <c r="H248" s="68" t="s">
        <v>564</v>
      </c>
      <c r="I248" s="325">
        <f t="shared" si="71"/>
        <v>0</v>
      </c>
      <c r="J248" s="325">
        <f t="shared" si="72"/>
        <v>0</v>
      </c>
      <c r="K248" s="293"/>
      <c r="L248" s="293"/>
      <c r="N248" s="66"/>
      <c r="O248" s="66"/>
    </row>
    <row r="249" spans="1:15" outlineLevel="2">
      <c r="A249" s="68" t="s">
        <v>719</v>
      </c>
      <c r="B249" s="562"/>
      <c r="C249" s="54"/>
      <c r="D249" s="524">
        <f>IF($O$7=6,0,HLOOKUP($D$5,Plant_Configuration,'Plant Configuration'!A288,FALSE))+IF($R$7=6,0,HLOOKUP($E$5,Plant_Configuration,'Plant Configuration'!A288,FALSE))+IF($U$7=6,0,HLOOKUP($F$5,Plant_Configuration,'Plant Configuration'!A288,FALSE))</f>
        <v>0</v>
      </c>
      <c r="E249" s="297">
        <v>0</v>
      </c>
      <c r="F249" s="371">
        <v>1</v>
      </c>
      <c r="H249" s="68" t="s">
        <v>565</v>
      </c>
      <c r="I249" s="325">
        <f t="shared" si="71"/>
        <v>0</v>
      </c>
      <c r="J249" s="325">
        <f t="shared" si="72"/>
        <v>0</v>
      </c>
      <c r="K249" s="293"/>
      <c r="L249" s="293"/>
      <c r="N249" s="66"/>
      <c r="O249" s="66"/>
    </row>
    <row r="250" spans="1:15" outlineLevel="2">
      <c r="A250" s="68"/>
      <c r="B250" s="562"/>
      <c r="C250" s="54"/>
      <c r="D250" s="524">
        <f>IF($O$7=6,0,HLOOKUP($D$5,Plant_Configuration,'Plant Configuration'!A289,FALSE))+IF($R$7=6,0,HLOOKUP($E$5,Plant_Configuration,'Plant Configuration'!A289,FALSE))+IF($U$7=6,0,HLOOKUP($F$5,Plant_Configuration,'Plant Configuration'!A289,FALSE))</f>
        <v>0</v>
      </c>
      <c r="E250" s="297">
        <v>0</v>
      </c>
      <c r="F250" s="371">
        <v>1</v>
      </c>
      <c r="H250" s="68" t="s">
        <v>566</v>
      </c>
      <c r="I250" s="325">
        <f t="shared" si="71"/>
        <v>0</v>
      </c>
      <c r="J250" s="325">
        <f t="shared" si="72"/>
        <v>0</v>
      </c>
      <c r="K250" s="293"/>
      <c r="L250" s="293"/>
      <c r="N250" s="66"/>
      <c r="O250" s="66"/>
    </row>
    <row r="251" spans="1:15" outlineLevel="2">
      <c r="A251" s="68"/>
      <c r="B251" s="562"/>
      <c r="C251" s="54"/>
      <c r="D251" s="524">
        <f>IF($O$7=6,0,HLOOKUP($D$5,Plant_Configuration,'Plant Configuration'!A290,FALSE))+IF($R$7=6,0,HLOOKUP($E$5,Plant_Configuration,'Plant Configuration'!A290,FALSE))+IF($U$7=6,0,HLOOKUP($F$5,Plant_Configuration,'Plant Configuration'!A290,FALSE))</f>
        <v>0</v>
      </c>
      <c r="E251" s="297">
        <v>0</v>
      </c>
      <c r="F251" s="371">
        <v>1</v>
      </c>
      <c r="H251" s="68" t="s">
        <v>567</v>
      </c>
      <c r="I251" s="325">
        <f t="shared" si="71"/>
        <v>0</v>
      </c>
      <c r="J251" s="325">
        <f t="shared" si="72"/>
        <v>0</v>
      </c>
      <c r="K251" s="293"/>
      <c r="L251" s="293"/>
      <c r="N251" s="66"/>
      <c r="O251" s="66"/>
    </row>
    <row r="252" spans="1:15" s="352" customFormat="1" outlineLevel="1">
      <c r="A252" s="68"/>
      <c r="B252" s="565" t="s">
        <v>1401</v>
      </c>
      <c r="C252"/>
      <c r="D252" s="353">
        <f>SUBTOTAL(9,D245:D247)</f>
        <v>1160000</v>
      </c>
      <c r="E252" s="354"/>
      <c r="F252" s="372"/>
      <c r="G252" s="111"/>
      <c r="H252" s="68"/>
      <c r="I252" s="353">
        <f>SUBTOTAL(9,I245:I245)</f>
        <v>1160000</v>
      </c>
      <c r="J252" s="353">
        <f>SUBTOTAL(9,J245:J245)</f>
        <v>0</v>
      </c>
      <c r="K252" s="353">
        <f>SUBTOTAL(9,K245:K245)</f>
        <v>1160000</v>
      </c>
      <c r="L252" s="353">
        <f>SUBTOTAL(9,L245:L245)</f>
        <v>0</v>
      </c>
    </row>
    <row r="253" spans="1:15" s="352" customFormat="1" outlineLevel="1">
      <c r="A253" s="360" t="s">
        <v>56</v>
      </c>
      <c r="B253" s="563"/>
      <c r="C253" s="361"/>
      <c r="D253" s="347"/>
      <c r="E253" s="348"/>
      <c r="F253" s="370"/>
      <c r="G253" s="111"/>
      <c r="H253" s="362"/>
      <c r="I253" s="560">
        <v>1</v>
      </c>
      <c r="J253" s="560">
        <f>1-I253</f>
        <v>0</v>
      </c>
      <c r="K253" s="560">
        <f>K258/D258</f>
        <v>0</v>
      </c>
      <c r="L253" s="560">
        <f>1-K253</f>
        <v>1</v>
      </c>
    </row>
    <row r="254" spans="1:15" outlineLevel="2">
      <c r="A254" s="202"/>
      <c r="B254" s="562" t="str">
        <f>'Plant Configuration'!C293</f>
        <v>Basis/Justification:</v>
      </c>
      <c r="C254" s="209"/>
      <c r="D254" s="524">
        <f>IF($O$7=6,0,HLOOKUP($D$5,Plant_Configuration,'Plant Configuration'!A293,FALSE))+IF($R$7=6,0,HLOOKUP($E$5,Plant_Configuration,'Plant Configuration'!A293,FALSE))+IF($U$7=6,0,HLOOKUP($F$5,Plant_Configuration,'Plant Configuration'!A293,FALSE))</f>
        <v>0</v>
      </c>
      <c r="E254" s="297">
        <v>0</v>
      </c>
      <c r="F254" s="371">
        <v>1</v>
      </c>
      <c r="H254" s="202" t="s">
        <v>868</v>
      </c>
      <c r="I254" s="325">
        <f>D254-J254</f>
        <v>0</v>
      </c>
      <c r="J254" s="325">
        <f>E254*D254</f>
        <v>0</v>
      </c>
      <c r="K254" s="293">
        <v>0</v>
      </c>
      <c r="L254" s="293">
        <f>D254-K254</f>
        <v>0</v>
      </c>
      <c r="N254" s="66"/>
      <c r="O254" s="66"/>
    </row>
    <row r="255" spans="1:15" outlineLevel="2">
      <c r="A255" s="202"/>
      <c r="B255" s="562" t="str">
        <f>'Plant Configuration'!C294</f>
        <v xml:space="preserve">Annual % of Payroll &amp; Burden based </v>
      </c>
      <c r="C255" s="209"/>
      <c r="D255" s="524">
        <f>IF($O$7=6,0,HLOOKUP($D$5,Plant_Configuration,'Plant Configuration'!A294,FALSE))+IF($R$7=6,0,HLOOKUP($E$5,Plant_Configuration,'Plant Configuration'!A294,FALSE))+IF($U$7=6,0,HLOOKUP($F$5,Plant_Configuration,'Plant Configuration'!A294,FALSE))</f>
        <v>4.0999999999999996</v>
      </c>
      <c r="E255" s="297">
        <v>0</v>
      </c>
      <c r="F255" s="371">
        <v>1</v>
      </c>
      <c r="H255" s="202" t="s">
        <v>870</v>
      </c>
      <c r="I255" s="325">
        <f>D255-J255</f>
        <v>4.0999999999999996</v>
      </c>
      <c r="J255" s="325">
        <f>E255*D255</f>
        <v>0</v>
      </c>
      <c r="K255" s="293"/>
      <c r="L255" s="293"/>
      <c r="N255" s="66"/>
      <c r="O255" s="66"/>
    </row>
    <row r="256" spans="1:15" outlineLevel="2">
      <c r="A256" s="202"/>
      <c r="B256" s="562" t="str">
        <f>'Plant Configuration'!C295</f>
        <v>on country type (10%, 15%, 20%)</v>
      </c>
      <c r="C256" s="209"/>
      <c r="D256" s="524">
        <f>IF($O$7=6,0,HLOOKUP($D$5,Plant_Configuration,'Plant Configuration'!A295,FALSE))+IF($R$7=6,0,HLOOKUP($E$5,Plant_Configuration,'Plant Configuration'!A295,FALSE))+IF($U$7=6,0,HLOOKUP($F$5,Plant_Configuration,'Plant Configuration'!A295,FALSE))</f>
        <v>0</v>
      </c>
      <c r="E256" s="297">
        <v>0</v>
      </c>
      <c r="F256" s="371">
        <v>1</v>
      </c>
      <c r="H256" s="202" t="s">
        <v>872</v>
      </c>
      <c r="I256" s="325">
        <f>D256-J256</f>
        <v>0</v>
      </c>
      <c r="J256" s="325">
        <f>E256*D256</f>
        <v>0</v>
      </c>
      <c r="K256" s="293"/>
      <c r="L256" s="293"/>
      <c r="N256" s="66"/>
      <c r="O256" s="66"/>
    </row>
    <row r="257" spans="1:15" outlineLevel="2">
      <c r="A257" s="202"/>
      <c r="B257" s="562">
        <f>'Plant Configuration'!C296</f>
        <v>0</v>
      </c>
      <c r="C257" s="186"/>
      <c r="D257" s="524">
        <f>IF($O$7=6,0,HLOOKUP($D$5,Plant_Configuration,'Plant Configuration'!A296,FALSE))+IF($R$7=6,0,HLOOKUP($E$5,Plant_Configuration,'Plant Configuration'!A296,FALSE))+IF($U$7=6,0,HLOOKUP($F$5,Plant_Configuration,'Plant Configuration'!A296,FALSE))</f>
        <v>0</v>
      </c>
      <c r="E257" s="297">
        <v>0</v>
      </c>
      <c r="F257" s="371">
        <v>1</v>
      </c>
      <c r="H257" s="202"/>
      <c r="I257" s="325">
        <f>D257-J257</f>
        <v>0</v>
      </c>
      <c r="J257" s="325">
        <f>E257*D257</f>
        <v>0</v>
      </c>
      <c r="K257" s="293"/>
      <c r="L257" s="293"/>
      <c r="N257" s="66"/>
      <c r="O257" s="66"/>
    </row>
    <row r="258" spans="1:15" s="352" customFormat="1" outlineLevel="1">
      <c r="A258" s="358"/>
      <c r="B258" s="565" t="s">
        <v>1401</v>
      </c>
      <c r="C258"/>
      <c r="D258" s="337">
        <f>SUBTOTAL(9,D254:D257)</f>
        <v>4.0999999999999996</v>
      </c>
      <c r="E258" s="354"/>
      <c r="F258" s="372"/>
      <c r="G258" s="111"/>
      <c r="H258" s="202" t="s">
        <v>873</v>
      </c>
      <c r="I258" s="353">
        <f>SUBTOTAL(9,I254:I257)</f>
        <v>4.0999999999999996</v>
      </c>
      <c r="J258" s="353">
        <f>SUBTOTAL(9,J254:J257)</f>
        <v>0</v>
      </c>
      <c r="K258" s="353">
        <f>SUBTOTAL(9,K254:K257)</f>
        <v>0</v>
      </c>
      <c r="L258" s="353">
        <f>SUBTOTAL(9,L254:L257)</f>
        <v>0</v>
      </c>
    </row>
    <row r="259" spans="1:15" s="352" customFormat="1" outlineLevel="1">
      <c r="A259" s="355" t="s">
        <v>568</v>
      </c>
      <c r="B259" s="563"/>
      <c r="C259" s="356"/>
      <c r="D259" s="347"/>
      <c r="E259" s="348"/>
      <c r="F259" s="370"/>
      <c r="G259" s="111"/>
      <c r="H259" s="357"/>
      <c r="I259" s="327">
        <f>IF(D265=0,0,I265/D265)</f>
        <v>0.71088014734985427</v>
      </c>
      <c r="J259" s="327">
        <f>1-I259</f>
        <v>0.28911985265014573</v>
      </c>
      <c r="K259" s="350">
        <f>IF(D265=0,0,K265/D265)</f>
        <v>1</v>
      </c>
      <c r="L259" s="350">
        <f>1-K259</f>
        <v>0</v>
      </c>
    </row>
    <row r="260" spans="1:15" outlineLevel="2">
      <c r="A260" s="68"/>
      <c r="B260" s="562" t="s">
        <v>1225</v>
      </c>
      <c r="C260" s="54"/>
      <c r="D260" s="524">
        <f>IF($O$7=6,0,HLOOKUP($D$5,Plant_Configuration,'Plant Configuration'!A299,FALSE))+IF($R$7=6,0,HLOOKUP($E$5,Plant_Configuration,'Plant Configuration'!A299,FALSE))+IF($U$7=6,0,HLOOKUP($F$5,Plant_Configuration,'Plant Configuration'!A299,FALSE))</f>
        <v>5238379.9999999991</v>
      </c>
      <c r="E260" s="297">
        <v>0.95</v>
      </c>
      <c r="F260" s="371">
        <v>1</v>
      </c>
      <c r="H260" s="68" t="s">
        <v>569</v>
      </c>
      <c r="I260" s="325">
        <f>D260-J260</f>
        <v>261919</v>
      </c>
      <c r="J260" s="325">
        <f>E260*D260</f>
        <v>4976460.9999999991</v>
      </c>
      <c r="K260" s="293">
        <f>F260*D260</f>
        <v>5238379.9999999991</v>
      </c>
      <c r="L260" s="293">
        <f>D260-K260</f>
        <v>0</v>
      </c>
      <c r="N260" s="66"/>
      <c r="O260" s="66"/>
    </row>
    <row r="261" spans="1:15" outlineLevel="2">
      <c r="A261" s="68"/>
      <c r="B261" s="562" t="s">
        <v>1229</v>
      </c>
      <c r="C261" s="54"/>
      <c r="D261" s="524">
        <f>IF($O$7=6,0,HLOOKUP($D$5,Plant_Configuration,'Plant Configuration'!A300,FALSE))+IF($R$7=6,0,HLOOKUP($E$5,Plant_Configuration,'Plant Configuration'!A300,FALSE))+IF($U$7=6,0,HLOOKUP($F$5,Plant_Configuration,'Plant Configuration'!A300,FALSE))</f>
        <v>100023570.68399999</v>
      </c>
      <c r="E261" s="297">
        <v>0</v>
      </c>
      <c r="F261" s="371">
        <v>1</v>
      </c>
      <c r="H261" s="68" t="s">
        <v>570</v>
      </c>
      <c r="I261" s="325">
        <f>D261-J261</f>
        <v>100023570.68399999</v>
      </c>
      <c r="J261" s="325">
        <f>E261*D261</f>
        <v>0</v>
      </c>
      <c r="K261" s="293">
        <f>F261*D261</f>
        <v>100023570.68399999</v>
      </c>
      <c r="L261" s="293">
        <f>D261-K261</f>
        <v>0</v>
      </c>
      <c r="N261" s="66"/>
      <c r="O261" s="66"/>
    </row>
    <row r="262" spans="1:15" outlineLevel="2">
      <c r="A262" s="68"/>
      <c r="B262" s="562" t="s">
        <v>1230</v>
      </c>
      <c r="C262" s="54"/>
      <c r="D262" s="524">
        <f>IF($O$7=6,0,HLOOKUP($D$5,Plant_Configuration,'Plant Configuration'!A301,FALSE))+IF($R$7=6,0,HLOOKUP($E$5,Plant_Configuration,'Plant Configuration'!A301,FALSE))+IF($U$7=6,0,HLOOKUP($F$5,Plant_Configuration,'Plant Configuration'!A301,FALSE))</f>
        <v>35810338.446399994</v>
      </c>
      <c r="E262" s="297">
        <v>1</v>
      </c>
      <c r="F262" s="371">
        <v>1</v>
      </c>
      <c r="H262" s="68" t="s">
        <v>571</v>
      </c>
      <c r="I262" s="325">
        <f>D262-J262</f>
        <v>0</v>
      </c>
      <c r="J262" s="325">
        <f>E262*D262</f>
        <v>35810338.446399994</v>
      </c>
      <c r="K262" s="293">
        <f>F262*D262</f>
        <v>35810338.446399994</v>
      </c>
      <c r="L262" s="293">
        <f>D262-K262</f>
        <v>0</v>
      </c>
      <c r="N262" s="66"/>
      <c r="O262" s="66"/>
    </row>
    <row r="263" spans="1:15" outlineLevel="2">
      <c r="A263" s="68"/>
      <c r="B263" s="562" t="str">
        <f>'Plant Configuration'!C302</f>
        <v>total cost (LM 6000)</v>
      </c>
      <c r="C263" s="54"/>
      <c r="D263" s="524">
        <f>IF($O$7=6,0,HLOOKUP($D$5,Plant_Configuration,'Plant Configuration'!A302,FALSE))+IF($R$7=6,0,HLOOKUP($E$5,Plant_Configuration,'Plant Configuration'!A302,FALSE))+IF($U$7=6,0,HLOOKUP($F$5,Plant_Configuration,'Plant Configuration'!A302,FALSE))</f>
        <v>0</v>
      </c>
      <c r="E263" s="297">
        <v>1</v>
      </c>
      <c r="F263" s="371">
        <v>1</v>
      </c>
      <c r="H263" s="68"/>
      <c r="I263" s="325">
        <f>D263-J263</f>
        <v>0</v>
      </c>
      <c r="J263" s="325">
        <f>E263*D263</f>
        <v>0</v>
      </c>
      <c r="K263" s="293"/>
      <c r="L263" s="293"/>
      <c r="N263" s="66"/>
      <c r="O263" s="66"/>
    </row>
    <row r="264" spans="1:15" outlineLevel="2">
      <c r="A264" s="68"/>
      <c r="B264" s="562" t="str">
        <f>'Plant Configuration'!C303</f>
        <v>Other</v>
      </c>
      <c r="C264" s="54"/>
      <c r="D264" s="524">
        <f>IF($O$7=6,0,HLOOKUP($D$5,Plant_Configuration,'Plant Configuration'!A303,FALSE))+IF($R$7=6,0,HLOOKUP($E$5,Plant_Configuration,'Plant Configuration'!A303,FALSE))+IF($U$7=6,0,HLOOKUP($F$5,Plant_Configuration,'Plant Configuration'!A303,FALSE))</f>
        <v>0</v>
      </c>
      <c r="E264" s="297">
        <v>1</v>
      </c>
      <c r="F264" s="371">
        <v>1</v>
      </c>
      <c r="H264" s="68"/>
      <c r="I264" s="325">
        <f>D264-J264</f>
        <v>0</v>
      </c>
      <c r="J264" s="325">
        <f>E264*D264</f>
        <v>0</v>
      </c>
      <c r="K264" s="293"/>
      <c r="L264" s="293"/>
      <c r="N264" s="66"/>
      <c r="O264" s="66"/>
    </row>
    <row r="265" spans="1:15" s="352" customFormat="1" outlineLevel="1">
      <c r="A265" s="68"/>
      <c r="B265" s="565" t="s">
        <v>1401</v>
      </c>
      <c r="C265"/>
      <c r="D265" s="353">
        <f>SUBTOTAL(9,D260:D264)</f>
        <v>141072289.13039997</v>
      </c>
      <c r="E265" s="354"/>
      <c r="F265" s="372"/>
      <c r="G265" s="111"/>
      <c r="H265" s="68"/>
      <c r="I265" s="353">
        <f>SUBTOTAL(9,I260:I264)</f>
        <v>100285489.68399999</v>
      </c>
      <c r="J265" s="353">
        <f>SUBTOTAL(9,J260:J264)</f>
        <v>40786799.446399994</v>
      </c>
      <c r="K265" s="353">
        <f>SUBTOTAL(9,K260:K264)</f>
        <v>141072289.13039997</v>
      </c>
      <c r="L265" s="353">
        <f>SUBTOTAL(9,L260:L264)</f>
        <v>0</v>
      </c>
    </row>
    <row r="266" spans="1:15" s="352" customFormat="1" outlineLevel="1">
      <c r="A266" s="355" t="s">
        <v>71</v>
      </c>
      <c r="B266" s="563"/>
      <c r="C266" s="356"/>
      <c r="D266" s="347"/>
      <c r="E266" s="348"/>
      <c r="F266" s="370"/>
      <c r="G266" s="111"/>
      <c r="H266" s="357"/>
      <c r="I266" s="327">
        <f>IF(D269=0,0,I269/D269)</f>
        <v>0</v>
      </c>
      <c r="J266" s="327">
        <f>1-I266</f>
        <v>1</v>
      </c>
      <c r="K266" s="350">
        <f>IF(D269=0,0,K269/D269)</f>
        <v>0</v>
      </c>
      <c r="L266" s="350">
        <f>1-K266</f>
        <v>1</v>
      </c>
    </row>
    <row r="267" spans="1:15" outlineLevel="2">
      <c r="A267" s="68"/>
      <c r="B267" s="562" t="str">
        <f>'Plant Configuration'!C306</f>
        <v>Administrative/Technical</v>
      </c>
      <c r="C267" s="54"/>
      <c r="D267" s="524">
        <f>IF($O$7=6,0,HLOOKUP($D$5,Plant_Configuration,'Plant Configuration'!A306,FALSE))+IF($R$7=6,0,HLOOKUP($E$5,Plant_Configuration,'Plant Configuration'!A306,FALSE))+IF($U$7=6,0,HLOOKUP($F$5,Plant_Configuration,'Plant Configuration'!A306,FALSE))</f>
        <v>0</v>
      </c>
      <c r="E267" s="297">
        <v>0</v>
      </c>
      <c r="F267" s="371">
        <v>1</v>
      </c>
      <c r="H267" s="68"/>
      <c r="I267" s="325">
        <f>D267-J267</f>
        <v>0</v>
      </c>
      <c r="J267" s="325">
        <f>E267*D267</f>
        <v>0</v>
      </c>
      <c r="K267" s="293">
        <f>F267*D267</f>
        <v>0</v>
      </c>
      <c r="L267" s="293">
        <f>D267-K267</f>
        <v>0</v>
      </c>
      <c r="N267" s="66"/>
      <c r="O267" s="66"/>
    </row>
    <row r="268" spans="1:15" outlineLevel="2">
      <c r="A268" s="68"/>
      <c r="B268" s="562" t="str">
        <f>'Plant Configuration'!C307</f>
        <v>Other</v>
      </c>
      <c r="C268" s="54"/>
      <c r="D268" s="524">
        <f>IF($O$7=6,0,HLOOKUP($D$5,Plant_Configuration,'Plant Configuration'!A307,FALSE))+IF($R$7=6,0,HLOOKUP($E$5,Plant_Configuration,'Plant Configuration'!A307,FALSE))+IF($U$7=6,0,HLOOKUP($F$5,Plant_Configuration,'Plant Configuration'!A307,FALSE))</f>
        <v>0</v>
      </c>
      <c r="E268" s="297">
        <v>0</v>
      </c>
      <c r="F268" s="371">
        <v>1</v>
      </c>
      <c r="H268" s="68"/>
      <c r="I268" s="325">
        <f>D268-J268</f>
        <v>0</v>
      </c>
      <c r="J268" s="325">
        <f>E268*D268</f>
        <v>0</v>
      </c>
      <c r="K268" s="293"/>
      <c r="L268" s="293"/>
      <c r="N268" s="66"/>
      <c r="O268" s="66"/>
    </row>
    <row r="269" spans="1:15" s="352" customFormat="1" outlineLevel="1">
      <c r="A269" s="358"/>
      <c r="B269" s="565" t="s">
        <v>1401</v>
      </c>
      <c r="C269"/>
      <c r="D269" s="353">
        <f>SUBTOTAL(9,D267:D267)</f>
        <v>0</v>
      </c>
      <c r="E269" s="354"/>
      <c r="F269" s="372"/>
      <c r="G269" s="111"/>
      <c r="H269" s="68" t="s">
        <v>695</v>
      </c>
      <c r="I269" s="353">
        <f>SUBTOTAL(9,I267:I267)</f>
        <v>0</v>
      </c>
      <c r="J269" s="353">
        <f>SUBTOTAL(9,J267:J267)</f>
        <v>0</v>
      </c>
      <c r="K269" s="353">
        <f>SUBTOTAL(9,K267:K267)</f>
        <v>0</v>
      </c>
      <c r="L269" s="353">
        <f>SUBTOTAL(9,L267:L267)</f>
        <v>0</v>
      </c>
    </row>
    <row r="270" spans="1:15" s="352" customFormat="1" outlineLevel="1">
      <c r="A270" s="355" t="s">
        <v>638</v>
      </c>
      <c r="B270" s="563"/>
      <c r="C270" s="356"/>
      <c r="D270" s="347"/>
      <c r="E270" s="348"/>
      <c r="F270" s="370"/>
      <c r="G270" s="111"/>
      <c r="H270" s="357"/>
      <c r="I270" s="327">
        <f>IF(D273=0,0,I273/D273)</f>
        <v>1</v>
      </c>
      <c r="J270" s="327">
        <f>1-I270</f>
        <v>0</v>
      </c>
      <c r="K270" s="350">
        <f>IF(D273=0,0,K273/D273)</f>
        <v>1</v>
      </c>
      <c r="L270" s="350">
        <f>1-K270</f>
        <v>0</v>
      </c>
    </row>
    <row r="271" spans="1:15" outlineLevel="2">
      <c r="A271" s="68"/>
      <c r="B271" s="564" t="str">
        <f>'Plant Configuration'!C310</f>
        <v>Project Expenses</v>
      </c>
      <c r="C271" s="143"/>
      <c r="D271" s="524">
        <f>IF($O$7=6,0,HLOOKUP($D$5,Plant_Configuration,'Plant Configuration'!A310,FALSE))+IF($R$7=6,0,HLOOKUP($E$5,Plant_Configuration,'Plant Configuration'!A310,FALSE))+IF($U$7=6,0,HLOOKUP($F$5,Plant_Configuration,'Plant Configuration'!A310,FALSE))</f>
        <v>26055.522291956309</v>
      </c>
      <c r="E271" s="297">
        <v>0</v>
      </c>
      <c r="F271" s="371">
        <v>1</v>
      </c>
      <c r="H271" s="68" t="s">
        <v>1185</v>
      </c>
      <c r="I271" s="325">
        <f>D271-J271</f>
        <v>26055.522291956309</v>
      </c>
      <c r="J271" s="325">
        <f>E271*D271</f>
        <v>0</v>
      </c>
      <c r="K271" s="293">
        <f>F271*D271</f>
        <v>26055.522291956309</v>
      </c>
      <c r="L271" s="293">
        <f>D271-K271</f>
        <v>0</v>
      </c>
      <c r="N271" s="66"/>
      <c r="O271" s="66"/>
    </row>
    <row r="272" spans="1:15" outlineLevel="2">
      <c r="A272" s="68"/>
      <c r="B272" s="564" t="str">
        <f>'Plant Configuration'!C311</f>
        <v>Other</v>
      </c>
      <c r="C272" s="54"/>
      <c r="D272" s="524">
        <f>IF($O$7=6,0,HLOOKUP($D$5,Plant_Configuration,'Plant Configuration'!A311,FALSE))+IF($R$7=6,0,HLOOKUP($E$5,Plant_Configuration,'Plant Configuration'!A311,FALSE))+IF($U$7=6,0,HLOOKUP($F$5,Plant_Configuration,'Plant Configuration'!A311,FALSE))</f>
        <v>0</v>
      </c>
      <c r="E272" s="297">
        <v>0</v>
      </c>
      <c r="F272" s="371">
        <v>1</v>
      </c>
      <c r="H272" s="68"/>
      <c r="I272" s="325">
        <f>D272-J272</f>
        <v>0</v>
      </c>
      <c r="J272" s="325">
        <f>E272*D272</f>
        <v>0</v>
      </c>
      <c r="K272" s="293"/>
      <c r="L272" s="293"/>
      <c r="N272" s="66"/>
      <c r="O272" s="66"/>
    </row>
    <row r="273" spans="1:15" s="352" customFormat="1" outlineLevel="1">
      <c r="A273" s="68"/>
      <c r="B273" s="565" t="s">
        <v>1401</v>
      </c>
      <c r="C273"/>
      <c r="D273" s="353">
        <f>SUBTOTAL(9,D271:D272)</f>
        <v>26055.522291956309</v>
      </c>
      <c r="E273" s="354"/>
      <c r="F273" s="372"/>
      <c r="G273" s="111"/>
      <c r="H273" s="68" t="s">
        <v>873</v>
      </c>
      <c r="I273" s="353">
        <f>SUBTOTAL(9,I271:I272)</f>
        <v>26055.522291956309</v>
      </c>
      <c r="J273" s="353">
        <f>SUBTOTAL(9,J271:J272)</f>
        <v>0</v>
      </c>
      <c r="K273" s="353">
        <f>SUBTOTAL(9,K271:K272)</f>
        <v>26055.522291956309</v>
      </c>
      <c r="L273" s="353">
        <f>SUBTOTAL(9,L271:L272)</f>
        <v>0</v>
      </c>
    </row>
    <row r="274" spans="1:15">
      <c r="A274" s="355" t="s">
        <v>1186</v>
      </c>
      <c r="B274" s="563"/>
      <c r="C274" s="356"/>
      <c r="D274" s="347"/>
      <c r="E274" s="348"/>
      <c r="F274" s="370"/>
      <c r="H274" s="357"/>
      <c r="I274" s="327">
        <f>I285/D285</f>
        <v>0.5</v>
      </c>
      <c r="J274" s="327">
        <f>1-I274</f>
        <v>0.5</v>
      </c>
      <c r="K274" s="350">
        <f>K285/D285</f>
        <v>1</v>
      </c>
      <c r="L274" s="350">
        <f>1-K274</f>
        <v>0</v>
      </c>
      <c r="N274" s="66"/>
      <c r="O274" s="66"/>
    </row>
    <row r="275" spans="1:15">
      <c r="A275" s="68"/>
      <c r="B275" s="562" t="str">
        <f>'Plant Configuration'!C314</f>
        <v>3 Trucks:</v>
      </c>
      <c r="C275" s="54"/>
      <c r="D275" s="524">
        <f>IF($O$7=6,0,HLOOKUP($D$5,Plant_Configuration,'Plant Configuration'!A314,FALSE))+IF($R$7=6,0,HLOOKUP($E$5,Plant_Configuration,'Plant Configuration'!A314,FALSE))+IF($U$7=6,0,HLOOKUP($F$5,Plant_Configuration,'Plant Configuration'!A314,FALSE))</f>
        <v>0</v>
      </c>
      <c r="E275" s="297"/>
      <c r="F275" s="371"/>
      <c r="H275" s="68"/>
      <c r="I275" s="325">
        <f t="shared" ref="I275:I284" si="73">D275-J275</f>
        <v>0</v>
      </c>
      <c r="J275" s="325">
        <f t="shared" ref="J275:J284" si="74">E275*D275</f>
        <v>0</v>
      </c>
      <c r="K275" s="293"/>
      <c r="L275" s="293"/>
      <c r="N275" s="66"/>
      <c r="O275" s="66"/>
    </row>
    <row r="276" spans="1:15">
      <c r="A276" s="68"/>
      <c r="B276" s="562" t="str">
        <f>'Plant Configuration'!C315</f>
        <v>3 x gal/15 miles x $1.5/gal x 20000 miles/yr</v>
      </c>
      <c r="C276" s="54"/>
      <c r="D276" s="524">
        <f>IF($O$7=6,0,HLOOKUP($D$5,Plant_Configuration,'Plant Configuration'!A315,FALSE))+IF($R$7=6,0,HLOOKUP($E$5,Plant_Configuration,'Plant Configuration'!A315,FALSE))+IF($U$7=6,0,HLOOKUP($F$5,Plant_Configuration,'Plant Configuration'!A315,FALSE))</f>
        <v>6000.0000000000009</v>
      </c>
      <c r="E276" s="297">
        <v>0.5</v>
      </c>
      <c r="F276" s="371">
        <v>1</v>
      </c>
      <c r="H276" s="68"/>
      <c r="I276" s="325">
        <f t="shared" si="73"/>
        <v>3000.0000000000005</v>
      </c>
      <c r="J276" s="325">
        <f t="shared" si="74"/>
        <v>3000.0000000000005</v>
      </c>
      <c r="K276" s="293">
        <f>F276*D276</f>
        <v>6000.0000000000009</v>
      </c>
      <c r="L276" s="293">
        <f>D276-K276</f>
        <v>0</v>
      </c>
      <c r="N276" s="66"/>
      <c r="O276" s="66"/>
    </row>
    <row r="277" spans="1:15">
      <c r="A277" s="68"/>
      <c r="B277" s="562" t="str">
        <f>'Plant Configuration'!C316</f>
        <v>1 Van &amp; 1 Flat-bed Truck:</v>
      </c>
      <c r="C277" s="54"/>
      <c r="D277" s="524">
        <f>IF($O$7=6,0,HLOOKUP($D$5,Plant_Configuration,'Plant Configuration'!A316,FALSE))+IF($R$7=6,0,HLOOKUP($E$5,Plant_Configuration,'Plant Configuration'!A316,FALSE))+IF($U$7=6,0,HLOOKUP($F$5,Plant_Configuration,'Plant Configuration'!A316,FALSE))</f>
        <v>0</v>
      </c>
      <c r="E277" s="297"/>
      <c r="F277" s="371"/>
      <c r="H277" s="68"/>
      <c r="I277" s="325">
        <f t="shared" si="73"/>
        <v>0</v>
      </c>
      <c r="J277" s="325">
        <f t="shared" si="74"/>
        <v>0</v>
      </c>
      <c r="K277" s="293"/>
      <c r="L277" s="293"/>
    </row>
    <row r="278" spans="1:15">
      <c r="A278" s="68"/>
      <c r="B278" s="562" t="str">
        <f>'Plant Configuration'!C317</f>
        <v>2 x gal/ 10 miles x $1.5/gal x 20 miles/day x 365 days/year</v>
      </c>
      <c r="C278" s="54"/>
      <c r="D278" s="524">
        <f>IF($O$7=6,0,HLOOKUP($D$5,Plant_Configuration,'Plant Configuration'!A317,FALSE))+IF($R$7=6,0,HLOOKUP($E$5,Plant_Configuration,'Plant Configuration'!A317,FALSE))+IF($U$7=6,0,HLOOKUP($F$5,Plant_Configuration,'Plant Configuration'!A317,FALSE))</f>
        <v>2190.0000000000005</v>
      </c>
      <c r="E278" s="297">
        <v>0.5</v>
      </c>
      <c r="F278" s="371">
        <v>1</v>
      </c>
      <c r="H278" s="68"/>
      <c r="I278" s="325">
        <f t="shared" si="73"/>
        <v>1095.0000000000002</v>
      </c>
      <c r="J278" s="325">
        <f t="shared" si="74"/>
        <v>1095.0000000000002</v>
      </c>
      <c r="K278" s="293">
        <f>F278*D278</f>
        <v>2190.0000000000005</v>
      </c>
      <c r="L278" s="293">
        <f>D278-K278</f>
        <v>0</v>
      </c>
    </row>
    <row r="279" spans="1:15">
      <c r="A279" s="68"/>
      <c r="B279" s="562" t="str">
        <f>'Plant Configuration'!C318</f>
        <v>2 Forklifts:</v>
      </c>
      <c r="C279" s="54"/>
      <c r="D279" s="524">
        <f>IF($O$7=6,0,HLOOKUP($D$5,Plant_Configuration,'Plant Configuration'!A318,FALSE))+IF($R$7=6,0,HLOOKUP($E$5,Plant_Configuration,'Plant Configuration'!A318,FALSE))+IF($U$7=6,0,HLOOKUP($F$5,Plant_Configuration,'Plant Configuration'!A318,FALSE))</f>
        <v>0</v>
      </c>
      <c r="E279" s="297"/>
      <c r="F279" s="371"/>
      <c r="H279" s="68"/>
      <c r="I279" s="325">
        <f t="shared" si="73"/>
        <v>0</v>
      </c>
      <c r="J279" s="325">
        <f t="shared" si="74"/>
        <v>0</v>
      </c>
      <c r="K279" s="293"/>
      <c r="L279" s="293"/>
    </row>
    <row r="280" spans="1:15">
      <c r="A280" s="68"/>
      <c r="B280" s="562" t="str">
        <f>'Plant Configuration'!C319</f>
        <v>2 x 2 gal/hr x $1.5/gal x 2 hr/day x 365 days/yr</v>
      </c>
      <c r="C280" s="54"/>
      <c r="D280" s="524">
        <f>IF($O$7=6,0,HLOOKUP($D$5,Plant_Configuration,'Plant Configuration'!A319,FALSE))+IF($R$7=6,0,HLOOKUP($E$5,Plant_Configuration,'Plant Configuration'!A319,FALSE))+IF($U$7=6,0,HLOOKUP($F$5,Plant_Configuration,'Plant Configuration'!A319,FALSE))</f>
        <v>4380</v>
      </c>
      <c r="E280" s="297">
        <v>0.5</v>
      </c>
      <c r="F280" s="371">
        <v>1</v>
      </c>
      <c r="H280" s="68"/>
      <c r="I280" s="325">
        <f t="shared" si="73"/>
        <v>2190</v>
      </c>
      <c r="J280" s="325">
        <f t="shared" si="74"/>
        <v>2190</v>
      </c>
      <c r="K280" s="293">
        <f>F280*D280</f>
        <v>4380</v>
      </c>
      <c r="L280" s="293">
        <f>D280-K280</f>
        <v>0</v>
      </c>
    </row>
    <row r="281" spans="1:15">
      <c r="A281" s="68"/>
      <c r="B281" s="562" t="str">
        <f>'Plant Configuration'!C320</f>
        <v>1 Crane:</v>
      </c>
      <c r="C281" s="54"/>
      <c r="D281" s="524">
        <f>IF($O$7=6,0,HLOOKUP($D$5,Plant_Configuration,'Plant Configuration'!A320,FALSE))+IF($R$7=6,0,HLOOKUP($E$5,Plant_Configuration,'Plant Configuration'!A320,FALSE))+IF($U$7=6,0,HLOOKUP($F$5,Plant_Configuration,'Plant Configuration'!A320,FALSE))</f>
        <v>0</v>
      </c>
      <c r="E281" s="297"/>
      <c r="F281" s="371"/>
      <c r="H281" s="68"/>
      <c r="I281" s="325">
        <f t="shared" si="73"/>
        <v>0</v>
      </c>
      <c r="J281" s="325">
        <f t="shared" si="74"/>
        <v>0</v>
      </c>
      <c r="K281" s="293"/>
      <c r="L281" s="293"/>
    </row>
    <row r="282" spans="1:15">
      <c r="A282" s="68"/>
      <c r="B282" s="562" t="str">
        <f>'Plant Configuration'!C321</f>
        <v>5 gal/hr x $1.5/gal x 40 days/yr x 8 hours/day</v>
      </c>
      <c r="C282" s="54"/>
      <c r="D282" s="524">
        <f>IF($O$7=6,0,HLOOKUP($D$5,Plant_Configuration,'Plant Configuration'!A321,FALSE))+IF($R$7=6,0,HLOOKUP($E$5,Plant_Configuration,'Plant Configuration'!A321,FALSE))+IF($U$7=6,0,HLOOKUP($F$5,Plant_Configuration,'Plant Configuration'!A321,FALSE))</f>
        <v>0</v>
      </c>
      <c r="E282" s="297">
        <v>0.5</v>
      </c>
      <c r="F282" s="371">
        <v>1</v>
      </c>
      <c r="H282" s="68"/>
      <c r="I282" s="325">
        <f t="shared" si="73"/>
        <v>0</v>
      </c>
      <c r="J282" s="325">
        <f t="shared" si="74"/>
        <v>0</v>
      </c>
      <c r="K282" s="293">
        <f>F282*D282</f>
        <v>0</v>
      </c>
      <c r="L282" s="293">
        <f>D282-K282</f>
        <v>0</v>
      </c>
    </row>
    <row r="283" spans="1:15">
      <c r="A283" s="68"/>
      <c r="B283" s="562" t="str">
        <f>'Plant Configuration'!C322</f>
        <v>1 Crew Boats:</v>
      </c>
      <c r="C283" s="54"/>
      <c r="D283" s="524">
        <f>IF($O$7=6,0,HLOOKUP($D$5,Plant_Configuration,'Plant Configuration'!A322,FALSE))+IF($R$7=6,0,HLOOKUP($E$5,Plant_Configuration,'Plant Configuration'!A322,FALSE))+IF($U$7=6,0,HLOOKUP($F$5,Plant_Configuration,'Plant Configuration'!A322,FALSE))</f>
        <v>0</v>
      </c>
      <c r="E283" s="297"/>
      <c r="F283" s="371"/>
      <c r="H283" s="68"/>
      <c r="I283" s="325">
        <f t="shared" si="73"/>
        <v>0</v>
      </c>
      <c r="J283" s="325">
        <f t="shared" si="74"/>
        <v>0</v>
      </c>
      <c r="K283" s="293"/>
      <c r="L283" s="293"/>
    </row>
    <row r="284" spans="1:15">
      <c r="A284" s="68"/>
      <c r="B284" s="562" t="str">
        <f>'Plant Configuration'!C323</f>
        <v>20 gal/hr x 1hr/30 miles x 30 miles x 2rd trips/d x365 days/yr x $1.5/gal x 2.0 (idle factor)</v>
      </c>
      <c r="C284" s="54"/>
      <c r="D284" s="524">
        <f>IF($O$7=6,0,HLOOKUP($D$5,Plant_Configuration,'Plant Configuration'!A323,FALSE))+IF($R$7=6,0,HLOOKUP($E$5,Plant_Configuration,'Plant Configuration'!A323,FALSE))+IF($U$7=6,0,HLOOKUP($F$5,Plant_Configuration,'Plant Configuration'!A323,FALSE))</f>
        <v>0</v>
      </c>
      <c r="E284" s="297">
        <v>0.5</v>
      </c>
      <c r="F284" s="371">
        <v>1</v>
      </c>
      <c r="H284" s="68"/>
      <c r="I284" s="325">
        <f t="shared" si="73"/>
        <v>0</v>
      </c>
      <c r="J284" s="325">
        <f t="shared" si="74"/>
        <v>0</v>
      </c>
      <c r="K284" s="293">
        <f>F284*D284</f>
        <v>0</v>
      </c>
      <c r="L284" s="293">
        <f>D284-K284</f>
        <v>0</v>
      </c>
    </row>
    <row r="285" spans="1:15" ht="13.5" thickBot="1">
      <c r="A285" s="68"/>
      <c r="B285" s="565" t="s">
        <v>1401</v>
      </c>
      <c r="C285"/>
      <c r="D285" s="353">
        <f>SUM(D276:D284)</f>
        <v>12570.000000000002</v>
      </c>
      <c r="E285" s="354"/>
      <c r="F285" s="372"/>
      <c r="H285" s="108" t="s">
        <v>1197</v>
      </c>
      <c r="I285" s="353">
        <f>SUM(I276:I284)</f>
        <v>6285.0000000000009</v>
      </c>
      <c r="J285" s="353">
        <f>SUM(J276:J284)</f>
        <v>6285.0000000000009</v>
      </c>
      <c r="K285" s="353">
        <f>SUM(K276:K284)</f>
        <v>12570.000000000002</v>
      </c>
      <c r="L285" s="353">
        <f>SUM(L276:L284)</f>
        <v>0</v>
      </c>
    </row>
    <row r="286" spans="1:15" ht="13.5" thickBot="1">
      <c r="A286" s="363"/>
      <c r="B286" s="364"/>
      <c r="C286" s="364"/>
      <c r="D286" s="365"/>
      <c r="E286" s="366"/>
      <c r="F286" s="373"/>
      <c r="H286" s="367"/>
      <c r="I286" s="561"/>
      <c r="J286" s="561"/>
      <c r="K286" s="347"/>
      <c r="L286" s="347"/>
    </row>
    <row r="287" spans="1:15">
      <c r="D287" s="71"/>
      <c r="E287" s="323"/>
      <c r="I287" s="326"/>
      <c r="J287" s="326"/>
    </row>
    <row r="288" spans="1:15">
      <c r="D288" s="70"/>
    </row>
    <row r="289" spans="1:1">
      <c r="A289" s="66" t="s">
        <v>1198</v>
      </c>
    </row>
    <row r="290" spans="1:1">
      <c r="A290" s="66" t="s">
        <v>1199</v>
      </c>
    </row>
    <row r="291" spans="1:1">
      <c r="A291" s="66" t="s">
        <v>1200</v>
      </c>
    </row>
    <row r="292" spans="1:1">
      <c r="A292" s="66" t="s">
        <v>1201</v>
      </c>
    </row>
    <row r="293" spans="1:1">
      <c r="A293" s="66" t="s">
        <v>1202</v>
      </c>
    </row>
    <row r="294" spans="1:1">
      <c r="A294" s="66" t="s">
        <v>1203</v>
      </c>
    </row>
    <row r="295" spans="1:1">
      <c r="A295" s="66" t="s">
        <v>1204</v>
      </c>
    </row>
    <row r="296" spans="1:1">
      <c r="A296" s="66" t="s">
        <v>1205</v>
      </c>
    </row>
    <row r="297" spans="1:1">
      <c r="A297" s="66" t="s">
        <v>1206</v>
      </c>
    </row>
  </sheetData>
  <dataConsolidate/>
  <mergeCells count="3">
    <mergeCell ref="O45:P46"/>
    <mergeCell ref="Q45:Q46"/>
    <mergeCell ref="S45:S46"/>
  </mergeCells>
  <printOptions horizontalCentered="1"/>
  <pageMargins left="0.75" right="0.75" top="1" bottom="1" header="0.5" footer="0.5"/>
  <pageSetup scale="43" firstPageNumber="26" fitToHeight="5" orientation="portrait" horizontalDpi="4294967292" verticalDpi="4294967292" r:id="rId1"/>
  <headerFooter alignWithMargins="0">
    <oddHeader>&amp;C&amp;"Arial,Bold Italic"&amp;16ENRON PROPRIETARY
AND CONFIDENTIAL
INFORMATION</oddHeader>
    <oddFooter>&amp;L&amp;D&amp;CPage _____&amp;R&amp;F
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5" r:id="rId4" name="Drop Down 27">
              <controlPr defaultSize="0" print="0" autoFill="0" autoLine="0" autoPict="0">
                <anchor>
                  <from>
                    <xdr:col>14</xdr:col>
                    <xdr:colOff>0</xdr:colOff>
                    <xdr:row>45</xdr:row>
                    <xdr:rowOff>133350</xdr:rowOff>
                  </from>
                  <to>
                    <xdr:col>16</xdr:col>
                    <xdr:colOff>123825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Drop Down 28">
              <controlPr defaultSize="0" print="0" autoFill="0" autoLine="0" autoPict="0">
                <anchor>
                  <from>
                    <xdr:col>16</xdr:col>
                    <xdr:colOff>438150</xdr:colOff>
                    <xdr:row>45</xdr:row>
                    <xdr:rowOff>123825</xdr:rowOff>
                  </from>
                  <to>
                    <xdr:col>18</xdr:col>
                    <xdr:colOff>209550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6" name="Drop Down 29">
              <controlPr defaultSize="0" print="0" autoFill="0" autoLine="0" autoPict="0">
                <anchor>
                  <from>
                    <xdr:col>18</xdr:col>
                    <xdr:colOff>438150</xdr:colOff>
                    <xdr:row>45</xdr:row>
                    <xdr:rowOff>123825</xdr:rowOff>
                  </from>
                  <to>
                    <xdr:col>19</xdr:col>
                    <xdr:colOff>447675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" name="Drop Down 30">
              <controlPr defaultSize="0" print="0" autoFill="0" autoLine="0" autoPict="0">
                <anchor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16</xdr:col>
                    <xdr:colOff>123825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8" name="Drop Down 31">
              <controlPr defaultSize="0" print="0" autoFill="0" autoLine="0" autoPict="0">
                <anchor>
                  <from>
                    <xdr:col>16</xdr:col>
                    <xdr:colOff>428625</xdr:colOff>
                    <xdr:row>48</xdr:row>
                    <xdr:rowOff>0</xdr:rowOff>
                  </from>
                  <to>
                    <xdr:col>18</xdr:col>
                    <xdr:colOff>200025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" name="Drop Down 32">
              <controlPr defaultSize="0" print="0" autoFill="0" autoLine="0" autoPict="0">
                <anchor>
                  <from>
                    <xdr:col>18</xdr:col>
                    <xdr:colOff>428625</xdr:colOff>
                    <xdr:row>48</xdr:row>
                    <xdr:rowOff>0</xdr:rowOff>
                  </from>
                  <to>
                    <xdr:col>19</xdr:col>
                    <xdr:colOff>438150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0" name="Drop Down 33">
              <controlPr defaultSize="0" print="0" autoFill="0" autoLine="0" autoPict="0">
                <anchor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16</xdr:col>
                    <xdr:colOff>123825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1" name="Drop Down 34">
              <controlPr defaultSize="0" print="0" autoFill="0" autoLine="0" autoPict="0">
                <anchor>
                  <from>
                    <xdr:col>16</xdr:col>
                    <xdr:colOff>438150</xdr:colOff>
                    <xdr:row>50</xdr:row>
                    <xdr:rowOff>0</xdr:rowOff>
                  </from>
                  <to>
                    <xdr:col>18</xdr:col>
                    <xdr:colOff>209550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2" name="Drop Down 35">
              <controlPr defaultSize="0" print="0" autoFill="0" autoLine="0" autoPict="0">
                <anchor>
                  <from>
                    <xdr:col>18</xdr:col>
                    <xdr:colOff>438150</xdr:colOff>
                    <xdr:row>50</xdr:row>
                    <xdr:rowOff>0</xdr:rowOff>
                  </from>
                  <to>
                    <xdr:col>19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L2379"/>
  <sheetViews>
    <sheetView showGridLines="0" zoomScale="75" workbookViewId="0">
      <pane xSplit="4" ySplit="10" topLeftCell="E307" activePane="bottomRight" state="frozen"/>
      <selection activeCell="G37" sqref="G37"/>
      <selection pane="topRight" activeCell="G37" sqref="G37"/>
      <selection pane="bottomLeft" activeCell="G37" sqref="G37"/>
      <selection pane="bottomRight" activeCell="G336" sqref="G336"/>
    </sheetView>
  </sheetViews>
  <sheetFormatPr defaultRowHeight="12.75"/>
  <cols>
    <col min="1" max="1" width="1.42578125" style="522" customWidth="1"/>
    <col min="2" max="2" width="9.28515625" style="239" customWidth="1"/>
    <col min="3" max="3" width="43.42578125" style="239" customWidth="1"/>
    <col min="4" max="4" width="4.5703125" style="239" customWidth="1"/>
    <col min="5" max="5" width="17" style="66" customWidth="1"/>
    <col min="6" max="9" width="14.42578125" customWidth="1"/>
    <col min="10" max="10" width="13.28515625" customWidth="1"/>
    <col min="11" max="11" width="13.28515625" bestFit="1" customWidth="1"/>
    <col min="12" max="12" width="12.7109375" customWidth="1"/>
  </cols>
  <sheetData>
    <row r="1" spans="1:12" ht="20.25">
      <c r="B1" s="483" t="s">
        <v>289</v>
      </c>
      <c r="E1" s="330"/>
    </row>
    <row r="2" spans="1:12">
      <c r="E2" s="330"/>
    </row>
    <row r="3" spans="1:12">
      <c r="B3" s="484" t="s">
        <v>292</v>
      </c>
      <c r="E3" s="330"/>
    </row>
    <row r="4" spans="1:12" ht="13.5" thickBot="1">
      <c r="E4" s="332"/>
    </row>
    <row r="5" spans="1:12">
      <c r="A5" s="522">
        <v>1</v>
      </c>
      <c r="B5" s="485" t="s">
        <v>290</v>
      </c>
      <c r="E5" s="476" t="s">
        <v>621</v>
      </c>
      <c r="F5" s="476" t="s">
        <v>1380</v>
      </c>
      <c r="G5" s="476" t="s">
        <v>284</v>
      </c>
      <c r="H5" s="476" t="s">
        <v>620</v>
      </c>
      <c r="I5" s="476" t="s">
        <v>1153</v>
      </c>
      <c r="J5" s="884" t="s">
        <v>1251</v>
      </c>
      <c r="K5" s="476" t="s">
        <v>49</v>
      </c>
      <c r="L5" s="476" t="s">
        <v>1157</v>
      </c>
    </row>
    <row r="6" spans="1:12">
      <c r="A6" s="522">
        <f t="shared" ref="A6:A64" si="0">+A5+1</f>
        <v>2</v>
      </c>
      <c r="B6" s="485" t="s">
        <v>1158</v>
      </c>
      <c r="E6" s="477">
        <f>IF(E5=Scope!$F$20,Scope!$E$20,IF(E5=Scope!$F$17,Scope!$E$17,IF(E5=Scope!$F$14,Scope!$E$14,0)))</f>
        <v>0</v>
      </c>
      <c r="F6" s="477">
        <f>IF(F5=Scope!$F$20,Scope!$E$20,IF(F5=Scope!$F$17,Scope!$E$17,IF(F5=Scope!$F$14,Scope!$E$14,0)))</f>
        <v>0</v>
      </c>
      <c r="G6" s="477">
        <f>IF(G5=Scope!$F$20,Scope!$E$20,IF(G5=Scope!$F$17,Scope!$E$17,IF(G5=Scope!$F$14,Scope!$E$14,0)))</f>
        <v>2</v>
      </c>
      <c r="H6" s="477">
        <f>IF(H5=Scope!$F$20,Scope!$E$20,IF(H5=Scope!$F$17,Scope!$E$17,IF(H5=Scope!$F$14,Scope!$E$14,0)))</f>
        <v>0</v>
      </c>
      <c r="I6" s="477">
        <f>IF(I5=Scope!$F$20,Scope!$E$20,IF(I5=Scope!$F$17,Scope!$E$17,IF(I5=Scope!$F$14,Scope!$E$14,0)))</f>
        <v>0</v>
      </c>
      <c r="J6" s="885"/>
      <c r="K6" s="477">
        <f>IF(K5=Scope!$F$20,Scope!$E$20,IF(K5=Scope!$F$17,Scope!$E$17,IF(K5=Scope!$F$14,Scope!$E$14,0)))</f>
        <v>0</v>
      </c>
      <c r="L6" s="477">
        <f>IF(L5=Scope!F28,Scope!E28,0)</f>
        <v>0</v>
      </c>
    </row>
    <row r="7" spans="1:12">
      <c r="A7" s="522">
        <f t="shared" si="0"/>
        <v>3</v>
      </c>
      <c r="B7" s="485" t="s">
        <v>1154</v>
      </c>
      <c r="E7" s="865">
        <f>IF(E5=Scope!$F$20,Scope!$F$21*Scope!$E$20,IF(E5=Scope!$F$17,Scope!$F$18*Scope!$E$17,IF(E5=Scope!$F$14,Scope!$F$15*Scope!$E$14,0)))</f>
        <v>0</v>
      </c>
      <c r="F7" s="865">
        <f>IF(F5=Scope!$F$20,Scope!$F$21*Scope!$E$20,IF(F5=Scope!$F$17,Scope!$F$18*Scope!$E$17,IF(F5=Scope!$F$14,Scope!$F$15*Scope!$E$14,0)))</f>
        <v>0</v>
      </c>
      <c r="G7" s="865">
        <f>IF(G5=Scope!$F$20,Scope!$F$21*Scope!$E$20,IF(G5=Scope!$F$17,Scope!$F$18*Scope!$E$17,IF(G5=Scope!$F$14,Scope!$F$15*Scope!$E$14,0)))</f>
        <v>340</v>
      </c>
      <c r="H7" s="865">
        <f>IF(H5=Scope!$F$20,Scope!$F$21*Scope!$E$20,IF(H5=Scope!$F$17,Scope!$F$18*Scope!$E$17,IF(H5=Scope!$F$14,Scope!$F$15*Scope!$E$14,0)))</f>
        <v>0</v>
      </c>
      <c r="I7" s="865">
        <f>IF(I5=Scope!$F$20,Scope!$F$21*Scope!$E$20,IF(I5=Scope!$F$17,Scope!$F$18*Scope!$E$17,IF(I5=Scope!$F$14,Scope!$F$15*Scope!$E$14,0)))</f>
        <v>0</v>
      </c>
      <c r="J7" s="886"/>
      <c r="K7" s="865">
        <f>IF(K5=Scope!$F$20,Scope!$F$21*Scope!$E$20,IF(K5=Scope!$F$17,Scope!$F$18*Scope!$E$17,IF(K5=Scope!$F$14,Scope!$F$15*Scope!$E$14,0)))</f>
        <v>0</v>
      </c>
      <c r="L7" s="855">
        <f>IF(L5=Scope!F28,Scope!F29*Scope!E28,0)</f>
        <v>0</v>
      </c>
    </row>
    <row r="8" spans="1:12" ht="13.5" thickBot="1">
      <c r="A8" s="522">
        <f t="shared" si="0"/>
        <v>4</v>
      </c>
      <c r="B8" s="239" t="s">
        <v>298</v>
      </c>
      <c r="E8" s="512">
        <f>IF(OR(E5=Scope!$F$20,E5=Scope!$F$17,E5=Scope!$F$14),Scope!$F$39*8760,0)</f>
        <v>0</v>
      </c>
      <c r="F8" s="512">
        <f>IF(OR(F5=Scope!$F$20,F5=Scope!$F$17,F5=Scope!$F$14),Scope!$F$39*8760,0)</f>
        <v>0</v>
      </c>
      <c r="G8" s="512">
        <f>IF(OR(G5=Scope!$F$20,G5=Scope!$F$17,G5=Scope!$F$14),Scope!$F$39*8760,0)</f>
        <v>8322</v>
      </c>
      <c r="H8" s="512">
        <f>IF(OR(H5=Scope!$F$20,H5=Scope!$F$17,H5=Scope!$F$14),Scope!$F$39*8760,0)</f>
        <v>0</v>
      </c>
      <c r="I8" s="512">
        <f>IF(OR(I5=Scope!$F$20,I5=Scope!$F$17,I5=Scope!$F$14),Scope!$F$39*8760,0)</f>
        <v>0</v>
      </c>
      <c r="J8" s="887"/>
      <c r="K8" s="512">
        <f>IF(OR(K5=Scope!$F$20,K5=Scope!$F$17,K5=Scope!$F$14),Scope!$F$39*8760,0)</f>
        <v>0</v>
      </c>
      <c r="L8" s="512">
        <f>IF(L5=Scope!F28,Scope!F41,0)</f>
        <v>0</v>
      </c>
    </row>
    <row r="9" spans="1:12" ht="13.5" thickBot="1">
      <c r="A9" s="522">
        <f t="shared" si="0"/>
        <v>5</v>
      </c>
      <c r="E9" s="475"/>
      <c r="F9" s="475"/>
      <c r="G9" s="475"/>
      <c r="H9" s="475"/>
      <c r="I9" s="475"/>
      <c r="J9" s="475"/>
      <c r="K9" s="475"/>
      <c r="L9" s="475"/>
    </row>
    <row r="10" spans="1:12">
      <c r="A10" s="522">
        <f t="shared" si="0"/>
        <v>6</v>
      </c>
      <c r="B10" s="485" t="s">
        <v>291</v>
      </c>
      <c r="E10" s="478">
        <f t="shared" ref="E10:K10" si="1">SUM(E13:E49)</f>
        <v>0</v>
      </c>
      <c r="F10" s="478">
        <f t="shared" si="1"/>
        <v>0</v>
      </c>
      <c r="G10" s="478">
        <f t="shared" si="1"/>
        <v>15</v>
      </c>
      <c r="H10" s="478">
        <f t="shared" si="1"/>
        <v>0</v>
      </c>
      <c r="I10" s="478">
        <f>SUM(I13:I49)</f>
        <v>0</v>
      </c>
      <c r="J10" s="880"/>
      <c r="K10" s="478">
        <f t="shared" si="1"/>
        <v>0</v>
      </c>
      <c r="L10" s="478">
        <f>SUM(L13:L49)</f>
        <v>0</v>
      </c>
    </row>
    <row r="11" spans="1:12">
      <c r="A11" s="522">
        <f t="shared" si="0"/>
        <v>7</v>
      </c>
      <c r="B11" s="486"/>
      <c r="E11" s="479"/>
      <c r="F11" s="479"/>
      <c r="G11" s="479"/>
      <c r="H11" s="479"/>
      <c r="I11" s="479"/>
      <c r="J11" s="479"/>
      <c r="K11" s="479"/>
      <c r="L11" s="479"/>
    </row>
    <row r="12" spans="1:12">
      <c r="A12" s="522">
        <f t="shared" si="0"/>
        <v>8</v>
      </c>
      <c r="B12" s="490" t="s">
        <v>266</v>
      </c>
      <c r="C12" s="486"/>
      <c r="E12" s="479"/>
      <c r="F12" s="479"/>
      <c r="G12" s="479"/>
      <c r="H12" s="479"/>
      <c r="I12" s="479"/>
      <c r="J12" s="479"/>
      <c r="K12" s="479"/>
      <c r="L12" s="479"/>
    </row>
    <row r="13" spans="1:12">
      <c r="A13" s="522">
        <f t="shared" si="0"/>
        <v>9</v>
      </c>
      <c r="B13" s="486"/>
      <c r="C13" s="487" t="s">
        <v>642</v>
      </c>
      <c r="E13" s="480"/>
      <c r="F13" s="480"/>
      <c r="G13" s="480">
        <v>1</v>
      </c>
      <c r="H13" s="480"/>
      <c r="I13" s="480"/>
      <c r="J13" s="870"/>
      <c r="K13" s="480"/>
      <c r="L13" s="480"/>
    </row>
    <row r="14" spans="1:12">
      <c r="A14" s="522">
        <f t="shared" si="0"/>
        <v>10</v>
      </c>
      <c r="B14" s="486"/>
      <c r="C14" s="487" t="s">
        <v>1336</v>
      </c>
      <c r="E14" s="480"/>
      <c r="F14" s="480"/>
      <c r="G14" s="480"/>
      <c r="H14" s="480"/>
      <c r="I14" s="480"/>
      <c r="J14" s="870"/>
      <c r="K14" s="480"/>
      <c r="L14" s="480"/>
    </row>
    <row r="15" spans="1:12">
      <c r="A15" s="522">
        <f t="shared" si="0"/>
        <v>11</v>
      </c>
      <c r="B15" s="486"/>
      <c r="C15" s="487" t="s">
        <v>257</v>
      </c>
      <c r="E15" s="480"/>
      <c r="F15" s="480"/>
      <c r="G15" s="480"/>
      <c r="H15" s="480"/>
      <c r="I15" s="480"/>
      <c r="J15" s="870"/>
      <c r="K15" s="480"/>
      <c r="L15" s="480"/>
    </row>
    <row r="16" spans="1:12">
      <c r="A16" s="522">
        <f t="shared" si="0"/>
        <v>12</v>
      </c>
      <c r="B16" s="486"/>
      <c r="C16" s="487" t="s">
        <v>248</v>
      </c>
      <c r="E16" s="480"/>
      <c r="F16" s="480"/>
      <c r="G16" s="480"/>
      <c r="H16" s="480"/>
      <c r="I16" s="480"/>
      <c r="J16" s="870"/>
      <c r="K16" s="480"/>
      <c r="L16" s="480"/>
    </row>
    <row r="17" spans="1:12">
      <c r="A17" s="522">
        <f t="shared" si="0"/>
        <v>13</v>
      </c>
      <c r="B17" s="486"/>
      <c r="C17" s="487" t="s">
        <v>258</v>
      </c>
      <c r="E17" s="480"/>
      <c r="F17" s="480"/>
      <c r="G17" s="480"/>
      <c r="H17" s="480"/>
      <c r="I17" s="480"/>
      <c r="J17" s="870"/>
      <c r="K17" s="480"/>
      <c r="L17" s="480"/>
    </row>
    <row r="18" spans="1:12">
      <c r="A18" s="522">
        <f t="shared" si="0"/>
        <v>14</v>
      </c>
      <c r="B18" s="486"/>
      <c r="C18" s="487" t="s">
        <v>259</v>
      </c>
      <c r="E18" s="480"/>
      <c r="F18" s="480"/>
      <c r="G18" s="480"/>
      <c r="H18" s="480"/>
      <c r="I18" s="480"/>
      <c r="J18" s="870"/>
      <c r="K18" s="480"/>
      <c r="L18" s="480"/>
    </row>
    <row r="19" spans="1:12">
      <c r="A19" s="522">
        <f t="shared" si="0"/>
        <v>15</v>
      </c>
      <c r="B19" s="486"/>
      <c r="C19" s="487" t="s">
        <v>1339</v>
      </c>
      <c r="E19" s="480"/>
      <c r="F19" s="480"/>
      <c r="G19" s="480">
        <v>1</v>
      </c>
      <c r="H19" s="480"/>
      <c r="I19" s="480"/>
      <c r="J19" s="870"/>
      <c r="K19" s="480"/>
      <c r="L19" s="480"/>
    </row>
    <row r="20" spans="1:12">
      <c r="A20" s="522">
        <f t="shared" si="0"/>
        <v>16</v>
      </c>
      <c r="B20" s="486"/>
      <c r="C20" s="487" t="s">
        <v>249</v>
      </c>
      <c r="E20" s="480"/>
      <c r="F20" s="480"/>
      <c r="G20" s="480"/>
      <c r="H20" s="480"/>
      <c r="I20" s="480"/>
      <c r="J20" s="870"/>
      <c r="K20" s="480"/>
      <c r="L20" s="480"/>
    </row>
    <row r="21" spans="1:12">
      <c r="A21" s="522">
        <f t="shared" si="0"/>
        <v>17</v>
      </c>
      <c r="B21" s="486"/>
      <c r="C21" s="487" t="s">
        <v>711</v>
      </c>
      <c r="E21" s="480"/>
      <c r="F21" s="480"/>
      <c r="G21" s="480"/>
      <c r="H21" s="480"/>
      <c r="I21" s="480"/>
      <c r="J21" s="870"/>
      <c r="K21" s="480"/>
      <c r="L21" s="480"/>
    </row>
    <row r="22" spans="1:12">
      <c r="A22" s="522">
        <f t="shared" si="0"/>
        <v>18</v>
      </c>
      <c r="B22" s="486"/>
      <c r="C22" s="487" t="s">
        <v>711</v>
      </c>
      <c r="E22" s="480"/>
      <c r="F22" s="480"/>
      <c r="G22" s="480"/>
      <c r="H22" s="480"/>
      <c r="I22" s="480"/>
      <c r="J22" s="870"/>
      <c r="K22" s="480"/>
      <c r="L22" s="480"/>
    </row>
    <row r="23" spans="1:12">
      <c r="A23" s="522">
        <f t="shared" si="0"/>
        <v>19</v>
      </c>
      <c r="B23" s="486"/>
      <c r="C23" s="487" t="s">
        <v>711</v>
      </c>
      <c r="E23" s="480"/>
      <c r="F23" s="480"/>
      <c r="G23" s="480"/>
      <c r="H23" s="480"/>
      <c r="I23" s="480"/>
      <c r="J23" s="870"/>
      <c r="K23" s="480"/>
      <c r="L23" s="480"/>
    </row>
    <row r="24" spans="1:12">
      <c r="A24" s="522">
        <f t="shared" si="0"/>
        <v>20</v>
      </c>
      <c r="B24" s="486"/>
      <c r="C24" s="486"/>
      <c r="E24" s="481"/>
      <c r="F24" s="481"/>
      <c r="G24" s="481"/>
      <c r="H24" s="481"/>
      <c r="I24" s="481"/>
      <c r="J24" s="871"/>
      <c r="K24" s="481"/>
      <c r="L24" s="481"/>
    </row>
    <row r="25" spans="1:12">
      <c r="A25" s="522">
        <f t="shared" si="0"/>
        <v>21</v>
      </c>
      <c r="B25" s="490" t="s">
        <v>267</v>
      </c>
      <c r="C25" s="486"/>
      <c r="E25" s="481"/>
      <c r="F25" s="481"/>
      <c r="G25" s="481"/>
      <c r="H25" s="481"/>
      <c r="I25" s="481"/>
      <c r="J25" s="871"/>
      <c r="K25" s="481"/>
      <c r="L25" s="481"/>
    </row>
    <row r="26" spans="1:12">
      <c r="A26" s="522">
        <f t="shared" si="0"/>
        <v>22</v>
      </c>
      <c r="B26" s="486"/>
      <c r="C26" s="487" t="s">
        <v>641</v>
      </c>
      <c r="E26" s="480"/>
      <c r="F26" s="480"/>
      <c r="G26" s="480">
        <v>1</v>
      </c>
      <c r="H26" s="480"/>
      <c r="I26" s="480"/>
      <c r="J26" s="870"/>
      <c r="K26" s="480"/>
      <c r="L26" s="480"/>
    </row>
    <row r="27" spans="1:12">
      <c r="A27" s="522">
        <f t="shared" si="0"/>
        <v>23</v>
      </c>
      <c r="B27" s="486"/>
      <c r="C27" s="487" t="s">
        <v>1348</v>
      </c>
      <c r="E27" s="480"/>
      <c r="F27" s="480"/>
      <c r="G27" s="480"/>
      <c r="H27" s="480"/>
      <c r="I27" s="480"/>
      <c r="J27" s="870"/>
      <c r="K27" s="480"/>
      <c r="L27" s="480"/>
    </row>
    <row r="28" spans="1:12">
      <c r="A28" s="522">
        <f t="shared" si="0"/>
        <v>24</v>
      </c>
      <c r="B28" s="486"/>
      <c r="C28" s="487" t="s">
        <v>260</v>
      </c>
      <c r="E28" s="480"/>
      <c r="F28" s="480"/>
      <c r="G28" s="480"/>
      <c r="H28" s="480"/>
      <c r="I28" s="480"/>
      <c r="J28" s="870"/>
      <c r="K28" s="480"/>
      <c r="L28" s="480"/>
    </row>
    <row r="29" spans="1:12">
      <c r="A29" s="522">
        <f t="shared" si="0"/>
        <v>25</v>
      </c>
      <c r="B29" s="486"/>
      <c r="C29" s="487" t="s">
        <v>1349</v>
      </c>
      <c r="E29" s="480"/>
      <c r="F29" s="480"/>
      <c r="G29" s="480"/>
      <c r="H29" s="480"/>
      <c r="I29" s="480"/>
      <c r="J29" s="870"/>
      <c r="K29" s="480"/>
      <c r="L29" s="480"/>
    </row>
    <row r="30" spans="1:12">
      <c r="A30" s="522">
        <f t="shared" si="0"/>
        <v>26</v>
      </c>
      <c r="B30" s="486"/>
      <c r="C30" s="487" t="s">
        <v>1350</v>
      </c>
      <c r="E30" s="480"/>
      <c r="F30" s="480"/>
      <c r="G30" s="480"/>
      <c r="H30" s="480"/>
      <c r="I30" s="480"/>
      <c r="J30" s="870"/>
      <c r="K30" s="480"/>
      <c r="L30" s="480"/>
    </row>
    <row r="31" spans="1:12">
      <c r="A31" s="522">
        <f t="shared" si="0"/>
        <v>27</v>
      </c>
      <c r="B31" s="486"/>
      <c r="C31" s="487" t="s">
        <v>261</v>
      </c>
      <c r="E31" s="480"/>
      <c r="F31" s="480"/>
      <c r="G31" s="480"/>
      <c r="H31" s="480"/>
      <c r="I31" s="480"/>
      <c r="J31" s="870"/>
      <c r="K31" s="480"/>
      <c r="L31" s="480"/>
    </row>
    <row r="32" spans="1:12">
      <c r="A32" s="522">
        <f t="shared" si="0"/>
        <v>28</v>
      </c>
      <c r="B32" s="486"/>
      <c r="C32" s="487" t="s">
        <v>1351</v>
      </c>
      <c r="E32" s="480"/>
      <c r="F32" s="480"/>
      <c r="G32" s="480"/>
      <c r="H32" s="480"/>
      <c r="I32" s="480"/>
      <c r="J32" s="870"/>
      <c r="K32" s="480"/>
      <c r="L32" s="480"/>
    </row>
    <row r="33" spans="1:12">
      <c r="A33" s="522">
        <f t="shared" si="0"/>
        <v>29</v>
      </c>
      <c r="B33" s="486"/>
      <c r="C33" s="487" t="s">
        <v>1337</v>
      </c>
      <c r="E33" s="480"/>
      <c r="F33" s="480"/>
      <c r="G33" s="480"/>
      <c r="H33" s="480"/>
      <c r="I33" s="480"/>
      <c r="J33" s="870"/>
      <c r="K33" s="480"/>
      <c r="L33" s="480"/>
    </row>
    <row r="34" spans="1:12">
      <c r="A34" s="522">
        <f t="shared" si="0"/>
        <v>30</v>
      </c>
      <c r="B34" s="486"/>
      <c r="C34" s="487" t="s">
        <v>282</v>
      </c>
      <c r="E34" s="480"/>
      <c r="F34" s="480"/>
      <c r="G34" s="480">
        <v>4</v>
      </c>
      <c r="H34" s="480"/>
      <c r="I34" s="480"/>
      <c r="J34" s="870"/>
      <c r="K34" s="480"/>
      <c r="L34" s="480"/>
    </row>
    <row r="35" spans="1:12">
      <c r="A35" s="522">
        <f t="shared" si="0"/>
        <v>31</v>
      </c>
      <c r="B35" s="486"/>
      <c r="C35" s="487" t="s">
        <v>283</v>
      </c>
      <c r="E35" s="480"/>
      <c r="F35" s="480"/>
      <c r="G35" s="480">
        <v>4</v>
      </c>
      <c r="H35" s="480"/>
      <c r="I35" s="480"/>
      <c r="J35" s="870"/>
      <c r="K35" s="480"/>
      <c r="L35" s="480"/>
    </row>
    <row r="36" spans="1:12">
      <c r="A36" s="522">
        <f t="shared" si="0"/>
        <v>32</v>
      </c>
      <c r="B36" s="486"/>
      <c r="C36" s="487" t="s">
        <v>711</v>
      </c>
      <c r="E36" s="480"/>
      <c r="F36" s="480"/>
      <c r="G36" s="480"/>
      <c r="H36" s="480"/>
      <c r="I36" s="480"/>
      <c r="J36" s="870"/>
      <c r="K36" s="480"/>
      <c r="L36" s="480"/>
    </row>
    <row r="37" spans="1:12">
      <c r="A37" s="522">
        <f t="shared" si="0"/>
        <v>33</v>
      </c>
      <c r="B37" s="486"/>
      <c r="C37" s="486"/>
      <c r="E37" s="481"/>
      <c r="F37" s="481"/>
      <c r="G37" s="481"/>
      <c r="H37" s="481"/>
      <c r="I37" s="481"/>
      <c r="J37" s="871"/>
      <c r="K37" s="481"/>
      <c r="L37" s="481"/>
    </row>
    <row r="38" spans="1:12">
      <c r="A38" s="522">
        <f t="shared" si="0"/>
        <v>34</v>
      </c>
      <c r="B38" s="490" t="s">
        <v>268</v>
      </c>
      <c r="C38" s="486"/>
      <c r="E38" s="481"/>
      <c r="F38" s="481"/>
      <c r="G38" s="481"/>
      <c r="H38" s="481"/>
      <c r="I38" s="481"/>
      <c r="J38" s="871"/>
      <c r="K38" s="481"/>
      <c r="L38" s="481"/>
    </row>
    <row r="39" spans="1:12">
      <c r="A39" s="522">
        <f t="shared" si="0"/>
        <v>35</v>
      </c>
      <c r="B39" s="486"/>
      <c r="C39" s="487" t="s">
        <v>262</v>
      </c>
      <c r="E39" s="480"/>
      <c r="F39" s="480"/>
      <c r="G39" s="480">
        <v>1</v>
      </c>
      <c r="H39" s="480"/>
      <c r="I39" s="480"/>
      <c r="J39" s="870"/>
      <c r="K39" s="480"/>
      <c r="L39" s="480"/>
    </row>
    <row r="40" spans="1:12">
      <c r="A40" s="522">
        <f t="shared" si="0"/>
        <v>36</v>
      </c>
      <c r="B40" s="486"/>
      <c r="C40" s="487" t="s">
        <v>1352</v>
      </c>
      <c r="E40" s="480"/>
      <c r="F40" s="480"/>
      <c r="G40" s="480"/>
      <c r="H40" s="480"/>
      <c r="I40" s="480"/>
      <c r="J40" s="870"/>
      <c r="K40" s="480"/>
      <c r="L40" s="480"/>
    </row>
    <row r="41" spans="1:12">
      <c r="A41" s="522">
        <f t="shared" si="0"/>
        <v>37</v>
      </c>
      <c r="B41" s="486"/>
      <c r="C41" s="487" t="s">
        <v>1338</v>
      </c>
      <c r="E41" s="480"/>
      <c r="F41" s="480"/>
      <c r="G41" s="480"/>
      <c r="H41" s="480"/>
      <c r="I41" s="480"/>
      <c r="J41" s="870"/>
      <c r="K41" s="480"/>
      <c r="L41" s="480"/>
    </row>
    <row r="42" spans="1:12">
      <c r="A42" s="522">
        <f t="shared" si="0"/>
        <v>38</v>
      </c>
      <c r="B42" s="486"/>
      <c r="C42" s="487" t="s">
        <v>1353</v>
      </c>
      <c r="E42" s="480"/>
      <c r="F42" s="480"/>
      <c r="G42" s="480">
        <v>1</v>
      </c>
      <c r="H42" s="480"/>
      <c r="I42" s="480"/>
      <c r="J42" s="870"/>
      <c r="K42" s="480"/>
      <c r="L42" s="480"/>
    </row>
    <row r="43" spans="1:12">
      <c r="A43" s="522">
        <f t="shared" si="0"/>
        <v>39</v>
      </c>
      <c r="B43" s="486"/>
      <c r="C43" s="487" t="s">
        <v>263</v>
      </c>
      <c r="E43" s="480"/>
      <c r="F43" s="480"/>
      <c r="G43" s="480"/>
      <c r="H43" s="480"/>
      <c r="I43" s="480"/>
      <c r="J43" s="870"/>
      <c r="K43" s="480"/>
      <c r="L43" s="480"/>
    </row>
    <row r="44" spans="1:12">
      <c r="A44" s="522">
        <f t="shared" si="0"/>
        <v>40</v>
      </c>
      <c r="B44" s="486"/>
      <c r="C44" s="487" t="s">
        <v>264</v>
      </c>
      <c r="E44" s="480"/>
      <c r="F44" s="480"/>
      <c r="G44" s="480">
        <v>1</v>
      </c>
      <c r="H44" s="480"/>
      <c r="I44" s="480"/>
      <c r="J44" s="870"/>
      <c r="K44" s="480"/>
      <c r="L44" s="480"/>
    </row>
    <row r="45" spans="1:12">
      <c r="A45" s="522">
        <f t="shared" si="0"/>
        <v>41</v>
      </c>
      <c r="B45" s="486"/>
      <c r="C45" s="487" t="s">
        <v>265</v>
      </c>
      <c r="E45" s="480"/>
      <c r="F45" s="480"/>
      <c r="G45" s="480">
        <v>1</v>
      </c>
      <c r="H45" s="480"/>
      <c r="I45" s="480"/>
      <c r="J45" s="870"/>
      <c r="K45" s="480"/>
      <c r="L45" s="480"/>
    </row>
    <row r="46" spans="1:12">
      <c r="A46" s="522">
        <f t="shared" si="0"/>
        <v>42</v>
      </c>
      <c r="B46" s="486"/>
      <c r="C46" s="487" t="s">
        <v>711</v>
      </c>
      <c r="E46" s="480"/>
      <c r="F46" s="480"/>
      <c r="G46" s="480"/>
      <c r="H46" s="480"/>
      <c r="I46" s="480"/>
      <c r="J46" s="870"/>
      <c r="K46" s="480"/>
      <c r="L46" s="480"/>
    </row>
    <row r="47" spans="1:12">
      <c r="A47" s="522">
        <f t="shared" si="0"/>
        <v>43</v>
      </c>
      <c r="B47" s="486"/>
      <c r="C47" s="487" t="s">
        <v>711</v>
      </c>
      <c r="E47" s="480"/>
      <c r="F47" s="480"/>
      <c r="G47" s="480"/>
      <c r="H47" s="480"/>
      <c r="I47" s="480"/>
      <c r="J47" s="870"/>
      <c r="K47" s="480"/>
      <c r="L47" s="480"/>
    </row>
    <row r="48" spans="1:12">
      <c r="A48" s="522">
        <f t="shared" si="0"/>
        <v>44</v>
      </c>
      <c r="B48" s="486"/>
      <c r="C48" s="487" t="s">
        <v>711</v>
      </c>
      <c r="E48" s="480"/>
      <c r="F48" s="480"/>
      <c r="G48" s="480"/>
      <c r="H48" s="480"/>
      <c r="I48" s="480"/>
      <c r="J48" s="870"/>
      <c r="K48" s="480"/>
      <c r="L48" s="480"/>
    </row>
    <row r="49" spans="1:12" ht="13.5" thickBot="1">
      <c r="A49" s="522">
        <f t="shared" si="0"/>
        <v>45</v>
      </c>
      <c r="B49" s="486"/>
      <c r="C49" s="487" t="s">
        <v>711</v>
      </c>
      <c r="E49" s="482"/>
      <c r="F49" s="482"/>
      <c r="G49" s="482"/>
      <c r="H49" s="482"/>
      <c r="I49" s="482"/>
      <c r="J49" s="872"/>
      <c r="K49" s="482"/>
      <c r="L49" s="482"/>
    </row>
    <row r="50" spans="1:12">
      <c r="A50" s="522">
        <f t="shared" si="0"/>
        <v>46</v>
      </c>
      <c r="E50" s="213"/>
      <c r="F50" s="213"/>
      <c r="G50" s="213"/>
      <c r="H50" s="213"/>
      <c r="I50" s="213"/>
      <c r="J50" s="213"/>
      <c r="K50" s="213"/>
      <c r="L50" s="213"/>
    </row>
    <row r="51" spans="1:12" s="132" customFormat="1" ht="18">
      <c r="A51" s="522">
        <f t="shared" si="0"/>
        <v>47</v>
      </c>
      <c r="B51" s="521" t="s">
        <v>302</v>
      </c>
      <c r="C51" s="490"/>
      <c r="D51" s="490"/>
    </row>
    <row r="52" spans="1:12">
      <c r="A52" s="522">
        <f t="shared" si="0"/>
        <v>48</v>
      </c>
      <c r="B52" s="491" t="s">
        <v>76</v>
      </c>
      <c r="C52" s="334"/>
      <c r="D52" s="486"/>
      <c r="E52" s="213"/>
      <c r="F52" s="213"/>
      <c r="G52" s="213"/>
      <c r="H52" s="213"/>
      <c r="I52" s="213"/>
      <c r="J52" s="213"/>
      <c r="K52" s="213"/>
      <c r="L52" s="213"/>
    </row>
    <row r="53" spans="1:12">
      <c r="A53" s="522">
        <f t="shared" si="0"/>
        <v>49</v>
      </c>
      <c r="C53" s="496" t="s">
        <v>682</v>
      </c>
      <c r="D53" s="486"/>
      <c r="E53" s="502">
        <f>33000*E10/110</f>
        <v>0</v>
      </c>
      <c r="F53" s="502">
        <f>33000*F10/110</f>
        <v>0</v>
      </c>
      <c r="G53" s="502">
        <f>33000*G10/110</f>
        <v>4500</v>
      </c>
      <c r="H53" s="502">
        <f>33000*H10/110</f>
        <v>0</v>
      </c>
      <c r="I53" s="502">
        <f>33000*I10/110</f>
        <v>0</v>
      </c>
      <c r="J53" s="868"/>
      <c r="K53" s="502">
        <f>33000*K10/110</f>
        <v>0</v>
      </c>
      <c r="L53" s="502">
        <f>33000*L10/110</f>
        <v>0</v>
      </c>
    </row>
    <row r="54" spans="1:12">
      <c r="A54" s="522">
        <f t="shared" si="0"/>
        <v>50</v>
      </c>
      <c r="C54" s="496" t="s">
        <v>683</v>
      </c>
      <c r="D54" s="486"/>
      <c r="E54" s="502">
        <f>42000*E10/110</f>
        <v>0</v>
      </c>
      <c r="F54" s="502">
        <f>42000*F10/110</f>
        <v>0</v>
      </c>
      <c r="G54" s="502">
        <f>42000*G10/110</f>
        <v>5727.272727272727</v>
      </c>
      <c r="H54" s="502">
        <f>42000*H10/110</f>
        <v>0</v>
      </c>
      <c r="I54" s="502">
        <f>42000*I10/110</f>
        <v>0</v>
      </c>
      <c r="J54" s="868"/>
      <c r="K54" s="502">
        <f>42000*K10/110</f>
        <v>0</v>
      </c>
      <c r="L54" s="502">
        <f>42000*L10/110</f>
        <v>0</v>
      </c>
    </row>
    <row r="55" spans="1:12">
      <c r="A55" s="522">
        <f t="shared" si="0"/>
        <v>51</v>
      </c>
      <c r="C55" s="496" t="s">
        <v>684</v>
      </c>
      <c r="D55" s="486"/>
      <c r="E55" s="502">
        <f>25000*E10/110</f>
        <v>0</v>
      </c>
      <c r="F55" s="502">
        <f>25000*F10/110</f>
        <v>0</v>
      </c>
      <c r="G55" s="502">
        <f>25000*G10/110</f>
        <v>3409.090909090909</v>
      </c>
      <c r="H55" s="502">
        <f>25000*H10/110</f>
        <v>0</v>
      </c>
      <c r="I55" s="502">
        <f>25000*I10/110</f>
        <v>0</v>
      </c>
      <c r="J55" s="868"/>
      <c r="K55" s="502">
        <f>25000*K10/110</f>
        <v>0</v>
      </c>
      <c r="L55" s="502">
        <f>25000*L10/110</f>
        <v>0</v>
      </c>
    </row>
    <row r="56" spans="1:12">
      <c r="A56" s="522">
        <f t="shared" si="0"/>
        <v>52</v>
      </c>
      <c r="C56" s="496" t="s">
        <v>685</v>
      </c>
      <c r="D56" s="486"/>
      <c r="E56" s="502">
        <f>1000*E10/4</f>
        <v>0</v>
      </c>
      <c r="F56" s="502">
        <f>1000*F10/4</f>
        <v>0</v>
      </c>
      <c r="G56" s="502">
        <f>1000*G10/4</f>
        <v>3750</v>
      </c>
      <c r="H56" s="502">
        <f>1000*H10/4</f>
        <v>0</v>
      </c>
      <c r="I56" s="502">
        <f>1000*I10/4</f>
        <v>0</v>
      </c>
      <c r="J56" s="868"/>
      <c r="K56" s="502">
        <f>1000*K10/4</f>
        <v>0</v>
      </c>
      <c r="L56" s="502">
        <f>1000*L10/4</f>
        <v>0</v>
      </c>
    </row>
    <row r="57" spans="1:12">
      <c r="A57" s="522">
        <f t="shared" si="0"/>
        <v>53</v>
      </c>
      <c r="C57" s="496" t="s">
        <v>686</v>
      </c>
      <c r="D57" s="486"/>
      <c r="E57" s="502">
        <f>12*25*E10</f>
        <v>0</v>
      </c>
      <c r="F57" s="502">
        <f>12*25*F10</f>
        <v>0</v>
      </c>
      <c r="G57" s="502">
        <f>12*25*G10</f>
        <v>4500</v>
      </c>
      <c r="H57" s="502">
        <f>12*25*H10</f>
        <v>0</v>
      </c>
      <c r="I57" s="502">
        <f>12*25*I10</f>
        <v>0</v>
      </c>
      <c r="J57" s="868"/>
      <c r="K57" s="502">
        <f>12*25*K10</f>
        <v>0</v>
      </c>
      <c r="L57" s="502">
        <f>12*25*L10</f>
        <v>0</v>
      </c>
    </row>
    <row r="58" spans="1:12">
      <c r="A58" s="522">
        <f t="shared" si="0"/>
        <v>54</v>
      </c>
      <c r="C58" s="496" t="s">
        <v>688</v>
      </c>
      <c r="D58" s="486"/>
      <c r="E58" s="502">
        <f>5600*E10/110</f>
        <v>0</v>
      </c>
      <c r="F58" s="502">
        <f>5600*F10/110</f>
        <v>0</v>
      </c>
      <c r="G58" s="502">
        <f>5600*G10/110</f>
        <v>763.63636363636363</v>
      </c>
      <c r="H58" s="502">
        <f>5600*H10/110</f>
        <v>0</v>
      </c>
      <c r="I58" s="502">
        <f>5600*I10/110</f>
        <v>0</v>
      </c>
      <c r="J58" s="868"/>
      <c r="K58" s="502">
        <f>5600*K10/110</f>
        <v>0</v>
      </c>
      <c r="L58" s="502">
        <f>5600*L10/110</f>
        <v>0</v>
      </c>
    </row>
    <row r="59" spans="1:12">
      <c r="A59" s="522">
        <f t="shared" si="0"/>
        <v>55</v>
      </c>
      <c r="C59" s="496" t="s">
        <v>689</v>
      </c>
      <c r="D59" s="486"/>
      <c r="E59" s="502">
        <v>0</v>
      </c>
      <c r="F59" s="502">
        <v>0</v>
      </c>
      <c r="G59" s="502">
        <v>0</v>
      </c>
      <c r="H59" s="502">
        <v>0</v>
      </c>
      <c r="I59" s="502">
        <v>0</v>
      </c>
      <c r="J59" s="868"/>
      <c r="K59" s="502">
        <v>0</v>
      </c>
      <c r="L59" s="502">
        <v>0</v>
      </c>
    </row>
    <row r="60" spans="1:12">
      <c r="A60" s="522">
        <f t="shared" si="0"/>
        <v>56</v>
      </c>
      <c r="C60" s="496" t="s">
        <v>711</v>
      </c>
      <c r="D60" s="486"/>
      <c r="E60" s="502">
        <v>0</v>
      </c>
      <c r="F60" s="502">
        <v>0</v>
      </c>
      <c r="G60" s="502">
        <v>0</v>
      </c>
      <c r="H60" s="502">
        <v>0</v>
      </c>
      <c r="I60" s="502">
        <v>0</v>
      </c>
      <c r="J60" s="868"/>
      <c r="K60" s="502">
        <v>0</v>
      </c>
      <c r="L60" s="502">
        <v>0</v>
      </c>
    </row>
    <row r="61" spans="1:12">
      <c r="A61" s="522">
        <f t="shared" si="0"/>
        <v>57</v>
      </c>
      <c r="B61" s="492"/>
      <c r="C61" s="493" t="s">
        <v>1401</v>
      </c>
      <c r="D61" s="486"/>
      <c r="E61" s="508">
        <f t="shared" ref="E61:L61" si="2">SUBTOTAL(9,E53:E60)</f>
        <v>0</v>
      </c>
      <c r="F61" s="508">
        <f t="shared" si="2"/>
        <v>0</v>
      </c>
      <c r="G61" s="508">
        <f t="shared" si="2"/>
        <v>22650</v>
      </c>
      <c r="H61" s="508">
        <f t="shared" si="2"/>
        <v>0</v>
      </c>
      <c r="I61" s="508">
        <f t="shared" si="2"/>
        <v>0</v>
      </c>
      <c r="J61" s="873"/>
      <c r="K61" s="508">
        <f t="shared" si="2"/>
        <v>0</v>
      </c>
      <c r="L61" s="508">
        <f t="shared" si="2"/>
        <v>0</v>
      </c>
    </row>
    <row r="62" spans="1:12">
      <c r="A62" s="522">
        <f t="shared" si="0"/>
        <v>58</v>
      </c>
      <c r="B62" s="491" t="s">
        <v>692</v>
      </c>
      <c r="C62" s="497"/>
      <c r="D62" s="486"/>
      <c r="E62" s="381"/>
      <c r="F62" s="381"/>
      <c r="G62" s="381"/>
      <c r="H62" s="381"/>
      <c r="I62" s="381"/>
      <c r="J62" s="881"/>
      <c r="K62" s="381"/>
      <c r="L62" s="381"/>
    </row>
    <row r="63" spans="1:12">
      <c r="A63" s="522">
        <f t="shared" si="0"/>
        <v>59</v>
      </c>
      <c r="C63" s="496" t="s">
        <v>693</v>
      </c>
      <c r="D63" s="486"/>
      <c r="E63" s="507"/>
      <c r="F63" s="507"/>
      <c r="G63" s="507"/>
      <c r="H63" s="507"/>
      <c r="I63" s="507"/>
      <c r="J63" s="874"/>
      <c r="K63" s="507">
        <v>0</v>
      </c>
      <c r="L63" s="507">
        <v>0</v>
      </c>
    </row>
    <row r="64" spans="1:12">
      <c r="A64" s="522">
        <f t="shared" si="0"/>
        <v>60</v>
      </c>
      <c r="B64" s="332"/>
      <c r="C64" s="496" t="s">
        <v>711</v>
      </c>
      <c r="D64" s="486"/>
      <c r="E64" s="506">
        <v>0</v>
      </c>
      <c r="F64" s="506">
        <v>0</v>
      </c>
      <c r="G64" s="506">
        <v>0</v>
      </c>
      <c r="H64" s="506">
        <v>0</v>
      </c>
      <c r="I64" s="506">
        <v>0</v>
      </c>
      <c r="J64" s="875"/>
      <c r="K64" s="506">
        <v>0</v>
      </c>
      <c r="L64" s="506">
        <v>0</v>
      </c>
    </row>
    <row r="65" spans="1:12">
      <c r="A65" s="522">
        <f t="shared" ref="A65:A116" si="3">+A64+1</f>
        <v>61</v>
      </c>
      <c r="B65" s="492"/>
      <c r="C65" s="493" t="s">
        <v>1401</v>
      </c>
      <c r="D65" s="486"/>
      <c r="E65" s="508">
        <f t="shared" ref="E65:L65" si="4">SUBTOTAL(9,E63:E64)</f>
        <v>0</v>
      </c>
      <c r="F65" s="508">
        <f t="shared" si="4"/>
        <v>0</v>
      </c>
      <c r="G65" s="508">
        <f t="shared" si="4"/>
        <v>0</v>
      </c>
      <c r="H65" s="508">
        <f t="shared" si="4"/>
        <v>0</v>
      </c>
      <c r="I65" s="508">
        <f t="shared" si="4"/>
        <v>0</v>
      </c>
      <c r="J65" s="873"/>
      <c r="K65" s="508">
        <f t="shared" si="4"/>
        <v>0</v>
      </c>
      <c r="L65" s="508">
        <f t="shared" si="4"/>
        <v>0</v>
      </c>
    </row>
    <row r="66" spans="1:12">
      <c r="A66" s="522">
        <f t="shared" si="3"/>
        <v>62</v>
      </c>
      <c r="B66" s="491" t="s">
        <v>293</v>
      </c>
      <c r="C66" s="497"/>
      <c r="D66" s="486"/>
      <c r="E66" s="381"/>
      <c r="F66" s="381"/>
      <c r="G66" s="381"/>
      <c r="H66" s="381"/>
      <c r="I66" s="381"/>
      <c r="J66" s="881"/>
      <c r="K66" s="381"/>
      <c r="L66" s="381"/>
    </row>
    <row r="67" spans="1:12">
      <c r="A67" s="522">
        <f t="shared" si="3"/>
        <v>63</v>
      </c>
      <c r="C67" s="496" t="s">
        <v>697</v>
      </c>
      <c r="D67" s="486"/>
      <c r="E67" s="382">
        <f t="shared" ref="E67:K67" si="5">E7/1200*11700</f>
        <v>0</v>
      </c>
      <c r="F67" s="382">
        <f t="shared" si="5"/>
        <v>0</v>
      </c>
      <c r="G67" s="382">
        <f t="shared" si="5"/>
        <v>3315</v>
      </c>
      <c r="H67" s="382">
        <f t="shared" si="5"/>
        <v>0</v>
      </c>
      <c r="I67" s="382">
        <f t="shared" si="5"/>
        <v>0</v>
      </c>
      <c r="J67" s="876"/>
      <c r="K67" s="382">
        <f t="shared" si="5"/>
        <v>0</v>
      </c>
      <c r="L67" s="382">
        <f>L7/7/1200*11700</f>
        <v>0</v>
      </c>
    </row>
    <row r="68" spans="1:12">
      <c r="A68" s="522">
        <f t="shared" si="3"/>
        <v>64</v>
      </c>
      <c r="C68" s="496" t="s">
        <v>85</v>
      </c>
      <c r="D68" s="486"/>
      <c r="E68" s="382">
        <f>E7/1200*38500</f>
        <v>0</v>
      </c>
      <c r="F68" s="382">
        <f>F7/1200*38500</f>
        <v>0</v>
      </c>
      <c r="G68" s="382">
        <f>G7/1200*38500</f>
        <v>10908.333333333334</v>
      </c>
      <c r="H68" s="382">
        <f>H7/1200*38500</f>
        <v>0</v>
      </c>
      <c r="I68" s="382">
        <f>I7/1200*38500</f>
        <v>0</v>
      </c>
      <c r="J68" s="876"/>
      <c r="K68" s="382">
        <f>K7/1200*38500</f>
        <v>0</v>
      </c>
      <c r="L68" s="382">
        <f>L7/7/1200*38500</f>
        <v>0</v>
      </c>
    </row>
    <row r="69" spans="1:12">
      <c r="A69" s="522">
        <f t="shared" si="3"/>
        <v>65</v>
      </c>
      <c r="C69" s="496" t="s">
        <v>702</v>
      </c>
      <c r="D69" s="486"/>
      <c r="E69" s="382">
        <f>E7/1200*13650</f>
        <v>0</v>
      </c>
      <c r="F69" s="382">
        <f>F7/1200*13650</f>
        <v>0</v>
      </c>
      <c r="G69" s="382">
        <f>G7/1200*13650</f>
        <v>3867.5</v>
      </c>
      <c r="H69" s="382">
        <f>H7/1200*13650</f>
        <v>0</v>
      </c>
      <c r="I69" s="382">
        <f>I7/1200*13650</f>
        <v>0</v>
      </c>
      <c r="J69" s="876"/>
      <c r="K69" s="382">
        <f>K7/1200*13650</f>
        <v>0</v>
      </c>
      <c r="L69" s="382">
        <f>L7/7/1200*13650</f>
        <v>0</v>
      </c>
    </row>
    <row r="70" spans="1:12">
      <c r="A70" s="522">
        <f t="shared" si="3"/>
        <v>66</v>
      </c>
      <c r="C70" s="496" t="s">
        <v>705</v>
      </c>
      <c r="D70" s="486"/>
      <c r="E70" s="382">
        <v>0</v>
      </c>
      <c r="F70" s="382">
        <v>0</v>
      </c>
      <c r="G70" s="382">
        <v>0</v>
      </c>
      <c r="H70" s="382">
        <v>1</v>
      </c>
      <c r="I70" s="382">
        <v>1</v>
      </c>
      <c r="J70" s="876"/>
      <c r="K70" s="382">
        <f>J70</f>
        <v>0</v>
      </c>
      <c r="L70" s="382">
        <v>0</v>
      </c>
    </row>
    <row r="71" spans="1:12">
      <c r="A71" s="522">
        <f t="shared" si="3"/>
        <v>67</v>
      </c>
      <c r="C71" s="496" t="s">
        <v>703</v>
      </c>
      <c r="D71" s="486"/>
      <c r="E71" s="382">
        <f>10000*E6</f>
        <v>0</v>
      </c>
      <c r="F71" s="382">
        <f>10000*F6</f>
        <v>0</v>
      </c>
      <c r="G71" s="382">
        <f>10000*G6</f>
        <v>20000</v>
      </c>
      <c r="H71" s="382">
        <f>10000*H6</f>
        <v>0</v>
      </c>
      <c r="I71" s="382">
        <f>10000*I6</f>
        <v>0</v>
      </c>
      <c r="J71" s="876"/>
      <c r="K71" s="382">
        <f>10000*K6</f>
        <v>0</v>
      </c>
      <c r="L71" s="382">
        <f>10000*L6</f>
        <v>0</v>
      </c>
    </row>
    <row r="72" spans="1:12">
      <c r="A72" s="522">
        <f t="shared" si="3"/>
        <v>68</v>
      </c>
      <c r="C72" s="496" t="s">
        <v>710</v>
      </c>
      <c r="D72" s="486"/>
      <c r="E72" s="382">
        <v>0</v>
      </c>
      <c r="F72" s="382">
        <v>0</v>
      </c>
      <c r="G72" s="382">
        <v>0</v>
      </c>
      <c r="H72" s="382">
        <v>0</v>
      </c>
      <c r="I72" s="382">
        <v>0</v>
      </c>
      <c r="J72" s="876"/>
      <c r="K72" s="502">
        <f t="shared" ref="K72:L74" si="6">J72</f>
        <v>0</v>
      </c>
      <c r="L72" s="502">
        <f t="shared" si="6"/>
        <v>0</v>
      </c>
    </row>
    <row r="73" spans="1:12">
      <c r="A73" s="522">
        <f t="shared" si="3"/>
        <v>69</v>
      </c>
      <c r="C73" s="496" t="s">
        <v>711</v>
      </c>
      <c r="D73" s="486"/>
      <c r="E73" s="382">
        <v>0</v>
      </c>
      <c r="F73" s="382">
        <v>0</v>
      </c>
      <c r="G73" s="382">
        <v>0</v>
      </c>
      <c r="H73" s="382">
        <v>0</v>
      </c>
      <c r="I73" s="382">
        <v>0</v>
      </c>
      <c r="J73" s="876"/>
      <c r="K73" s="382">
        <f t="shared" si="6"/>
        <v>0</v>
      </c>
      <c r="L73" s="382">
        <f t="shared" si="6"/>
        <v>0</v>
      </c>
    </row>
    <row r="74" spans="1:12">
      <c r="A74" s="522">
        <f t="shared" si="3"/>
        <v>70</v>
      </c>
      <c r="B74" s="332"/>
      <c r="C74" s="496" t="s">
        <v>711</v>
      </c>
      <c r="D74" s="486"/>
      <c r="E74" s="382">
        <v>0</v>
      </c>
      <c r="F74" s="382">
        <v>0</v>
      </c>
      <c r="G74" s="382">
        <v>0</v>
      </c>
      <c r="H74" s="382">
        <v>0</v>
      </c>
      <c r="I74" s="382">
        <v>0</v>
      </c>
      <c r="J74" s="876"/>
      <c r="K74" s="382">
        <f t="shared" si="6"/>
        <v>0</v>
      </c>
      <c r="L74" s="382">
        <f t="shared" si="6"/>
        <v>0</v>
      </c>
    </row>
    <row r="75" spans="1:12">
      <c r="A75" s="522">
        <f t="shared" si="3"/>
        <v>71</v>
      </c>
      <c r="B75" s="492"/>
      <c r="C75" s="493" t="s">
        <v>1401</v>
      </c>
      <c r="D75" s="486"/>
      <c r="E75" s="503">
        <f t="shared" ref="E75:L75" si="7">SUBTOTAL(9,E67:E74)</f>
        <v>0</v>
      </c>
      <c r="F75" s="503">
        <f t="shared" si="7"/>
        <v>0</v>
      </c>
      <c r="G75" s="503">
        <f t="shared" si="7"/>
        <v>38090.833333333336</v>
      </c>
      <c r="H75" s="503">
        <f t="shared" si="7"/>
        <v>1</v>
      </c>
      <c r="I75" s="503">
        <f t="shared" si="7"/>
        <v>1</v>
      </c>
      <c r="J75" s="869"/>
      <c r="K75" s="503">
        <f t="shared" si="7"/>
        <v>0</v>
      </c>
      <c r="L75" s="503">
        <f t="shared" si="7"/>
        <v>0</v>
      </c>
    </row>
    <row r="76" spans="1:12">
      <c r="A76" s="522">
        <f t="shared" si="3"/>
        <v>72</v>
      </c>
      <c r="B76" s="491" t="s">
        <v>713</v>
      </c>
      <c r="C76" s="497"/>
      <c r="D76" s="486"/>
      <c r="E76" s="381"/>
      <c r="F76" s="381"/>
      <c r="G76" s="381"/>
      <c r="H76" s="381"/>
      <c r="I76" s="381"/>
      <c r="J76" s="881"/>
      <c r="K76" s="381"/>
      <c r="L76" s="381"/>
    </row>
    <row r="77" spans="1:12">
      <c r="A77" s="522">
        <f t="shared" si="3"/>
        <v>73</v>
      </c>
      <c r="C77" s="496" t="s">
        <v>697</v>
      </c>
      <c r="D77" s="486"/>
      <c r="E77" s="502">
        <f t="shared" ref="E77:K77" si="8">17520*E10/62</f>
        <v>0</v>
      </c>
      <c r="F77" s="502">
        <f t="shared" si="8"/>
        <v>0</v>
      </c>
      <c r="G77" s="502">
        <f t="shared" si="8"/>
        <v>4238.7096774193551</v>
      </c>
      <c r="H77" s="502">
        <f t="shared" si="8"/>
        <v>0</v>
      </c>
      <c r="I77" s="502">
        <f>17520*I10/62</f>
        <v>0</v>
      </c>
      <c r="J77" s="868"/>
      <c r="K77" s="502">
        <f t="shared" si="8"/>
        <v>0</v>
      </c>
      <c r="L77" s="502">
        <f>17520*L10/62</f>
        <v>0</v>
      </c>
    </row>
    <row r="78" spans="1:12">
      <c r="A78" s="522">
        <f t="shared" si="3"/>
        <v>74</v>
      </c>
      <c r="C78" s="496" t="s">
        <v>85</v>
      </c>
      <c r="D78" s="486"/>
      <c r="E78" s="382">
        <f>38500*E7/1200</f>
        <v>0</v>
      </c>
      <c r="F78" s="382">
        <f>38500*((Scope!$F$24*Scope!$E$23)+F7)/1200</f>
        <v>9625</v>
      </c>
      <c r="G78" s="382">
        <f>38500*G7/1200</f>
        <v>10908.333333333334</v>
      </c>
      <c r="H78" s="382">
        <f>38500*H7/1200</f>
        <v>0</v>
      </c>
      <c r="I78" s="382">
        <f>38500*I7/1200</f>
        <v>0</v>
      </c>
      <c r="J78" s="876"/>
      <c r="K78" s="382">
        <f>38500*K7/1200</f>
        <v>0</v>
      </c>
      <c r="L78" s="382">
        <v>0</v>
      </c>
    </row>
    <row r="79" spans="1:12">
      <c r="A79" s="522">
        <f t="shared" si="3"/>
        <v>75</v>
      </c>
      <c r="C79" s="496" t="s">
        <v>715</v>
      </c>
      <c r="D79" s="486"/>
      <c r="E79" s="382"/>
      <c r="F79" s="382"/>
      <c r="G79" s="382"/>
      <c r="H79" s="382"/>
      <c r="I79" s="382"/>
      <c r="J79" s="876"/>
      <c r="K79" s="382"/>
      <c r="L79" s="382"/>
    </row>
    <row r="80" spans="1:12">
      <c r="A80" s="522">
        <f t="shared" si="3"/>
        <v>76</v>
      </c>
      <c r="C80" s="496" t="s">
        <v>716</v>
      </c>
      <c r="D80" s="486"/>
      <c r="E80" s="502">
        <f t="shared" ref="E80:K80" si="9">E10/62*27985</f>
        <v>0</v>
      </c>
      <c r="F80" s="502">
        <f t="shared" si="9"/>
        <v>0</v>
      </c>
      <c r="G80" s="502">
        <f t="shared" si="9"/>
        <v>6770.5645161290322</v>
      </c>
      <c r="H80" s="502">
        <f t="shared" si="9"/>
        <v>0</v>
      </c>
      <c r="I80" s="502">
        <f>I10/62*27985</f>
        <v>0</v>
      </c>
      <c r="J80" s="868"/>
      <c r="K80" s="502">
        <f t="shared" si="9"/>
        <v>0</v>
      </c>
      <c r="L80" s="502">
        <f>L10/62*27985</f>
        <v>0</v>
      </c>
    </row>
    <row r="81" spans="1:12">
      <c r="A81" s="522">
        <f t="shared" si="3"/>
        <v>77</v>
      </c>
      <c r="C81" s="496" t="s">
        <v>705</v>
      </c>
      <c r="D81" s="486"/>
      <c r="E81" s="502">
        <f>80*75</f>
        <v>6000</v>
      </c>
      <c r="F81" s="502">
        <v>0</v>
      </c>
      <c r="G81" s="502">
        <v>0</v>
      </c>
      <c r="H81" s="502">
        <v>0</v>
      </c>
      <c r="I81" s="502">
        <v>0</v>
      </c>
      <c r="J81" s="868"/>
      <c r="K81" s="502">
        <f>80*75</f>
        <v>6000</v>
      </c>
      <c r="L81" s="502">
        <v>0</v>
      </c>
    </row>
    <row r="82" spans="1:12">
      <c r="A82" s="522">
        <f t="shared" si="3"/>
        <v>78</v>
      </c>
      <c r="C82" s="496" t="s">
        <v>717</v>
      </c>
      <c r="D82" s="486"/>
      <c r="E82" s="502"/>
      <c r="F82" s="502"/>
      <c r="G82" s="502"/>
      <c r="H82" s="502"/>
      <c r="I82" s="502"/>
      <c r="J82" s="868"/>
      <c r="K82" s="502"/>
      <c r="L82" s="502"/>
    </row>
    <row r="83" spans="1:12">
      <c r="A83" s="522">
        <f t="shared" si="3"/>
        <v>79</v>
      </c>
      <c r="B83" s="492"/>
      <c r="C83" s="493" t="s">
        <v>1401</v>
      </c>
      <c r="D83" s="486"/>
      <c r="E83" s="503">
        <f t="shared" ref="E83:L83" si="10">SUBTOTAL(9,E77:E82)</f>
        <v>6000</v>
      </c>
      <c r="F83" s="503">
        <f t="shared" si="10"/>
        <v>9625</v>
      </c>
      <c r="G83" s="503">
        <f t="shared" si="10"/>
        <v>21917.607526881722</v>
      </c>
      <c r="H83" s="503">
        <f t="shared" si="10"/>
        <v>0</v>
      </c>
      <c r="I83" s="503">
        <f t="shared" si="10"/>
        <v>0</v>
      </c>
      <c r="J83" s="869"/>
      <c r="K83" s="503">
        <f t="shared" si="10"/>
        <v>6000</v>
      </c>
      <c r="L83" s="503">
        <f t="shared" si="10"/>
        <v>0</v>
      </c>
    </row>
    <row r="84" spans="1:12">
      <c r="A84" s="522">
        <f t="shared" si="3"/>
        <v>80</v>
      </c>
      <c r="B84" s="491" t="s">
        <v>1445</v>
      </c>
      <c r="C84" s="497"/>
      <c r="D84" s="486"/>
      <c r="E84" s="381"/>
      <c r="F84" s="381"/>
      <c r="G84" s="381"/>
      <c r="H84" s="381"/>
      <c r="I84" s="381"/>
      <c r="J84" s="881"/>
      <c r="K84" s="381"/>
      <c r="L84" s="381"/>
    </row>
    <row r="85" spans="1:12">
      <c r="A85" s="522">
        <f t="shared" si="3"/>
        <v>81</v>
      </c>
      <c r="C85" s="496" t="s">
        <v>1446</v>
      </c>
      <c r="D85" s="486"/>
      <c r="E85" s="502">
        <f>80*100</f>
        <v>8000</v>
      </c>
      <c r="F85" s="502">
        <v>0</v>
      </c>
      <c r="G85" s="502">
        <v>0</v>
      </c>
      <c r="H85" s="502">
        <v>0</v>
      </c>
      <c r="I85" s="502">
        <v>0</v>
      </c>
      <c r="J85" s="868"/>
      <c r="K85" s="502">
        <v>0</v>
      </c>
      <c r="L85" s="502">
        <v>0</v>
      </c>
    </row>
    <row r="86" spans="1:12">
      <c r="A86" s="522">
        <f t="shared" si="3"/>
        <v>82</v>
      </c>
      <c r="C86" s="496" t="s">
        <v>1448</v>
      </c>
      <c r="D86" s="486"/>
      <c r="E86" s="502">
        <f t="shared" ref="E86:K86" si="11">3000*E6</f>
        <v>0</v>
      </c>
      <c r="F86" s="502">
        <f t="shared" si="11"/>
        <v>0</v>
      </c>
      <c r="G86" s="502">
        <f t="shared" si="11"/>
        <v>6000</v>
      </c>
      <c r="H86" s="502">
        <f t="shared" si="11"/>
        <v>0</v>
      </c>
      <c r="I86" s="502">
        <f>3000*I6</f>
        <v>0</v>
      </c>
      <c r="J86" s="868"/>
      <c r="K86" s="502">
        <f t="shared" si="11"/>
        <v>0</v>
      </c>
      <c r="L86" s="502">
        <v>0</v>
      </c>
    </row>
    <row r="87" spans="1:12">
      <c r="A87" s="522">
        <f t="shared" si="3"/>
        <v>83</v>
      </c>
      <c r="C87" s="496" t="s">
        <v>503</v>
      </c>
      <c r="D87" s="486"/>
      <c r="E87" s="502"/>
      <c r="F87" s="502"/>
      <c r="G87" s="502"/>
      <c r="H87" s="502"/>
      <c r="I87" s="502"/>
      <c r="J87" s="868"/>
      <c r="K87" s="502"/>
      <c r="L87" s="502"/>
    </row>
    <row r="88" spans="1:12">
      <c r="A88" s="522">
        <f t="shared" si="3"/>
        <v>84</v>
      </c>
      <c r="C88" s="496" t="s">
        <v>705</v>
      </c>
      <c r="D88" s="486"/>
      <c r="E88" s="382">
        <v>0</v>
      </c>
      <c r="F88" s="382">
        <f>E88</f>
        <v>0</v>
      </c>
      <c r="G88" s="382">
        <v>0</v>
      </c>
      <c r="H88" s="382">
        <v>0</v>
      </c>
      <c r="I88" s="382">
        <v>0</v>
      </c>
      <c r="J88" s="876"/>
      <c r="K88" s="382">
        <f>J88</f>
        <v>0</v>
      </c>
      <c r="L88" s="382">
        <f>K88</f>
        <v>0</v>
      </c>
    </row>
    <row r="89" spans="1:12">
      <c r="A89" s="522">
        <f t="shared" si="3"/>
        <v>85</v>
      </c>
      <c r="C89" s="496" t="s">
        <v>506</v>
      </c>
      <c r="D89" s="486"/>
      <c r="E89" s="502">
        <v>0</v>
      </c>
      <c r="F89" s="502">
        <f>E89</f>
        <v>0</v>
      </c>
      <c r="G89" s="502">
        <v>0</v>
      </c>
      <c r="H89" s="502">
        <v>0</v>
      </c>
      <c r="I89" s="502">
        <v>0</v>
      </c>
      <c r="J89" s="868"/>
      <c r="K89" s="502">
        <f>J89</f>
        <v>0</v>
      </c>
      <c r="L89" s="502">
        <f>K89</f>
        <v>0</v>
      </c>
    </row>
    <row r="90" spans="1:12">
      <c r="A90" s="522">
        <f t="shared" si="3"/>
        <v>86</v>
      </c>
      <c r="C90" s="496" t="s">
        <v>507</v>
      </c>
      <c r="D90" s="486"/>
      <c r="E90" s="502">
        <f t="shared" ref="E90:K90" si="12">1000*E6</f>
        <v>0</v>
      </c>
      <c r="F90" s="502">
        <f t="shared" si="12"/>
        <v>0</v>
      </c>
      <c r="G90" s="502">
        <f t="shared" si="12"/>
        <v>2000</v>
      </c>
      <c r="H90" s="502">
        <f t="shared" si="12"/>
        <v>0</v>
      </c>
      <c r="I90" s="502">
        <f>1000*I6</f>
        <v>0</v>
      </c>
      <c r="J90" s="868"/>
      <c r="K90" s="502">
        <f t="shared" si="12"/>
        <v>0</v>
      </c>
      <c r="L90" s="502">
        <v>0</v>
      </c>
    </row>
    <row r="91" spans="1:12">
      <c r="A91" s="522">
        <f t="shared" si="3"/>
        <v>87</v>
      </c>
      <c r="C91" s="496" t="s">
        <v>508</v>
      </c>
      <c r="D91" s="486"/>
      <c r="E91" s="382">
        <v>0</v>
      </c>
      <c r="F91" s="382">
        <f>E91</f>
        <v>0</v>
      </c>
      <c r="G91" s="382">
        <v>0</v>
      </c>
      <c r="H91" s="382">
        <v>0</v>
      </c>
      <c r="I91" s="382">
        <v>0</v>
      </c>
      <c r="J91" s="876"/>
      <c r="K91" s="382">
        <f>J91</f>
        <v>0</v>
      </c>
      <c r="L91" s="382">
        <f>K91</f>
        <v>0</v>
      </c>
    </row>
    <row r="92" spans="1:12">
      <c r="A92" s="522">
        <f t="shared" si="3"/>
        <v>88</v>
      </c>
      <c r="C92" s="496" t="s">
        <v>509</v>
      </c>
      <c r="D92" s="486"/>
      <c r="E92" s="382">
        <v>0</v>
      </c>
      <c r="F92" s="382">
        <f>E92</f>
        <v>0</v>
      </c>
      <c r="G92" s="382">
        <v>0</v>
      </c>
      <c r="H92" s="382">
        <v>0</v>
      </c>
      <c r="I92" s="382">
        <v>0</v>
      </c>
      <c r="J92" s="876"/>
      <c r="K92" s="382">
        <f>J92</f>
        <v>0</v>
      </c>
      <c r="L92" s="382">
        <f>K92</f>
        <v>0</v>
      </c>
    </row>
    <row r="93" spans="1:12">
      <c r="A93" s="522">
        <f t="shared" si="3"/>
        <v>89</v>
      </c>
      <c r="B93" s="332"/>
      <c r="C93" s="496" t="s">
        <v>711</v>
      </c>
      <c r="D93" s="486"/>
      <c r="E93" s="502">
        <v>0</v>
      </c>
      <c r="F93" s="502">
        <v>0</v>
      </c>
      <c r="G93" s="502">
        <v>0</v>
      </c>
      <c r="H93" s="502">
        <v>0</v>
      </c>
      <c r="I93" s="502">
        <v>0</v>
      </c>
      <c r="J93" s="868"/>
      <c r="K93" s="502">
        <v>0</v>
      </c>
      <c r="L93" s="502">
        <v>0</v>
      </c>
    </row>
    <row r="94" spans="1:12">
      <c r="A94" s="522">
        <f t="shared" si="3"/>
        <v>90</v>
      </c>
      <c r="B94" s="492"/>
      <c r="C94" s="493" t="s">
        <v>1401</v>
      </c>
      <c r="D94" s="486"/>
      <c r="E94" s="503">
        <f t="shared" ref="E94:L94" si="13">SUBTOTAL(9,E85:E93)</f>
        <v>8000</v>
      </c>
      <c r="F94" s="503">
        <f t="shared" si="13"/>
        <v>0</v>
      </c>
      <c r="G94" s="503">
        <f t="shared" si="13"/>
        <v>8000</v>
      </c>
      <c r="H94" s="503">
        <f t="shared" si="13"/>
        <v>0</v>
      </c>
      <c r="I94" s="503">
        <f t="shared" si="13"/>
        <v>0</v>
      </c>
      <c r="J94" s="869"/>
      <c r="K94" s="503">
        <f t="shared" si="13"/>
        <v>0</v>
      </c>
      <c r="L94" s="503">
        <f t="shared" si="13"/>
        <v>0</v>
      </c>
    </row>
    <row r="95" spans="1:12">
      <c r="A95" s="522">
        <f t="shared" si="3"/>
        <v>91</v>
      </c>
      <c r="B95" s="491" t="s">
        <v>80</v>
      </c>
      <c r="C95" s="497"/>
      <c r="D95" s="486"/>
      <c r="E95" s="381"/>
      <c r="F95" s="381"/>
      <c r="G95" s="381"/>
      <c r="H95" s="381"/>
      <c r="I95" s="381"/>
      <c r="J95" s="881"/>
      <c r="K95" s="381"/>
      <c r="L95" s="381"/>
    </row>
    <row r="96" spans="1:12">
      <c r="A96" s="522">
        <f t="shared" si="3"/>
        <v>92</v>
      </c>
      <c r="C96" s="496" t="s">
        <v>510</v>
      </c>
      <c r="D96" s="486"/>
      <c r="E96" s="502">
        <f t="shared" ref="E96:L96" si="14">E10/110*30000</f>
        <v>0</v>
      </c>
      <c r="F96" s="502">
        <f t="shared" si="14"/>
        <v>0</v>
      </c>
      <c r="G96" s="502">
        <f t="shared" si="14"/>
        <v>4090.9090909090905</v>
      </c>
      <c r="H96" s="502">
        <f t="shared" si="14"/>
        <v>0</v>
      </c>
      <c r="I96" s="502">
        <f t="shared" si="14"/>
        <v>0</v>
      </c>
      <c r="J96" s="868"/>
      <c r="K96" s="502">
        <f t="shared" si="14"/>
        <v>0</v>
      </c>
      <c r="L96" s="502">
        <f t="shared" si="14"/>
        <v>0</v>
      </c>
    </row>
    <row r="97" spans="1:12">
      <c r="A97" s="522">
        <f t="shared" si="3"/>
        <v>93</v>
      </c>
      <c r="C97" s="496" t="s">
        <v>702</v>
      </c>
      <c r="D97" s="486"/>
      <c r="E97" s="502">
        <f t="shared" ref="E97:L97" si="15">E10/110*15000</f>
        <v>0</v>
      </c>
      <c r="F97" s="502">
        <f t="shared" si="15"/>
        <v>0</v>
      </c>
      <c r="G97" s="502">
        <f t="shared" si="15"/>
        <v>2045.4545454545453</v>
      </c>
      <c r="H97" s="502">
        <f t="shared" si="15"/>
        <v>0</v>
      </c>
      <c r="I97" s="502">
        <f t="shared" si="15"/>
        <v>0</v>
      </c>
      <c r="J97" s="868"/>
      <c r="K97" s="502">
        <f t="shared" si="15"/>
        <v>0</v>
      </c>
      <c r="L97" s="502">
        <f t="shared" si="15"/>
        <v>0</v>
      </c>
    </row>
    <row r="98" spans="1:12">
      <c r="A98" s="522">
        <f t="shared" si="3"/>
        <v>94</v>
      </c>
      <c r="C98" s="496" t="s">
        <v>511</v>
      </c>
      <c r="D98" s="486"/>
      <c r="E98" s="382">
        <f t="shared" ref="E98:L98" si="16">E10/110*6000</f>
        <v>0</v>
      </c>
      <c r="F98" s="382">
        <f t="shared" si="16"/>
        <v>0</v>
      </c>
      <c r="G98" s="382">
        <f t="shared" si="16"/>
        <v>818.18181818181813</v>
      </c>
      <c r="H98" s="382">
        <f t="shared" si="16"/>
        <v>0</v>
      </c>
      <c r="I98" s="382">
        <f t="shared" si="16"/>
        <v>0</v>
      </c>
      <c r="J98" s="876"/>
      <c r="K98" s="382">
        <f t="shared" si="16"/>
        <v>0</v>
      </c>
      <c r="L98" s="382">
        <f t="shared" si="16"/>
        <v>0</v>
      </c>
    </row>
    <row r="99" spans="1:12">
      <c r="A99" s="522">
        <f t="shared" si="3"/>
        <v>95</v>
      </c>
      <c r="C99" s="496" t="s">
        <v>705</v>
      </c>
      <c r="D99" s="486"/>
      <c r="E99" s="382">
        <v>0</v>
      </c>
      <c r="F99" s="382">
        <v>0</v>
      </c>
      <c r="G99" s="382">
        <v>0</v>
      </c>
      <c r="H99" s="382">
        <v>0</v>
      </c>
      <c r="I99" s="382">
        <v>0</v>
      </c>
      <c r="J99" s="876"/>
      <c r="K99" s="382">
        <v>0</v>
      </c>
      <c r="L99" s="382">
        <v>0</v>
      </c>
    </row>
    <row r="100" spans="1:12">
      <c r="A100" s="522">
        <f t="shared" si="3"/>
        <v>96</v>
      </c>
      <c r="C100" s="496" t="s">
        <v>1428</v>
      </c>
      <c r="D100" s="486"/>
      <c r="E100" s="382">
        <v>10000</v>
      </c>
      <c r="F100" s="382">
        <v>10000</v>
      </c>
      <c r="G100" s="382">
        <v>10000</v>
      </c>
      <c r="H100" s="382">
        <v>10000</v>
      </c>
      <c r="I100" s="382">
        <v>10000</v>
      </c>
      <c r="J100" s="876"/>
      <c r="K100" s="382">
        <v>10000</v>
      </c>
      <c r="L100" s="382">
        <v>10000</v>
      </c>
    </row>
    <row r="101" spans="1:12">
      <c r="A101" s="522">
        <f t="shared" si="3"/>
        <v>97</v>
      </c>
      <c r="C101" s="496" t="s">
        <v>1430</v>
      </c>
      <c r="D101" s="486"/>
      <c r="E101" s="382">
        <v>2400</v>
      </c>
      <c r="F101" s="382">
        <v>2400</v>
      </c>
      <c r="G101" s="382">
        <v>2400</v>
      </c>
      <c r="H101" s="382">
        <v>2400</v>
      </c>
      <c r="I101" s="382">
        <v>2400</v>
      </c>
      <c r="J101" s="876"/>
      <c r="K101" s="382">
        <v>2400</v>
      </c>
      <c r="L101" s="382">
        <v>2400</v>
      </c>
    </row>
    <row r="102" spans="1:12">
      <c r="A102" s="522">
        <f t="shared" si="3"/>
        <v>98</v>
      </c>
      <c r="C102" s="496" t="s">
        <v>514</v>
      </c>
      <c r="D102" s="486"/>
      <c r="E102" s="382">
        <v>2000</v>
      </c>
      <c r="F102" s="382">
        <v>2000</v>
      </c>
      <c r="G102" s="382">
        <v>2000</v>
      </c>
      <c r="H102" s="382">
        <v>2000</v>
      </c>
      <c r="I102" s="382">
        <v>2000</v>
      </c>
      <c r="J102" s="876"/>
      <c r="K102" s="382">
        <v>2000</v>
      </c>
      <c r="L102" s="382">
        <v>2000</v>
      </c>
    </row>
    <row r="103" spans="1:12">
      <c r="A103" s="522">
        <f t="shared" si="3"/>
        <v>99</v>
      </c>
      <c r="C103" s="496" t="s">
        <v>1429</v>
      </c>
      <c r="D103" s="486"/>
      <c r="E103" s="382">
        <v>6000</v>
      </c>
      <c r="F103" s="382">
        <v>6000</v>
      </c>
      <c r="G103" s="382">
        <v>6000</v>
      </c>
      <c r="H103" s="382">
        <v>6000</v>
      </c>
      <c r="I103" s="382">
        <v>6000</v>
      </c>
      <c r="J103" s="876"/>
      <c r="K103" s="382">
        <v>6000</v>
      </c>
      <c r="L103" s="382">
        <v>6000</v>
      </c>
    </row>
    <row r="104" spans="1:12">
      <c r="A104" s="522">
        <f t="shared" si="3"/>
        <v>100</v>
      </c>
      <c r="C104" s="496" t="s">
        <v>1433</v>
      </c>
      <c r="D104" s="486"/>
      <c r="E104" s="382">
        <v>12000</v>
      </c>
      <c r="F104" s="382">
        <v>12000</v>
      </c>
      <c r="G104" s="382">
        <v>12000</v>
      </c>
      <c r="H104" s="382">
        <v>12000</v>
      </c>
      <c r="I104" s="382">
        <v>12000</v>
      </c>
      <c r="J104" s="876"/>
      <c r="K104" s="382">
        <v>12000</v>
      </c>
      <c r="L104" s="382">
        <v>12000</v>
      </c>
    </row>
    <row r="105" spans="1:12">
      <c r="A105" s="522">
        <f t="shared" si="3"/>
        <v>101</v>
      </c>
      <c r="C105" s="496" t="s">
        <v>1434</v>
      </c>
      <c r="D105" s="486"/>
      <c r="E105" s="382">
        <v>0</v>
      </c>
      <c r="F105" s="382">
        <v>0</v>
      </c>
      <c r="G105" s="382">
        <v>0</v>
      </c>
      <c r="H105" s="382">
        <v>0</v>
      </c>
      <c r="I105" s="382">
        <v>0</v>
      </c>
      <c r="J105" s="876"/>
      <c r="K105" s="382">
        <v>0</v>
      </c>
      <c r="L105" s="382">
        <v>0</v>
      </c>
    </row>
    <row r="106" spans="1:12">
      <c r="A106" s="522">
        <f t="shared" si="3"/>
        <v>102</v>
      </c>
      <c r="C106" s="496" t="s">
        <v>517</v>
      </c>
      <c r="D106" s="486"/>
      <c r="E106" s="382">
        <v>0</v>
      </c>
      <c r="F106" s="382">
        <v>0</v>
      </c>
      <c r="G106" s="382">
        <v>0</v>
      </c>
      <c r="H106" s="382">
        <v>0</v>
      </c>
      <c r="I106" s="382">
        <v>0</v>
      </c>
      <c r="J106" s="876"/>
      <c r="K106" s="382">
        <v>0</v>
      </c>
      <c r="L106" s="382">
        <v>0</v>
      </c>
    </row>
    <row r="107" spans="1:12">
      <c r="A107" s="522">
        <f t="shared" si="3"/>
        <v>103</v>
      </c>
      <c r="C107" s="496" t="s">
        <v>708</v>
      </c>
      <c r="D107" s="486"/>
      <c r="E107" s="382">
        <v>2000</v>
      </c>
      <c r="F107" s="382">
        <v>2000</v>
      </c>
      <c r="G107" s="382">
        <v>2000</v>
      </c>
      <c r="H107" s="382">
        <v>2000</v>
      </c>
      <c r="I107" s="382">
        <v>2000</v>
      </c>
      <c r="J107" s="876"/>
      <c r="K107" s="382">
        <v>2000</v>
      </c>
      <c r="L107" s="382">
        <v>2000</v>
      </c>
    </row>
    <row r="108" spans="1:12">
      <c r="A108" s="522">
        <f t="shared" si="3"/>
        <v>104</v>
      </c>
      <c r="C108" s="496" t="s">
        <v>519</v>
      </c>
      <c r="D108" s="486"/>
      <c r="E108" s="382">
        <v>2400</v>
      </c>
      <c r="F108" s="382">
        <v>2400</v>
      </c>
      <c r="G108" s="382">
        <v>2400</v>
      </c>
      <c r="H108" s="382">
        <v>2400</v>
      </c>
      <c r="I108" s="382">
        <v>2400</v>
      </c>
      <c r="J108" s="876"/>
      <c r="K108" s="382">
        <v>2400</v>
      </c>
      <c r="L108" s="382">
        <v>2400</v>
      </c>
    </row>
    <row r="109" spans="1:12">
      <c r="A109" s="522">
        <f t="shared" si="3"/>
        <v>105</v>
      </c>
      <c r="C109" s="496" t="s">
        <v>508</v>
      </c>
      <c r="D109" s="486"/>
      <c r="E109" s="382">
        <v>0</v>
      </c>
      <c r="F109" s="382">
        <v>0</v>
      </c>
      <c r="G109" s="382">
        <v>0</v>
      </c>
      <c r="H109" s="382">
        <v>0</v>
      </c>
      <c r="I109" s="382">
        <v>0</v>
      </c>
      <c r="J109" s="876"/>
      <c r="K109" s="382">
        <v>0</v>
      </c>
      <c r="L109" s="382">
        <v>0</v>
      </c>
    </row>
    <row r="110" spans="1:12">
      <c r="A110" s="522">
        <f t="shared" si="3"/>
        <v>106</v>
      </c>
      <c r="C110" s="496" t="s">
        <v>521</v>
      </c>
      <c r="D110" s="486"/>
      <c r="E110" s="382">
        <v>1000</v>
      </c>
      <c r="F110" s="382">
        <v>1000</v>
      </c>
      <c r="G110" s="382">
        <v>1000</v>
      </c>
      <c r="H110" s="382">
        <v>1000</v>
      </c>
      <c r="I110" s="382">
        <v>1000</v>
      </c>
      <c r="J110" s="876"/>
      <c r="K110" s="382">
        <v>1000</v>
      </c>
      <c r="L110" s="382">
        <v>1000</v>
      </c>
    </row>
    <row r="111" spans="1:12">
      <c r="A111" s="522">
        <f t="shared" si="3"/>
        <v>107</v>
      </c>
      <c r="C111" s="496" t="s">
        <v>523</v>
      </c>
      <c r="D111" s="486"/>
      <c r="E111" s="382">
        <v>3000</v>
      </c>
      <c r="F111" s="382">
        <v>3000</v>
      </c>
      <c r="G111" s="382">
        <v>3000</v>
      </c>
      <c r="H111" s="382">
        <v>3000</v>
      </c>
      <c r="I111" s="382">
        <v>3000</v>
      </c>
      <c r="J111" s="876"/>
      <c r="K111" s="382">
        <v>3000</v>
      </c>
      <c r="L111" s="382">
        <v>3000</v>
      </c>
    </row>
    <row r="112" spans="1:12">
      <c r="A112" s="522">
        <f t="shared" si="3"/>
        <v>108</v>
      </c>
      <c r="C112" s="496" t="s">
        <v>525</v>
      </c>
      <c r="D112" s="486"/>
      <c r="E112" s="382">
        <v>2000</v>
      </c>
      <c r="F112" s="382">
        <v>2000</v>
      </c>
      <c r="G112" s="382">
        <v>2000</v>
      </c>
      <c r="H112" s="382">
        <v>2000</v>
      </c>
      <c r="I112" s="382">
        <v>2000</v>
      </c>
      <c r="J112" s="876"/>
      <c r="K112" s="382">
        <v>2000</v>
      </c>
      <c r="L112" s="382">
        <v>2000</v>
      </c>
    </row>
    <row r="113" spans="1:12">
      <c r="A113" s="522">
        <f t="shared" si="3"/>
        <v>109</v>
      </c>
      <c r="C113" s="496" t="s">
        <v>527</v>
      </c>
      <c r="D113" s="486"/>
      <c r="E113" s="382">
        <v>0</v>
      </c>
      <c r="F113" s="382">
        <v>0</v>
      </c>
      <c r="G113" s="382">
        <v>0</v>
      </c>
      <c r="H113" s="382">
        <v>0</v>
      </c>
      <c r="I113" s="382">
        <v>0</v>
      </c>
      <c r="J113" s="876"/>
      <c r="K113" s="382">
        <v>0</v>
      </c>
      <c r="L113" s="382">
        <v>0</v>
      </c>
    </row>
    <row r="114" spans="1:12">
      <c r="A114" s="522">
        <f t="shared" si="3"/>
        <v>110</v>
      </c>
      <c r="C114" s="496" t="s">
        <v>528</v>
      </c>
      <c r="D114" s="486"/>
      <c r="E114" s="382">
        <v>1000</v>
      </c>
      <c r="F114" s="382">
        <v>1000</v>
      </c>
      <c r="G114" s="382">
        <v>1000</v>
      </c>
      <c r="H114" s="382">
        <v>1000</v>
      </c>
      <c r="I114" s="382">
        <v>1000</v>
      </c>
      <c r="J114" s="876"/>
      <c r="K114" s="382">
        <v>1000</v>
      </c>
      <c r="L114" s="382">
        <v>1000</v>
      </c>
    </row>
    <row r="115" spans="1:12">
      <c r="A115" s="522">
        <f t="shared" si="3"/>
        <v>111</v>
      </c>
      <c r="C115" s="496" t="s">
        <v>530</v>
      </c>
      <c r="D115" s="486"/>
      <c r="E115" s="382">
        <v>3600</v>
      </c>
      <c r="F115" s="382">
        <v>3600</v>
      </c>
      <c r="G115" s="382">
        <v>3600</v>
      </c>
      <c r="H115" s="382">
        <v>3600</v>
      </c>
      <c r="I115" s="382">
        <v>3600</v>
      </c>
      <c r="J115" s="876"/>
      <c r="K115" s="382">
        <v>3600</v>
      </c>
      <c r="L115" s="382">
        <v>3600</v>
      </c>
    </row>
    <row r="116" spans="1:12">
      <c r="A116" s="522">
        <f t="shared" si="3"/>
        <v>112</v>
      </c>
      <c r="C116" s="496" t="s">
        <v>531</v>
      </c>
      <c r="D116" s="486"/>
      <c r="E116" s="382">
        <v>12000</v>
      </c>
      <c r="F116" s="382">
        <v>12000</v>
      </c>
      <c r="G116" s="382">
        <v>12000</v>
      </c>
      <c r="H116" s="382">
        <v>12000</v>
      </c>
      <c r="I116" s="382">
        <v>12000</v>
      </c>
      <c r="J116" s="876"/>
      <c r="K116" s="382">
        <v>12000</v>
      </c>
      <c r="L116" s="382">
        <v>12000</v>
      </c>
    </row>
    <row r="117" spans="1:12">
      <c r="A117" s="522">
        <f t="shared" ref="A117:A180" si="17">+A116+1</f>
        <v>113</v>
      </c>
      <c r="C117" s="496" t="s">
        <v>533</v>
      </c>
      <c r="D117" s="486"/>
      <c r="E117" s="382">
        <v>1000</v>
      </c>
      <c r="F117" s="382">
        <v>1000</v>
      </c>
      <c r="G117" s="382">
        <v>1000</v>
      </c>
      <c r="H117" s="382">
        <v>1000</v>
      </c>
      <c r="I117" s="382">
        <v>1000</v>
      </c>
      <c r="J117" s="876"/>
      <c r="K117" s="382">
        <v>1000</v>
      </c>
      <c r="L117" s="382">
        <v>1000</v>
      </c>
    </row>
    <row r="118" spans="1:12">
      <c r="A118" s="522">
        <f t="shared" si="17"/>
        <v>114</v>
      </c>
      <c r="C118" s="496" t="s">
        <v>535</v>
      </c>
      <c r="D118" s="486"/>
      <c r="E118" s="382">
        <v>0</v>
      </c>
      <c r="F118" s="382">
        <v>0</v>
      </c>
      <c r="G118" s="382">
        <v>0</v>
      </c>
      <c r="H118" s="382">
        <v>0</v>
      </c>
      <c r="I118" s="382">
        <v>0</v>
      </c>
      <c r="J118" s="876"/>
      <c r="K118" s="382">
        <v>0</v>
      </c>
      <c r="L118" s="382">
        <v>0</v>
      </c>
    </row>
    <row r="119" spans="1:12">
      <c r="A119" s="522">
        <f t="shared" si="17"/>
        <v>115</v>
      </c>
      <c r="C119" s="496" t="s">
        <v>536</v>
      </c>
      <c r="D119" s="486"/>
      <c r="E119" s="382">
        <v>2000</v>
      </c>
      <c r="F119" s="382">
        <v>2000</v>
      </c>
      <c r="G119" s="382">
        <v>2000</v>
      </c>
      <c r="H119" s="382">
        <v>2000</v>
      </c>
      <c r="I119" s="382">
        <v>2000</v>
      </c>
      <c r="J119" s="876"/>
      <c r="K119" s="382">
        <v>2000</v>
      </c>
      <c r="L119" s="382">
        <v>2000</v>
      </c>
    </row>
    <row r="120" spans="1:12">
      <c r="A120" s="522">
        <f t="shared" si="17"/>
        <v>116</v>
      </c>
      <c r="C120" s="496" t="s">
        <v>538</v>
      </c>
      <c r="D120" s="486"/>
      <c r="E120" s="510">
        <v>14970</v>
      </c>
      <c r="F120" s="510">
        <v>14970</v>
      </c>
      <c r="G120" s="510">
        <v>14970</v>
      </c>
      <c r="H120" s="510">
        <v>14970</v>
      </c>
      <c r="I120" s="510">
        <v>14970</v>
      </c>
      <c r="J120" s="876"/>
      <c r="K120" s="510">
        <v>14970</v>
      </c>
      <c r="L120" s="510">
        <v>14970</v>
      </c>
    </row>
    <row r="121" spans="1:12">
      <c r="A121" s="522">
        <f t="shared" si="17"/>
        <v>117</v>
      </c>
      <c r="C121" s="496" t="s">
        <v>540</v>
      </c>
      <c r="D121" s="486"/>
      <c r="E121" s="382">
        <v>0</v>
      </c>
      <c r="F121" s="382">
        <v>0</v>
      </c>
      <c r="G121" s="382">
        <v>0</v>
      </c>
      <c r="H121" s="382">
        <v>0</v>
      </c>
      <c r="I121" s="382">
        <v>0</v>
      </c>
      <c r="J121" s="876"/>
      <c r="K121" s="382">
        <v>0</v>
      </c>
      <c r="L121" s="382">
        <v>0</v>
      </c>
    </row>
    <row r="122" spans="1:12">
      <c r="A122" s="522">
        <f t="shared" si="17"/>
        <v>118</v>
      </c>
      <c r="B122" s="332"/>
      <c r="C122" s="496" t="s">
        <v>711</v>
      </c>
      <c r="D122" s="486"/>
      <c r="E122" s="382">
        <v>0</v>
      </c>
      <c r="F122" s="382">
        <v>0</v>
      </c>
      <c r="G122" s="382">
        <v>0</v>
      </c>
      <c r="H122" s="382">
        <v>0</v>
      </c>
      <c r="I122" s="382">
        <v>0</v>
      </c>
      <c r="J122" s="876"/>
      <c r="K122" s="382">
        <v>0</v>
      </c>
      <c r="L122" s="382">
        <v>0</v>
      </c>
    </row>
    <row r="123" spans="1:12">
      <c r="A123" s="522">
        <f t="shared" si="17"/>
        <v>119</v>
      </c>
      <c r="B123" s="492"/>
      <c r="C123" s="493" t="s">
        <v>1401</v>
      </c>
      <c r="D123" s="486"/>
      <c r="E123" s="503">
        <f t="shared" ref="E123:L123" si="18">SUBTOTAL(9,E96:E122)</f>
        <v>77370</v>
      </c>
      <c r="F123" s="503">
        <f t="shared" si="18"/>
        <v>77370</v>
      </c>
      <c r="G123" s="503">
        <f t="shared" si="18"/>
        <v>84324.545454545456</v>
      </c>
      <c r="H123" s="503">
        <f t="shared" si="18"/>
        <v>77370</v>
      </c>
      <c r="I123" s="503">
        <f t="shared" si="18"/>
        <v>77370</v>
      </c>
      <c r="J123" s="869"/>
      <c r="K123" s="503">
        <f t="shared" si="18"/>
        <v>77370</v>
      </c>
      <c r="L123" s="503">
        <f t="shared" si="18"/>
        <v>77370</v>
      </c>
    </row>
    <row r="124" spans="1:12">
      <c r="A124" s="522">
        <f t="shared" si="17"/>
        <v>120</v>
      </c>
      <c r="B124" s="491" t="s">
        <v>81</v>
      </c>
      <c r="C124" s="497"/>
      <c r="D124" s="486"/>
      <c r="E124" s="381"/>
      <c r="F124" s="381"/>
      <c r="G124" s="381"/>
      <c r="H124" s="381"/>
      <c r="I124" s="381"/>
      <c r="J124" s="881"/>
      <c r="K124" s="381"/>
      <c r="L124" s="381"/>
    </row>
    <row r="125" spans="1:12">
      <c r="A125" s="522">
        <f t="shared" si="17"/>
        <v>121</v>
      </c>
      <c r="C125" s="496" t="s">
        <v>294</v>
      </c>
      <c r="D125" s="486"/>
      <c r="E125" s="382">
        <v>12000</v>
      </c>
      <c r="F125" s="382">
        <v>0</v>
      </c>
      <c r="G125" s="382">
        <v>12000</v>
      </c>
      <c r="H125" s="382">
        <v>12000</v>
      </c>
      <c r="I125" s="382">
        <v>12000</v>
      </c>
      <c r="J125" s="876"/>
      <c r="K125" s="382">
        <v>12000</v>
      </c>
      <c r="L125" s="382">
        <f>K125</f>
        <v>12000</v>
      </c>
    </row>
    <row r="126" spans="1:12">
      <c r="A126" s="522">
        <f t="shared" si="17"/>
        <v>122</v>
      </c>
      <c r="C126" s="496" t="s">
        <v>543</v>
      </c>
      <c r="D126" s="486"/>
      <c r="E126" s="382">
        <v>3600</v>
      </c>
      <c r="F126" s="382">
        <v>0</v>
      </c>
      <c r="G126" s="382">
        <v>3600</v>
      </c>
      <c r="H126" s="382">
        <v>3600</v>
      </c>
      <c r="I126" s="382">
        <v>3600</v>
      </c>
      <c r="J126" s="876"/>
      <c r="K126" s="382">
        <v>3600</v>
      </c>
      <c r="L126" s="382">
        <f>K126</f>
        <v>3600</v>
      </c>
    </row>
    <row r="127" spans="1:12">
      <c r="A127" s="522">
        <f t="shared" si="17"/>
        <v>123</v>
      </c>
      <c r="C127" s="496" t="s">
        <v>545</v>
      </c>
      <c r="D127" s="486"/>
      <c r="E127" s="382">
        <v>0</v>
      </c>
      <c r="F127" s="382">
        <v>0</v>
      </c>
      <c r="G127" s="382">
        <v>0</v>
      </c>
      <c r="H127" s="382">
        <v>0</v>
      </c>
      <c r="I127" s="382">
        <v>0</v>
      </c>
      <c r="J127" s="876"/>
      <c r="K127" s="382">
        <v>0</v>
      </c>
      <c r="L127" s="382">
        <f>K127</f>
        <v>0</v>
      </c>
    </row>
    <row r="128" spans="1:12">
      <c r="A128" s="522">
        <f t="shared" si="17"/>
        <v>124</v>
      </c>
      <c r="B128" s="492"/>
      <c r="C128" s="493" t="s">
        <v>1401</v>
      </c>
      <c r="D128" s="486"/>
      <c r="E128" s="503">
        <f t="shared" ref="E128:L128" si="19">SUBTOTAL(9,E125:E127)</f>
        <v>15600</v>
      </c>
      <c r="F128" s="503">
        <f t="shared" si="19"/>
        <v>0</v>
      </c>
      <c r="G128" s="503">
        <f t="shared" si="19"/>
        <v>15600</v>
      </c>
      <c r="H128" s="503">
        <f t="shared" si="19"/>
        <v>15600</v>
      </c>
      <c r="I128" s="503">
        <f t="shared" si="19"/>
        <v>15600</v>
      </c>
      <c r="J128" s="869"/>
      <c r="K128" s="503">
        <f t="shared" si="19"/>
        <v>15600</v>
      </c>
      <c r="L128" s="503">
        <f t="shared" si="19"/>
        <v>15600</v>
      </c>
    </row>
    <row r="129" spans="1:12">
      <c r="A129" s="522">
        <f t="shared" si="17"/>
        <v>125</v>
      </c>
      <c r="B129" s="491" t="s">
        <v>548</v>
      </c>
      <c r="C129" s="497"/>
      <c r="D129" s="486"/>
      <c r="E129" s="381"/>
      <c r="F129" s="381"/>
      <c r="G129" s="381"/>
      <c r="H129" s="381"/>
      <c r="I129" s="381"/>
      <c r="J129" s="881"/>
      <c r="K129" s="381"/>
      <c r="L129" s="381"/>
    </row>
    <row r="130" spans="1:12">
      <c r="A130" s="522">
        <f t="shared" si="17"/>
        <v>126</v>
      </c>
      <c r="C130" s="495" t="s">
        <v>548</v>
      </c>
      <c r="D130" s="486"/>
      <c r="E130" s="502">
        <v>0</v>
      </c>
      <c r="F130" s="502">
        <v>0</v>
      </c>
      <c r="G130" s="502">
        <v>0</v>
      </c>
      <c r="H130" s="502">
        <v>0</v>
      </c>
      <c r="I130" s="502">
        <v>0</v>
      </c>
      <c r="J130" s="868"/>
      <c r="K130" s="502">
        <v>0</v>
      </c>
      <c r="L130" s="502">
        <v>0</v>
      </c>
    </row>
    <row r="131" spans="1:12">
      <c r="A131" s="522">
        <f t="shared" si="17"/>
        <v>127</v>
      </c>
      <c r="B131" s="332"/>
      <c r="C131" s="496" t="s">
        <v>711</v>
      </c>
      <c r="D131" s="486"/>
      <c r="E131" s="502">
        <v>0</v>
      </c>
      <c r="F131" s="502">
        <v>0</v>
      </c>
      <c r="G131" s="502">
        <v>0</v>
      </c>
      <c r="H131" s="502">
        <v>0</v>
      </c>
      <c r="I131" s="502">
        <v>0</v>
      </c>
      <c r="J131" s="868"/>
      <c r="K131" s="502">
        <v>0</v>
      </c>
      <c r="L131" s="502">
        <v>0</v>
      </c>
    </row>
    <row r="132" spans="1:12">
      <c r="A132" s="522">
        <f t="shared" si="17"/>
        <v>128</v>
      </c>
      <c r="B132" s="492"/>
      <c r="C132" s="493" t="s">
        <v>1401</v>
      </c>
      <c r="D132" s="486"/>
      <c r="E132" s="503">
        <f t="shared" ref="E132:L132" si="20">SUBTOTAL(9,E130:E131)</f>
        <v>0</v>
      </c>
      <c r="F132" s="503">
        <f t="shared" si="20"/>
        <v>0</v>
      </c>
      <c r="G132" s="503">
        <f t="shared" si="20"/>
        <v>0</v>
      </c>
      <c r="H132" s="503">
        <f t="shared" si="20"/>
        <v>0</v>
      </c>
      <c r="I132" s="503">
        <f t="shared" si="20"/>
        <v>0</v>
      </c>
      <c r="J132" s="869"/>
      <c r="K132" s="503">
        <f t="shared" si="20"/>
        <v>0</v>
      </c>
      <c r="L132" s="503">
        <f t="shared" si="20"/>
        <v>0</v>
      </c>
    </row>
    <row r="133" spans="1:12">
      <c r="A133" s="522">
        <f t="shared" si="17"/>
        <v>129</v>
      </c>
      <c r="B133" s="491" t="s">
        <v>551</v>
      </c>
      <c r="C133" s="497"/>
      <c r="D133" s="486"/>
      <c r="E133" s="381"/>
      <c r="F133" s="381"/>
      <c r="G133" s="381"/>
      <c r="H133" s="381"/>
      <c r="I133" s="381"/>
      <c r="J133" s="881"/>
      <c r="K133" s="381"/>
      <c r="L133" s="381"/>
    </row>
    <row r="134" spans="1:12">
      <c r="A134" s="522">
        <f t="shared" si="17"/>
        <v>130</v>
      </c>
      <c r="C134" s="496" t="s">
        <v>705</v>
      </c>
      <c r="D134" s="486"/>
      <c r="E134" s="382">
        <f>8500*(E7/43)^0.6*(E8/2000)</f>
        <v>0</v>
      </c>
      <c r="F134" s="382">
        <f>8500*(F7/43)^0.6*(F8/2000)</f>
        <v>0</v>
      </c>
      <c r="G134" s="382">
        <f>8500*(G7/43)^0.6*(G8/2000)</f>
        <v>122299.00349802602</v>
      </c>
      <c r="H134" s="382">
        <f>8500*(H7/43)^0.6*(H8/2000)</f>
        <v>0</v>
      </c>
      <c r="I134" s="382">
        <f>8500*(I7/43)^0.6*(I8/2000)</f>
        <v>0</v>
      </c>
      <c r="J134" s="876"/>
      <c r="K134" s="382">
        <f>8500*(K7/43)^0.6*(K8/2000)</f>
        <v>0</v>
      </c>
      <c r="L134" s="382">
        <f>3500*($L$7/265)^0.6*0.4</f>
        <v>0</v>
      </c>
    </row>
    <row r="135" spans="1:12">
      <c r="A135" s="522">
        <f t="shared" si="17"/>
        <v>131</v>
      </c>
      <c r="C135" s="496" t="s">
        <v>553</v>
      </c>
      <c r="D135" s="486"/>
      <c r="E135" s="382">
        <f>2500*(E7/43)^0.6*(E8/2000)</f>
        <v>0</v>
      </c>
      <c r="F135" s="382">
        <f>2500*(F7/43)^0.6*(F8/2000)</f>
        <v>0</v>
      </c>
      <c r="G135" s="382">
        <f>2500*(G7/43)^0.6*(G8/2000)</f>
        <v>35970.295146478245</v>
      </c>
      <c r="H135" s="382">
        <f>2500*(H7/43)^0.6*(H8/2000)</f>
        <v>0</v>
      </c>
      <c r="I135" s="382">
        <f>2500*(I7/43)^0.6*(I8/2000)</f>
        <v>0</v>
      </c>
      <c r="J135" s="876"/>
      <c r="K135" s="382">
        <f>2500*(K7/43)^0.6*(K8/2000)</f>
        <v>0</v>
      </c>
      <c r="L135" s="382">
        <f>3500*($L$7/265)^0.6*0.6</f>
        <v>0</v>
      </c>
    </row>
    <row r="136" spans="1:12">
      <c r="A136" s="522">
        <f t="shared" si="17"/>
        <v>132</v>
      </c>
      <c r="C136" s="496" t="s">
        <v>554</v>
      </c>
      <c r="D136" s="486"/>
      <c r="E136" s="382">
        <v>0</v>
      </c>
      <c r="F136" s="382">
        <v>0</v>
      </c>
      <c r="G136" s="382">
        <v>0</v>
      </c>
      <c r="H136" s="382">
        <v>0</v>
      </c>
      <c r="I136" s="382">
        <v>0</v>
      </c>
      <c r="J136" s="876"/>
      <c r="K136" s="382">
        <v>0</v>
      </c>
      <c r="L136" s="382">
        <f>K136</f>
        <v>0</v>
      </c>
    </row>
    <row r="137" spans="1:12">
      <c r="A137" s="522">
        <f t="shared" si="17"/>
        <v>133</v>
      </c>
      <c r="C137" s="496" t="s">
        <v>555</v>
      </c>
      <c r="D137" s="486"/>
      <c r="E137" s="382">
        <v>0</v>
      </c>
      <c r="F137" s="382">
        <v>0</v>
      </c>
      <c r="G137" s="382">
        <v>0</v>
      </c>
      <c r="H137" s="382">
        <v>0</v>
      </c>
      <c r="I137" s="382">
        <v>0</v>
      </c>
      <c r="J137" s="876"/>
      <c r="K137" s="382">
        <v>0</v>
      </c>
      <c r="L137" s="382">
        <v>500</v>
      </c>
    </row>
    <row r="138" spans="1:12">
      <c r="A138" s="522">
        <f t="shared" si="17"/>
        <v>134</v>
      </c>
      <c r="C138" s="496" t="s">
        <v>556</v>
      </c>
      <c r="D138" s="486"/>
      <c r="E138" s="382">
        <v>0</v>
      </c>
      <c r="F138" s="382">
        <v>0</v>
      </c>
      <c r="G138" s="382">
        <v>0</v>
      </c>
      <c r="H138" s="382">
        <v>0</v>
      </c>
      <c r="I138" s="382">
        <v>0</v>
      </c>
      <c r="J138" s="876"/>
      <c r="K138" s="382">
        <v>0</v>
      </c>
      <c r="L138" s="382">
        <f>K138</f>
        <v>0</v>
      </c>
    </row>
    <row r="139" spans="1:12">
      <c r="A139" s="522">
        <f t="shared" si="17"/>
        <v>135</v>
      </c>
      <c r="C139" s="496" t="s">
        <v>708</v>
      </c>
      <c r="D139" s="486"/>
      <c r="E139" s="382">
        <v>0</v>
      </c>
      <c r="F139" s="382">
        <v>0</v>
      </c>
      <c r="G139" s="382">
        <v>0</v>
      </c>
      <c r="H139" s="382">
        <v>0</v>
      </c>
      <c r="I139" s="382">
        <v>0</v>
      </c>
      <c r="J139" s="876"/>
      <c r="K139" s="382">
        <v>0</v>
      </c>
      <c r="L139" s="382">
        <f>K139</f>
        <v>0</v>
      </c>
    </row>
    <row r="140" spans="1:12">
      <c r="A140" s="522">
        <f t="shared" si="17"/>
        <v>136</v>
      </c>
      <c r="C140" s="496" t="s">
        <v>494</v>
      </c>
      <c r="D140" s="486"/>
      <c r="E140" s="382">
        <v>0</v>
      </c>
      <c r="F140" s="382">
        <v>0</v>
      </c>
      <c r="G140" s="382">
        <v>0</v>
      </c>
      <c r="H140" s="382">
        <v>0</v>
      </c>
      <c r="I140" s="382">
        <v>0</v>
      </c>
      <c r="J140" s="876"/>
      <c r="K140" s="382">
        <v>0</v>
      </c>
      <c r="L140" s="382">
        <f>K140</f>
        <v>0</v>
      </c>
    </row>
    <row r="141" spans="1:12">
      <c r="A141" s="522">
        <f t="shared" si="17"/>
        <v>137</v>
      </c>
      <c r="B141" s="332"/>
      <c r="C141" s="496" t="s">
        <v>711</v>
      </c>
      <c r="D141" s="486"/>
      <c r="E141" s="382">
        <v>0</v>
      </c>
      <c r="F141" s="382">
        <v>0</v>
      </c>
      <c r="G141" s="382">
        <v>0</v>
      </c>
      <c r="H141" s="382">
        <v>0</v>
      </c>
      <c r="I141" s="382">
        <v>0</v>
      </c>
      <c r="J141" s="876"/>
      <c r="K141" s="382">
        <v>0</v>
      </c>
      <c r="L141" s="382">
        <f>K141</f>
        <v>0</v>
      </c>
    </row>
    <row r="142" spans="1:12">
      <c r="A142" s="522">
        <f t="shared" si="17"/>
        <v>138</v>
      </c>
      <c r="B142" s="492"/>
      <c r="C142" s="493" t="s">
        <v>1401</v>
      </c>
      <c r="D142" s="486"/>
      <c r="E142" s="503">
        <f t="shared" ref="E142:L142" si="21">SUBTOTAL(9,E134:E141)</f>
        <v>0</v>
      </c>
      <c r="F142" s="503">
        <f t="shared" si="21"/>
        <v>0</v>
      </c>
      <c r="G142" s="503">
        <f t="shared" si="21"/>
        <v>158269.29864450428</v>
      </c>
      <c r="H142" s="503">
        <f t="shared" si="21"/>
        <v>0</v>
      </c>
      <c r="I142" s="503">
        <f t="shared" si="21"/>
        <v>0</v>
      </c>
      <c r="J142" s="869"/>
      <c r="K142" s="503">
        <f t="shared" si="21"/>
        <v>0</v>
      </c>
      <c r="L142" s="503">
        <f t="shared" si="21"/>
        <v>500</v>
      </c>
    </row>
    <row r="143" spans="1:12">
      <c r="A143" s="522">
        <f t="shared" si="17"/>
        <v>139</v>
      </c>
      <c r="B143" s="491" t="s">
        <v>559</v>
      </c>
      <c r="C143" s="497"/>
      <c r="D143" s="486"/>
      <c r="E143" s="381"/>
      <c r="F143" s="381"/>
      <c r="G143" s="381"/>
      <c r="H143" s="381"/>
      <c r="I143" s="381"/>
      <c r="J143" s="881"/>
      <c r="K143" s="381"/>
      <c r="L143" s="381"/>
    </row>
    <row r="144" spans="1:12">
      <c r="A144" s="522">
        <f t="shared" si="17"/>
        <v>140</v>
      </c>
      <c r="C144" s="496" t="s">
        <v>87</v>
      </c>
      <c r="D144" s="486"/>
      <c r="E144" s="502">
        <v>0</v>
      </c>
      <c r="F144" s="502">
        <v>0</v>
      </c>
      <c r="G144" s="502">
        <v>0</v>
      </c>
      <c r="H144" s="502">
        <v>0</v>
      </c>
      <c r="I144" s="502">
        <v>0</v>
      </c>
      <c r="J144" s="868"/>
      <c r="K144" s="502">
        <v>0</v>
      </c>
      <c r="L144" s="502">
        <v>0</v>
      </c>
    </row>
    <row r="145" spans="1:12">
      <c r="A145" s="522">
        <f t="shared" si="17"/>
        <v>141</v>
      </c>
      <c r="C145" s="496" t="s">
        <v>1119</v>
      </c>
      <c r="D145" s="486"/>
      <c r="E145" s="502">
        <v>0</v>
      </c>
      <c r="F145" s="502">
        <v>0</v>
      </c>
      <c r="G145" s="502">
        <v>0</v>
      </c>
      <c r="H145" s="502">
        <v>0</v>
      </c>
      <c r="I145" s="502">
        <v>0</v>
      </c>
      <c r="J145" s="868"/>
      <c r="K145" s="502">
        <v>0</v>
      </c>
      <c r="L145" s="502">
        <v>0</v>
      </c>
    </row>
    <row r="146" spans="1:12">
      <c r="A146" s="522">
        <f t="shared" si="17"/>
        <v>142</v>
      </c>
      <c r="C146" s="496" t="s">
        <v>1121</v>
      </c>
      <c r="D146" s="486"/>
      <c r="E146" s="502">
        <v>0</v>
      </c>
      <c r="F146" s="502">
        <v>0</v>
      </c>
      <c r="G146" s="502">
        <v>0</v>
      </c>
      <c r="H146" s="502">
        <v>0</v>
      </c>
      <c r="I146" s="502">
        <v>0</v>
      </c>
      <c r="J146" s="868"/>
      <c r="K146" s="502">
        <v>0</v>
      </c>
      <c r="L146" s="502">
        <v>0</v>
      </c>
    </row>
    <row r="147" spans="1:12">
      <c r="A147" s="522">
        <f t="shared" si="17"/>
        <v>143</v>
      </c>
      <c r="C147" s="496" t="s">
        <v>1122</v>
      </c>
      <c r="D147" s="486"/>
      <c r="E147" s="502">
        <v>0</v>
      </c>
      <c r="F147" s="502">
        <v>0</v>
      </c>
      <c r="G147" s="502">
        <v>0</v>
      </c>
      <c r="H147" s="502">
        <v>0</v>
      </c>
      <c r="I147" s="502">
        <v>0</v>
      </c>
      <c r="J147" s="868"/>
      <c r="K147" s="502">
        <v>0</v>
      </c>
      <c r="L147" s="502">
        <v>0</v>
      </c>
    </row>
    <row r="148" spans="1:12">
      <c r="A148" s="522">
        <f t="shared" si="17"/>
        <v>144</v>
      </c>
      <c r="B148" s="332"/>
      <c r="C148" s="496" t="s">
        <v>711</v>
      </c>
      <c r="D148" s="486"/>
      <c r="E148" s="502">
        <v>0</v>
      </c>
      <c r="F148" s="502">
        <v>0</v>
      </c>
      <c r="G148" s="502">
        <v>0</v>
      </c>
      <c r="H148" s="502">
        <v>0</v>
      </c>
      <c r="I148" s="502">
        <v>0</v>
      </c>
      <c r="J148" s="868"/>
      <c r="K148" s="502">
        <v>0</v>
      </c>
      <c r="L148" s="502">
        <v>0</v>
      </c>
    </row>
    <row r="149" spans="1:12">
      <c r="A149" s="522">
        <f t="shared" si="17"/>
        <v>145</v>
      </c>
      <c r="B149" s="492"/>
      <c r="C149" s="493" t="s">
        <v>1401</v>
      </c>
      <c r="D149" s="486"/>
      <c r="E149" s="503">
        <f t="shared" ref="E149:L149" si="22">SUBTOTAL(9,E144:E148)</f>
        <v>0</v>
      </c>
      <c r="F149" s="503">
        <f t="shared" si="22"/>
        <v>0</v>
      </c>
      <c r="G149" s="503">
        <f t="shared" si="22"/>
        <v>0</v>
      </c>
      <c r="H149" s="503">
        <f t="shared" si="22"/>
        <v>0</v>
      </c>
      <c r="I149" s="503">
        <f t="shared" si="22"/>
        <v>0</v>
      </c>
      <c r="J149" s="869"/>
      <c r="K149" s="503">
        <f t="shared" si="22"/>
        <v>0</v>
      </c>
      <c r="L149" s="503">
        <f t="shared" si="22"/>
        <v>0</v>
      </c>
    </row>
    <row r="150" spans="1:12">
      <c r="A150" s="522">
        <f t="shared" si="17"/>
        <v>146</v>
      </c>
      <c r="B150" s="491" t="s">
        <v>1061</v>
      </c>
      <c r="C150" s="497"/>
      <c r="D150" s="486"/>
      <c r="E150" s="381"/>
      <c r="F150" s="381"/>
      <c r="G150" s="381"/>
      <c r="H150" s="381"/>
      <c r="I150" s="381"/>
      <c r="J150" s="881"/>
      <c r="K150" s="381"/>
      <c r="L150" s="381"/>
    </row>
    <row r="151" spans="1:12">
      <c r="A151" s="522">
        <f t="shared" si="17"/>
        <v>147</v>
      </c>
      <c r="C151" s="496" t="s">
        <v>705</v>
      </c>
      <c r="D151" s="486"/>
      <c r="E151" s="382">
        <v>0</v>
      </c>
      <c r="F151" s="382">
        <v>0</v>
      </c>
      <c r="G151" s="382">
        <v>0</v>
      </c>
      <c r="H151" s="382">
        <v>0</v>
      </c>
      <c r="I151" s="382">
        <v>0</v>
      </c>
      <c r="J151" s="876"/>
      <c r="K151" s="382">
        <v>0</v>
      </c>
      <c r="L151" s="382">
        <v>0</v>
      </c>
    </row>
    <row r="152" spans="1:12">
      <c r="A152" s="522">
        <f t="shared" si="17"/>
        <v>148</v>
      </c>
      <c r="C152" s="496" t="s">
        <v>1063</v>
      </c>
      <c r="D152" s="486"/>
      <c r="E152" s="382">
        <v>0</v>
      </c>
      <c r="F152" s="382">
        <v>0</v>
      </c>
      <c r="G152" s="382">
        <v>0</v>
      </c>
      <c r="H152" s="382">
        <v>0</v>
      </c>
      <c r="I152" s="382">
        <v>0</v>
      </c>
      <c r="J152" s="876"/>
      <c r="K152" s="382">
        <v>0</v>
      </c>
      <c r="L152" s="382">
        <v>0</v>
      </c>
    </row>
    <row r="153" spans="1:12">
      <c r="A153" s="522">
        <f t="shared" si="17"/>
        <v>149</v>
      </c>
      <c r="C153" s="496" t="s">
        <v>1065</v>
      </c>
      <c r="D153" s="486"/>
      <c r="E153" s="382">
        <v>0</v>
      </c>
      <c r="F153" s="382">
        <v>0</v>
      </c>
      <c r="G153" s="382">
        <v>0</v>
      </c>
      <c r="H153" s="382">
        <v>0</v>
      </c>
      <c r="I153" s="382">
        <v>0</v>
      </c>
      <c r="J153" s="876"/>
      <c r="K153" s="382">
        <v>0</v>
      </c>
      <c r="L153" s="382">
        <v>4360.800501258992</v>
      </c>
    </row>
    <row r="154" spans="1:12">
      <c r="A154" s="522">
        <f t="shared" si="17"/>
        <v>150</v>
      </c>
      <c r="C154" s="496" t="s">
        <v>1066</v>
      </c>
      <c r="D154" s="486"/>
      <c r="E154" s="382">
        <v>0</v>
      </c>
      <c r="F154" s="382">
        <v>0</v>
      </c>
      <c r="G154" s="382">
        <v>0</v>
      </c>
      <c r="H154" s="382">
        <v>0</v>
      </c>
      <c r="I154" s="382">
        <v>0</v>
      </c>
      <c r="J154" s="876"/>
      <c r="K154" s="382">
        <v>0</v>
      </c>
      <c r="L154" s="382">
        <v>0</v>
      </c>
    </row>
    <row r="155" spans="1:12">
      <c r="A155" s="522">
        <f t="shared" si="17"/>
        <v>151</v>
      </c>
      <c r="C155" s="496" t="s">
        <v>1068</v>
      </c>
      <c r="D155" s="486"/>
      <c r="E155" s="382">
        <f>25000*(E7/43)^0.6</f>
        <v>0</v>
      </c>
      <c r="F155" s="382">
        <f>25000*(F7/43)^0.6</f>
        <v>0</v>
      </c>
      <c r="G155" s="382">
        <f>25000*(G7/43)^0.6</f>
        <v>86446.275285936674</v>
      </c>
      <c r="H155" s="382">
        <f>25000*(H7/43)^0.6</f>
        <v>0</v>
      </c>
      <c r="I155" s="382">
        <f>25000*(I7/43)^0.6</f>
        <v>0</v>
      </c>
      <c r="J155" s="876"/>
      <c r="K155" s="382">
        <f>25000*(K7/43)^0.6</f>
        <v>0</v>
      </c>
      <c r="L155" s="382">
        <v>0</v>
      </c>
    </row>
    <row r="156" spans="1:12">
      <c r="A156" s="522">
        <f t="shared" si="17"/>
        <v>152</v>
      </c>
      <c r="C156" s="496" t="s">
        <v>1069</v>
      </c>
      <c r="D156" s="486"/>
      <c r="E156" s="382">
        <f>28000*(E7/43)^0.6</f>
        <v>0</v>
      </c>
      <c r="F156" s="382">
        <f>28000*(F7/43)^0.6</f>
        <v>0</v>
      </c>
      <c r="G156" s="382">
        <f>28000*(G7/43)^0.6</f>
        <v>96819.828320249071</v>
      </c>
      <c r="H156" s="382">
        <f>28000*(H7/43)^0.6</f>
        <v>0</v>
      </c>
      <c r="I156" s="382">
        <f>28000*(I7/43)^0.6</f>
        <v>0</v>
      </c>
      <c r="J156" s="876"/>
      <c r="K156" s="382">
        <f>28000*(K7/43)^0.6</f>
        <v>0</v>
      </c>
      <c r="L156" s="382">
        <v>83251.097999999998</v>
      </c>
    </row>
    <row r="157" spans="1:12">
      <c r="A157" s="522">
        <f t="shared" si="17"/>
        <v>153</v>
      </c>
      <c r="C157" s="496" t="s">
        <v>622</v>
      </c>
      <c r="D157" s="486"/>
      <c r="E157" s="382">
        <f>(25*(E7/42)*E8*0.25)</f>
        <v>0</v>
      </c>
      <c r="F157" s="382">
        <f>(25*(F7/42)*F8*0.25)</f>
        <v>0</v>
      </c>
      <c r="G157" s="382">
        <f>(25*(G7/42)*G8*0.25)</f>
        <v>421053.57142857142</v>
      </c>
      <c r="H157" s="382">
        <f>(25*(H7/42)*H8*0.25)</f>
        <v>0</v>
      </c>
      <c r="I157" s="382">
        <f>(25*(I7/42)*I8*0.25)</f>
        <v>0</v>
      </c>
      <c r="J157" s="876"/>
      <c r="K157" s="382">
        <f>(25*(K7/42)*K8*0.25)</f>
        <v>0</v>
      </c>
      <c r="L157" s="382">
        <f>(25*(L7/7/42)*L8*0.25)</f>
        <v>0</v>
      </c>
    </row>
    <row r="158" spans="1:12">
      <c r="A158" s="522">
        <f t="shared" si="17"/>
        <v>154</v>
      </c>
      <c r="C158" s="496" t="s">
        <v>1070</v>
      </c>
      <c r="D158" s="486"/>
      <c r="E158" s="382">
        <v>0</v>
      </c>
      <c r="F158" s="382">
        <v>0</v>
      </c>
      <c r="G158" s="382">
        <v>0</v>
      </c>
      <c r="H158" s="382">
        <v>0</v>
      </c>
      <c r="I158" s="382">
        <v>0</v>
      </c>
      <c r="J158" s="876"/>
      <c r="K158" s="382">
        <v>0</v>
      </c>
      <c r="L158" s="382">
        <v>0</v>
      </c>
    </row>
    <row r="159" spans="1:12">
      <c r="A159" s="522">
        <f t="shared" si="17"/>
        <v>155</v>
      </c>
      <c r="C159" s="496" t="s">
        <v>1071</v>
      </c>
      <c r="D159" s="486"/>
      <c r="E159" s="382">
        <v>0</v>
      </c>
      <c r="F159" s="382">
        <v>0</v>
      </c>
      <c r="G159" s="382">
        <v>0</v>
      </c>
      <c r="H159" s="382">
        <v>0</v>
      </c>
      <c r="I159" s="382">
        <v>0</v>
      </c>
      <c r="J159" s="876"/>
      <c r="K159" s="382">
        <v>0</v>
      </c>
      <c r="L159" s="382">
        <v>0</v>
      </c>
    </row>
    <row r="160" spans="1:12">
      <c r="A160" s="522">
        <f t="shared" si="17"/>
        <v>156</v>
      </c>
      <c r="C160" s="496" t="s">
        <v>1073</v>
      </c>
      <c r="D160" s="486"/>
      <c r="E160" s="382">
        <v>0</v>
      </c>
      <c r="F160" s="382">
        <v>0</v>
      </c>
      <c r="G160" s="382">
        <v>0</v>
      </c>
      <c r="H160" s="382">
        <v>0</v>
      </c>
      <c r="I160" s="382">
        <v>0</v>
      </c>
      <c r="J160" s="876"/>
      <c r="K160" s="382">
        <v>0</v>
      </c>
      <c r="L160" s="382">
        <v>0</v>
      </c>
    </row>
    <row r="161" spans="1:12">
      <c r="A161" s="522">
        <f t="shared" si="17"/>
        <v>157</v>
      </c>
      <c r="C161" s="496" t="s">
        <v>1074</v>
      </c>
      <c r="D161" s="486"/>
      <c r="E161" s="502">
        <v>0</v>
      </c>
      <c r="F161" s="502">
        <v>0</v>
      </c>
      <c r="G161" s="502">
        <v>0</v>
      </c>
      <c r="H161" s="502">
        <v>0</v>
      </c>
      <c r="I161" s="502">
        <v>0</v>
      </c>
      <c r="J161" s="876"/>
      <c r="K161" s="502">
        <v>0</v>
      </c>
      <c r="L161" s="382">
        <v>0</v>
      </c>
    </row>
    <row r="162" spans="1:12">
      <c r="A162" s="522">
        <f t="shared" si="17"/>
        <v>158</v>
      </c>
      <c r="C162" s="496" t="s">
        <v>295</v>
      </c>
      <c r="D162" s="486"/>
      <c r="E162" s="502">
        <v>0</v>
      </c>
      <c r="F162" s="502">
        <v>0</v>
      </c>
      <c r="G162" s="502">
        <v>0</v>
      </c>
      <c r="H162" s="502">
        <v>0</v>
      </c>
      <c r="I162" s="502">
        <v>0</v>
      </c>
      <c r="J162" s="876"/>
      <c r="K162" s="502">
        <v>0</v>
      </c>
      <c r="L162" s="382">
        <v>0</v>
      </c>
    </row>
    <row r="163" spans="1:12">
      <c r="A163" s="522">
        <f t="shared" si="17"/>
        <v>159</v>
      </c>
      <c r="B163" s="332"/>
      <c r="C163" s="496" t="s">
        <v>711</v>
      </c>
      <c r="D163" s="486"/>
      <c r="E163" s="502">
        <v>0</v>
      </c>
      <c r="F163" s="502">
        <v>0</v>
      </c>
      <c r="G163" s="502">
        <v>0</v>
      </c>
      <c r="H163" s="502">
        <v>0</v>
      </c>
      <c r="I163" s="502">
        <v>0</v>
      </c>
      <c r="J163" s="876"/>
      <c r="K163" s="502">
        <v>0</v>
      </c>
      <c r="L163" s="382">
        <v>0</v>
      </c>
    </row>
    <row r="164" spans="1:12">
      <c r="A164" s="522">
        <f t="shared" si="17"/>
        <v>160</v>
      </c>
      <c r="B164" s="492"/>
      <c r="C164" s="493" t="s">
        <v>1401</v>
      </c>
      <c r="D164" s="486"/>
      <c r="E164" s="503">
        <f t="shared" ref="E164:L164" si="23">SUBTOTAL(9,E151:E163)</f>
        <v>0</v>
      </c>
      <c r="F164" s="503">
        <f t="shared" si="23"/>
        <v>0</v>
      </c>
      <c r="G164" s="503">
        <f t="shared" si="23"/>
        <v>604319.67503475724</v>
      </c>
      <c r="H164" s="503">
        <f t="shared" si="23"/>
        <v>0</v>
      </c>
      <c r="I164" s="503">
        <f t="shared" si="23"/>
        <v>0</v>
      </c>
      <c r="J164" s="869"/>
      <c r="K164" s="503">
        <f t="shared" si="23"/>
        <v>0</v>
      </c>
      <c r="L164" s="503">
        <f t="shared" si="23"/>
        <v>87611.898501258984</v>
      </c>
    </row>
    <row r="165" spans="1:12">
      <c r="A165" s="522">
        <f t="shared" si="17"/>
        <v>161</v>
      </c>
      <c r="B165" s="491" t="s">
        <v>1078</v>
      </c>
      <c r="C165" s="497"/>
      <c r="D165" s="486"/>
      <c r="E165" s="381"/>
      <c r="F165" s="381"/>
      <c r="G165" s="381"/>
      <c r="H165" s="381"/>
      <c r="I165" s="381"/>
      <c r="J165" s="881"/>
      <c r="K165" s="381"/>
      <c r="L165" s="381"/>
    </row>
    <row r="166" spans="1:12">
      <c r="A166" s="522">
        <f t="shared" si="17"/>
        <v>162</v>
      </c>
      <c r="C166" s="496" t="s">
        <v>1079</v>
      </c>
      <c r="D166" s="486"/>
      <c r="E166" s="502">
        <f>70000*(E$7/414)^0.6*0.5</f>
        <v>0</v>
      </c>
      <c r="F166" s="502">
        <f>70000*(F$7/414)^0.6*0.5</f>
        <v>0</v>
      </c>
      <c r="G166" s="502">
        <f>70000*(G$7/414)^0.6*0.5</f>
        <v>31099.627690916041</v>
      </c>
      <c r="H166" s="502">
        <f>70000*(H$7/414)^0.6*0.5</f>
        <v>0</v>
      </c>
      <c r="I166" s="502">
        <f>70000*(I$7/414)^0.6*0.5</f>
        <v>0</v>
      </c>
      <c r="J166" s="868"/>
      <c r="K166" s="502">
        <f>70000*($K$7/414)^0.6*0.5</f>
        <v>0</v>
      </c>
      <c r="L166" s="502">
        <f>5000*L6*0.5</f>
        <v>0</v>
      </c>
    </row>
    <row r="167" spans="1:12">
      <c r="A167" s="522">
        <f t="shared" si="17"/>
        <v>163</v>
      </c>
      <c r="C167" s="496" t="s">
        <v>705</v>
      </c>
      <c r="D167" s="486"/>
      <c r="E167" s="502">
        <f t="shared" ref="E167:I168" si="24">70000*(E$7/414)^0.6*0.2</f>
        <v>0</v>
      </c>
      <c r="F167" s="502">
        <f t="shared" si="24"/>
        <v>0</v>
      </c>
      <c r="G167" s="502">
        <f t="shared" si="24"/>
        <v>12439.851076366416</v>
      </c>
      <c r="H167" s="502">
        <f t="shared" si="24"/>
        <v>0</v>
      </c>
      <c r="I167" s="502">
        <f t="shared" si="24"/>
        <v>0</v>
      </c>
      <c r="J167" s="868"/>
      <c r="K167" s="502">
        <f>70000*($K$7/414)^0.6*0.2</f>
        <v>0</v>
      </c>
      <c r="L167" s="502">
        <f>5000*L6*0.2</f>
        <v>0</v>
      </c>
    </row>
    <row r="168" spans="1:12">
      <c r="A168" s="522">
        <f t="shared" si="17"/>
        <v>164</v>
      </c>
      <c r="C168" s="496" t="s">
        <v>1082</v>
      </c>
      <c r="D168" s="486"/>
      <c r="E168" s="502">
        <f t="shared" si="24"/>
        <v>0</v>
      </c>
      <c r="F168" s="502">
        <f t="shared" si="24"/>
        <v>0</v>
      </c>
      <c r="G168" s="502">
        <f t="shared" si="24"/>
        <v>12439.851076366416</v>
      </c>
      <c r="H168" s="502">
        <f t="shared" si="24"/>
        <v>0</v>
      </c>
      <c r="I168" s="502">
        <f t="shared" si="24"/>
        <v>0</v>
      </c>
      <c r="J168" s="868"/>
      <c r="K168" s="502">
        <f>70000*($K$7/414)^0.6*0.2</f>
        <v>0</v>
      </c>
      <c r="L168" s="502">
        <f>5000*L6*0.2</f>
        <v>0</v>
      </c>
    </row>
    <row r="169" spans="1:12">
      <c r="A169" s="522">
        <f t="shared" si="17"/>
        <v>165</v>
      </c>
      <c r="C169" s="496" t="s">
        <v>1084</v>
      </c>
      <c r="D169" s="486"/>
      <c r="E169" s="502">
        <f>70000*(E$7/414)^0.6*0.1</f>
        <v>0</v>
      </c>
      <c r="F169" s="502">
        <f>70000*(F$7/414)^0.6*0.1</f>
        <v>0</v>
      </c>
      <c r="G169" s="502">
        <f>70000*(G$7/414)^0.6*0.1</f>
        <v>6219.9255381832081</v>
      </c>
      <c r="H169" s="502">
        <f>70000*(H$7/414)^0.6*0.1</f>
        <v>0</v>
      </c>
      <c r="I169" s="502">
        <f>70000*(I$7/414)^0.6*0.1</f>
        <v>0</v>
      </c>
      <c r="J169" s="868"/>
      <c r="K169" s="502">
        <f>70000*($K$7/414)^0.6*0.1</f>
        <v>0</v>
      </c>
      <c r="L169" s="502">
        <f>5000*L6*0.1</f>
        <v>0</v>
      </c>
    </row>
    <row r="170" spans="1:12">
      <c r="A170" s="522">
        <f t="shared" si="17"/>
        <v>166</v>
      </c>
      <c r="C170" s="496" t="s">
        <v>470</v>
      </c>
      <c r="D170" s="486"/>
      <c r="E170" s="502">
        <v>0</v>
      </c>
      <c r="F170" s="502">
        <v>0</v>
      </c>
      <c r="G170" s="502">
        <v>0</v>
      </c>
      <c r="H170" s="502">
        <v>0</v>
      </c>
      <c r="I170" s="502">
        <v>0</v>
      </c>
      <c r="J170" s="868"/>
      <c r="K170" s="502">
        <v>0</v>
      </c>
      <c r="L170" s="502">
        <v>0</v>
      </c>
    </row>
    <row r="171" spans="1:12">
      <c r="A171" s="522">
        <f t="shared" si="17"/>
        <v>167</v>
      </c>
      <c r="B171" s="332"/>
      <c r="C171" s="496" t="s">
        <v>711</v>
      </c>
      <c r="D171" s="486"/>
      <c r="E171" s="502">
        <v>0</v>
      </c>
      <c r="F171" s="502">
        <v>0</v>
      </c>
      <c r="G171" s="502">
        <v>0</v>
      </c>
      <c r="H171" s="502">
        <v>0</v>
      </c>
      <c r="I171" s="502">
        <v>0</v>
      </c>
      <c r="J171" s="868"/>
      <c r="K171" s="502">
        <v>0</v>
      </c>
      <c r="L171" s="502">
        <v>0</v>
      </c>
    </row>
    <row r="172" spans="1:12">
      <c r="A172" s="522">
        <f t="shared" si="17"/>
        <v>168</v>
      </c>
      <c r="B172" s="492"/>
      <c r="C172" s="493" t="s">
        <v>1401</v>
      </c>
      <c r="D172" s="486"/>
      <c r="E172" s="503">
        <f t="shared" ref="E172:L172" si="25">SUBTOTAL(9,E166:E171)</f>
        <v>0</v>
      </c>
      <c r="F172" s="503">
        <f t="shared" si="25"/>
        <v>0</v>
      </c>
      <c r="G172" s="503">
        <f t="shared" si="25"/>
        <v>62199.255381832088</v>
      </c>
      <c r="H172" s="503">
        <f t="shared" si="25"/>
        <v>0</v>
      </c>
      <c r="I172" s="503">
        <f t="shared" si="25"/>
        <v>0</v>
      </c>
      <c r="J172" s="869"/>
      <c r="K172" s="503">
        <f t="shared" si="25"/>
        <v>0</v>
      </c>
      <c r="L172" s="503">
        <f t="shared" si="25"/>
        <v>0</v>
      </c>
    </row>
    <row r="173" spans="1:12">
      <c r="A173" s="522">
        <f t="shared" si="17"/>
        <v>169</v>
      </c>
      <c r="B173" s="491" t="s">
        <v>1086</v>
      </c>
      <c r="C173" s="497"/>
      <c r="D173" s="486"/>
      <c r="E173" s="381"/>
      <c r="F173" s="381"/>
      <c r="G173" s="381"/>
      <c r="H173" s="381"/>
      <c r="I173" s="381"/>
      <c r="J173" s="881"/>
      <c r="K173" s="381"/>
      <c r="L173" s="381"/>
    </row>
    <row r="174" spans="1:12">
      <c r="A174" s="522">
        <f t="shared" si="17"/>
        <v>170</v>
      </c>
      <c r="C174" s="496" t="s">
        <v>1087</v>
      </c>
      <c r="D174" s="486"/>
      <c r="E174" s="382">
        <f t="shared" ref="E174:K174" si="26">E6/4.5*30000*0.5</f>
        <v>0</v>
      </c>
      <c r="F174" s="382">
        <f t="shared" si="26"/>
        <v>0</v>
      </c>
      <c r="G174" s="382">
        <f t="shared" si="26"/>
        <v>6666.6666666666661</v>
      </c>
      <c r="H174" s="382">
        <f t="shared" si="26"/>
        <v>0</v>
      </c>
      <c r="I174" s="382">
        <f>I6/4.5*30000*0.5</f>
        <v>0</v>
      </c>
      <c r="J174" s="876"/>
      <c r="K174" s="382">
        <f t="shared" si="26"/>
        <v>0</v>
      </c>
      <c r="L174" s="382">
        <f>L6/1*2500*0.5</f>
        <v>0</v>
      </c>
    </row>
    <row r="175" spans="1:12">
      <c r="A175" s="522">
        <f t="shared" si="17"/>
        <v>171</v>
      </c>
      <c r="C175" s="496" t="s">
        <v>1089</v>
      </c>
      <c r="D175" s="486"/>
      <c r="E175" s="382">
        <f t="shared" ref="E175:K175" si="27">E6/4.5*30000*0.2</f>
        <v>0</v>
      </c>
      <c r="F175" s="382">
        <f t="shared" si="27"/>
        <v>0</v>
      </c>
      <c r="G175" s="382">
        <f t="shared" si="27"/>
        <v>2666.6666666666665</v>
      </c>
      <c r="H175" s="382">
        <f t="shared" si="27"/>
        <v>0</v>
      </c>
      <c r="I175" s="382">
        <f>I6/4.5*30000*0.2</f>
        <v>0</v>
      </c>
      <c r="J175" s="876"/>
      <c r="K175" s="382">
        <f t="shared" si="27"/>
        <v>0</v>
      </c>
      <c r="L175" s="382">
        <f>L6/1*2500*0.2</f>
        <v>0</v>
      </c>
    </row>
    <row r="176" spans="1:12">
      <c r="A176" s="522">
        <f t="shared" si="17"/>
        <v>172</v>
      </c>
      <c r="C176" s="496" t="s">
        <v>705</v>
      </c>
      <c r="D176" s="486"/>
      <c r="E176" s="382">
        <f t="shared" ref="E176:K176" si="28">E6/4.5*30000*0.1</f>
        <v>0</v>
      </c>
      <c r="F176" s="382">
        <f t="shared" si="28"/>
        <v>0</v>
      </c>
      <c r="G176" s="382">
        <f t="shared" si="28"/>
        <v>1333.3333333333333</v>
      </c>
      <c r="H176" s="382">
        <f t="shared" si="28"/>
        <v>0</v>
      </c>
      <c r="I176" s="382">
        <f>I6/4.5*30000*0.1</f>
        <v>0</v>
      </c>
      <c r="J176" s="876"/>
      <c r="K176" s="382">
        <f t="shared" si="28"/>
        <v>0</v>
      </c>
      <c r="L176" s="382">
        <f>L6/1*2500*0.1</f>
        <v>0</v>
      </c>
    </row>
    <row r="177" spans="1:12">
      <c r="A177" s="522">
        <f t="shared" si="17"/>
        <v>173</v>
      </c>
      <c r="C177" s="496" t="s">
        <v>1082</v>
      </c>
      <c r="D177" s="486"/>
      <c r="E177" s="382">
        <f t="shared" ref="E177:K177" si="29">E6/4.5*30000*0.15</f>
        <v>0</v>
      </c>
      <c r="F177" s="382">
        <f t="shared" si="29"/>
        <v>0</v>
      </c>
      <c r="G177" s="382">
        <f t="shared" si="29"/>
        <v>1999.9999999999998</v>
      </c>
      <c r="H177" s="382">
        <f t="shared" si="29"/>
        <v>0</v>
      </c>
      <c r="I177" s="382">
        <f>I6/4.5*30000*0.15</f>
        <v>0</v>
      </c>
      <c r="J177" s="876"/>
      <c r="K177" s="382">
        <f t="shared" si="29"/>
        <v>0</v>
      </c>
      <c r="L177" s="382">
        <f>L6/1*2500*0.15</f>
        <v>0</v>
      </c>
    </row>
    <row r="178" spans="1:12">
      <c r="A178" s="522">
        <f t="shared" si="17"/>
        <v>174</v>
      </c>
      <c r="C178" s="496" t="s">
        <v>1084</v>
      </c>
      <c r="D178" s="486"/>
      <c r="E178" s="382">
        <f t="shared" ref="E178:K178" si="30">E6/4.5*30000*0.05</f>
        <v>0</v>
      </c>
      <c r="F178" s="382">
        <f t="shared" si="30"/>
        <v>0</v>
      </c>
      <c r="G178" s="382">
        <f t="shared" si="30"/>
        <v>666.66666666666663</v>
      </c>
      <c r="H178" s="382">
        <f t="shared" si="30"/>
        <v>0</v>
      </c>
      <c r="I178" s="382">
        <f>I6/4.5*30000*0.05</f>
        <v>0</v>
      </c>
      <c r="J178" s="876"/>
      <c r="K178" s="382">
        <f t="shared" si="30"/>
        <v>0</v>
      </c>
      <c r="L178" s="382">
        <f>L6/1*2500*0.05</f>
        <v>0</v>
      </c>
    </row>
    <row r="179" spans="1:12">
      <c r="A179" s="522">
        <f t="shared" si="17"/>
        <v>175</v>
      </c>
      <c r="C179" s="496" t="s">
        <v>494</v>
      </c>
      <c r="D179" s="486"/>
      <c r="E179" s="502">
        <v>0</v>
      </c>
      <c r="F179" s="502">
        <v>0</v>
      </c>
      <c r="G179" s="502">
        <v>0</v>
      </c>
      <c r="H179" s="502">
        <v>0</v>
      </c>
      <c r="I179" s="502">
        <v>0</v>
      </c>
      <c r="J179" s="868"/>
      <c r="K179" s="502">
        <v>0</v>
      </c>
      <c r="L179" s="502">
        <v>0</v>
      </c>
    </row>
    <row r="180" spans="1:12">
      <c r="A180" s="522">
        <f t="shared" si="17"/>
        <v>176</v>
      </c>
      <c r="C180" s="501" t="s">
        <v>711</v>
      </c>
      <c r="D180" s="486"/>
      <c r="E180" s="502">
        <v>0</v>
      </c>
      <c r="F180" s="502">
        <v>0</v>
      </c>
      <c r="G180" s="502">
        <v>0</v>
      </c>
      <c r="H180" s="502">
        <v>0</v>
      </c>
      <c r="I180" s="502">
        <v>0</v>
      </c>
      <c r="J180" s="868"/>
      <c r="K180" s="502">
        <v>0</v>
      </c>
      <c r="L180" s="502">
        <v>0</v>
      </c>
    </row>
    <row r="181" spans="1:12">
      <c r="A181" s="522">
        <f t="shared" ref="A181:A244" si="31">+A180+1</f>
        <v>177</v>
      </c>
      <c r="B181" s="332"/>
      <c r="C181" s="496" t="s">
        <v>711</v>
      </c>
      <c r="D181" s="486"/>
      <c r="E181" s="502">
        <v>0</v>
      </c>
      <c r="F181" s="502">
        <v>0</v>
      </c>
      <c r="G181" s="502">
        <v>0</v>
      </c>
      <c r="H181" s="502">
        <v>0</v>
      </c>
      <c r="I181" s="502">
        <v>0</v>
      </c>
      <c r="J181" s="868"/>
      <c r="K181" s="502">
        <v>0</v>
      </c>
      <c r="L181" s="502">
        <v>0</v>
      </c>
    </row>
    <row r="182" spans="1:12">
      <c r="A182" s="522">
        <f t="shared" si="31"/>
        <v>178</v>
      </c>
      <c r="B182" s="492"/>
      <c r="C182" s="493" t="s">
        <v>1401</v>
      </c>
      <c r="D182" s="486"/>
      <c r="E182" s="503">
        <f t="shared" ref="E182:L182" si="32">SUBTOTAL(9,E174:E181)</f>
        <v>0</v>
      </c>
      <c r="F182" s="503">
        <f t="shared" si="32"/>
        <v>0</v>
      </c>
      <c r="G182" s="503">
        <f t="shared" si="32"/>
        <v>13333.333333333332</v>
      </c>
      <c r="H182" s="503">
        <f t="shared" si="32"/>
        <v>0</v>
      </c>
      <c r="I182" s="503">
        <f t="shared" si="32"/>
        <v>0</v>
      </c>
      <c r="J182" s="869"/>
      <c r="K182" s="503">
        <f t="shared" si="32"/>
        <v>0</v>
      </c>
      <c r="L182" s="503">
        <f t="shared" si="32"/>
        <v>0</v>
      </c>
    </row>
    <row r="183" spans="1:12">
      <c r="A183" s="522">
        <f t="shared" si="31"/>
        <v>179</v>
      </c>
      <c r="B183" s="491" t="s">
        <v>1091</v>
      </c>
      <c r="C183" s="497"/>
      <c r="D183" s="486"/>
      <c r="E183" s="381"/>
      <c r="F183" s="381"/>
      <c r="G183" s="381"/>
      <c r="H183" s="381"/>
      <c r="I183" s="381"/>
      <c r="J183" s="881"/>
      <c r="K183" s="381"/>
      <c r="L183" s="381"/>
    </row>
    <row r="184" spans="1:12" s="213" customFormat="1">
      <c r="A184" s="522">
        <f t="shared" si="31"/>
        <v>180</v>
      </c>
      <c r="B184" s="499"/>
      <c r="C184" s="496" t="s">
        <v>1087</v>
      </c>
      <c r="D184" s="498"/>
      <c r="E184" s="382">
        <f t="shared" ref="E184:K184" si="33">(E$7/414)^0.6*140000*0.5</f>
        <v>0</v>
      </c>
      <c r="F184" s="382">
        <f t="shared" si="33"/>
        <v>0</v>
      </c>
      <c r="G184" s="382">
        <f t="shared" si="33"/>
        <v>62199.255381832081</v>
      </c>
      <c r="H184" s="382">
        <f t="shared" si="33"/>
        <v>0</v>
      </c>
      <c r="I184" s="382">
        <f t="shared" si="33"/>
        <v>0</v>
      </c>
      <c r="J184" s="876"/>
      <c r="K184" s="382">
        <f t="shared" si="33"/>
        <v>0</v>
      </c>
      <c r="L184" s="382">
        <f>(L$7/7/414)^0.6*140000*0.5</f>
        <v>0</v>
      </c>
    </row>
    <row r="185" spans="1:12" s="213" customFormat="1">
      <c r="A185" s="522">
        <f t="shared" si="31"/>
        <v>181</v>
      </c>
      <c r="B185" s="499"/>
      <c r="C185" s="496" t="s">
        <v>1089</v>
      </c>
      <c r="D185" s="498"/>
      <c r="E185" s="382">
        <f t="shared" ref="E185:K185" si="34">(E$7/414)^0.6*140000*0.2</f>
        <v>0</v>
      </c>
      <c r="F185" s="382">
        <f t="shared" si="34"/>
        <v>0</v>
      </c>
      <c r="G185" s="382">
        <f t="shared" si="34"/>
        <v>24879.702152732832</v>
      </c>
      <c r="H185" s="382">
        <f t="shared" si="34"/>
        <v>0</v>
      </c>
      <c r="I185" s="382">
        <f t="shared" si="34"/>
        <v>0</v>
      </c>
      <c r="J185" s="876"/>
      <c r="K185" s="382">
        <f t="shared" si="34"/>
        <v>0</v>
      </c>
      <c r="L185" s="382">
        <f>(L$7/7/414)^0.6*140000*0.2</f>
        <v>0</v>
      </c>
    </row>
    <row r="186" spans="1:12" s="213" customFormat="1">
      <c r="A186" s="522">
        <f t="shared" si="31"/>
        <v>182</v>
      </c>
      <c r="B186" s="499"/>
      <c r="C186" s="496" t="s">
        <v>705</v>
      </c>
      <c r="D186" s="498"/>
      <c r="E186" s="382">
        <f t="shared" ref="E186:K186" si="35">(E$7/414)^0.6*140000*0.1</f>
        <v>0</v>
      </c>
      <c r="F186" s="382">
        <f t="shared" si="35"/>
        <v>0</v>
      </c>
      <c r="G186" s="382">
        <f t="shared" si="35"/>
        <v>12439.851076366416</v>
      </c>
      <c r="H186" s="382">
        <f t="shared" si="35"/>
        <v>0</v>
      </c>
      <c r="I186" s="382">
        <f t="shared" si="35"/>
        <v>0</v>
      </c>
      <c r="J186" s="876"/>
      <c r="K186" s="382">
        <f t="shared" si="35"/>
        <v>0</v>
      </c>
      <c r="L186" s="382">
        <f>(L$7/7/414)^0.6*140000*0.1</f>
        <v>0</v>
      </c>
    </row>
    <row r="187" spans="1:12" s="213" customFormat="1">
      <c r="A187" s="522">
        <f t="shared" si="31"/>
        <v>183</v>
      </c>
      <c r="B187" s="499"/>
      <c r="C187" s="496" t="s">
        <v>1094</v>
      </c>
      <c r="D187" s="498"/>
      <c r="E187" s="382">
        <f t="shared" ref="E187:K187" si="36">(E$7/414)^0.6*140000*0.15</f>
        <v>0</v>
      </c>
      <c r="F187" s="382">
        <f t="shared" si="36"/>
        <v>0</v>
      </c>
      <c r="G187" s="382">
        <f t="shared" si="36"/>
        <v>18659.776614549624</v>
      </c>
      <c r="H187" s="382">
        <f t="shared" si="36"/>
        <v>0</v>
      </c>
      <c r="I187" s="382">
        <f t="shared" si="36"/>
        <v>0</v>
      </c>
      <c r="J187" s="876"/>
      <c r="K187" s="382">
        <f t="shared" si="36"/>
        <v>0</v>
      </c>
      <c r="L187" s="382">
        <f>(L$7/7/414)^0.6*140000*0.15</f>
        <v>0</v>
      </c>
    </row>
    <row r="188" spans="1:12" s="213" customFormat="1">
      <c r="A188" s="522">
        <f t="shared" si="31"/>
        <v>184</v>
      </c>
      <c r="B188" s="499"/>
      <c r="C188" s="496" t="s">
        <v>1084</v>
      </c>
      <c r="D188" s="498"/>
      <c r="E188" s="382">
        <f t="shared" ref="E188:K188" si="37">(E$7/414)^0.6*140000*0.05</f>
        <v>0</v>
      </c>
      <c r="F188" s="382">
        <f t="shared" si="37"/>
        <v>0</v>
      </c>
      <c r="G188" s="382">
        <f t="shared" si="37"/>
        <v>6219.9255381832081</v>
      </c>
      <c r="H188" s="382">
        <f t="shared" si="37"/>
        <v>0</v>
      </c>
      <c r="I188" s="382">
        <f t="shared" si="37"/>
        <v>0</v>
      </c>
      <c r="J188" s="876"/>
      <c r="K188" s="382">
        <f t="shared" si="37"/>
        <v>0</v>
      </c>
      <c r="L188" s="382">
        <f>(L$7/7/414)^0.6*140000*0.05</f>
        <v>0</v>
      </c>
    </row>
    <row r="189" spans="1:12" s="213" customFormat="1">
      <c r="A189" s="522">
        <f t="shared" si="31"/>
        <v>185</v>
      </c>
      <c r="B189" s="499"/>
      <c r="C189" s="496" t="s">
        <v>470</v>
      </c>
      <c r="D189" s="498"/>
      <c r="E189" s="502">
        <v>0</v>
      </c>
      <c r="F189" s="502">
        <v>0</v>
      </c>
      <c r="G189" s="502">
        <v>0</v>
      </c>
      <c r="H189" s="502">
        <v>0</v>
      </c>
      <c r="I189" s="502">
        <v>0</v>
      </c>
      <c r="J189" s="868"/>
      <c r="K189" s="502">
        <v>0</v>
      </c>
      <c r="L189" s="502">
        <v>0</v>
      </c>
    </row>
    <row r="190" spans="1:12" s="213" customFormat="1">
      <c r="A190" s="522">
        <f t="shared" si="31"/>
        <v>186</v>
      </c>
      <c r="B190" s="499"/>
      <c r="C190" s="496" t="s">
        <v>494</v>
      </c>
      <c r="D190" s="498"/>
      <c r="E190" s="502">
        <v>0</v>
      </c>
      <c r="F190" s="502">
        <v>0</v>
      </c>
      <c r="G190" s="502">
        <v>0</v>
      </c>
      <c r="H190" s="502">
        <v>0</v>
      </c>
      <c r="I190" s="502">
        <v>0</v>
      </c>
      <c r="J190" s="868"/>
      <c r="K190" s="502">
        <v>0</v>
      </c>
      <c r="L190" s="502">
        <v>0</v>
      </c>
    </row>
    <row r="191" spans="1:12">
      <c r="A191" s="522">
        <f t="shared" si="31"/>
        <v>187</v>
      </c>
      <c r="B191" s="492"/>
      <c r="C191" s="493" t="s">
        <v>1401</v>
      </c>
      <c r="D191" s="486"/>
      <c r="E191" s="503">
        <f t="shared" ref="E191:L191" si="38">SUBTOTAL(9,E184:E190)</f>
        <v>0</v>
      </c>
      <c r="F191" s="503">
        <f t="shared" si="38"/>
        <v>0</v>
      </c>
      <c r="G191" s="503">
        <f t="shared" si="38"/>
        <v>124398.51076366416</v>
      </c>
      <c r="H191" s="503">
        <f t="shared" si="38"/>
        <v>0</v>
      </c>
      <c r="I191" s="503">
        <f t="shared" si="38"/>
        <v>0</v>
      </c>
      <c r="J191" s="869"/>
      <c r="K191" s="503">
        <f t="shared" si="38"/>
        <v>0</v>
      </c>
      <c r="L191" s="503">
        <f t="shared" si="38"/>
        <v>0</v>
      </c>
    </row>
    <row r="192" spans="1:12">
      <c r="A192" s="522">
        <f t="shared" si="31"/>
        <v>188</v>
      </c>
      <c r="B192" s="491" t="s">
        <v>1096</v>
      </c>
      <c r="C192" s="497"/>
      <c r="D192" s="486"/>
      <c r="E192" s="381"/>
      <c r="F192" s="381"/>
      <c r="G192" s="381"/>
      <c r="H192" s="381"/>
      <c r="I192" s="381"/>
      <c r="J192" s="881"/>
      <c r="K192" s="381"/>
      <c r="L192" s="381"/>
    </row>
    <row r="193" spans="1:12">
      <c r="A193" s="522">
        <f t="shared" si="31"/>
        <v>189</v>
      </c>
      <c r="C193" s="496" t="s">
        <v>1087</v>
      </c>
      <c r="D193" s="486"/>
      <c r="E193" s="502">
        <f t="shared" ref="E193:K193" si="39">(E$7/414)^0.6*179000*0.5</f>
        <v>0</v>
      </c>
      <c r="F193" s="502">
        <f t="shared" si="39"/>
        <v>0</v>
      </c>
      <c r="G193" s="502">
        <f t="shared" si="39"/>
        <v>79526.19080962817</v>
      </c>
      <c r="H193" s="502">
        <f t="shared" si="39"/>
        <v>0</v>
      </c>
      <c r="I193" s="502">
        <f t="shared" si="39"/>
        <v>0</v>
      </c>
      <c r="J193" s="868"/>
      <c r="K193" s="502">
        <f t="shared" si="39"/>
        <v>0</v>
      </c>
      <c r="L193" s="502">
        <f>($N$7/414)^0.6*179000*0.5</f>
        <v>0</v>
      </c>
    </row>
    <row r="194" spans="1:12">
      <c r="A194" s="522">
        <f t="shared" si="31"/>
        <v>190</v>
      </c>
      <c r="C194" s="496" t="s">
        <v>1089</v>
      </c>
      <c r="D194" s="486"/>
      <c r="E194" s="502">
        <f t="shared" ref="E194:K194" si="40">(E$7/414)^0.6*179000*0.2</f>
        <v>0</v>
      </c>
      <c r="F194" s="502">
        <f t="shared" si="40"/>
        <v>0</v>
      </c>
      <c r="G194" s="502">
        <f t="shared" si="40"/>
        <v>31810.476323851268</v>
      </c>
      <c r="H194" s="502">
        <f t="shared" si="40"/>
        <v>0</v>
      </c>
      <c r="I194" s="502">
        <f t="shared" si="40"/>
        <v>0</v>
      </c>
      <c r="J194" s="868"/>
      <c r="K194" s="502">
        <f t="shared" si="40"/>
        <v>0</v>
      </c>
      <c r="L194" s="502">
        <f>($N$7/414)^0.6*179000*0.2</f>
        <v>0</v>
      </c>
    </row>
    <row r="195" spans="1:12">
      <c r="A195" s="522">
        <f t="shared" si="31"/>
        <v>191</v>
      </c>
      <c r="C195" s="496" t="s">
        <v>705</v>
      </c>
      <c r="D195" s="486"/>
      <c r="E195" s="502">
        <f t="shared" ref="E195:K195" si="41">(E$7/414)^0.6*179000*0.1</f>
        <v>0</v>
      </c>
      <c r="F195" s="502">
        <f t="shared" si="41"/>
        <v>0</v>
      </c>
      <c r="G195" s="502">
        <f t="shared" si="41"/>
        <v>15905.238161925634</v>
      </c>
      <c r="H195" s="502">
        <f t="shared" si="41"/>
        <v>0</v>
      </c>
      <c r="I195" s="502">
        <f t="shared" si="41"/>
        <v>0</v>
      </c>
      <c r="J195" s="868"/>
      <c r="K195" s="502">
        <f t="shared" si="41"/>
        <v>0</v>
      </c>
      <c r="L195" s="502">
        <f>($N$7/414)^0.6*179000*0.1</f>
        <v>0</v>
      </c>
    </row>
    <row r="196" spans="1:12">
      <c r="A196" s="522">
        <f t="shared" si="31"/>
        <v>192</v>
      </c>
      <c r="C196" s="496" t="s">
        <v>1094</v>
      </c>
      <c r="D196" s="486"/>
      <c r="E196" s="502">
        <f t="shared" ref="E196:K196" si="42">(E$7/414)^0.6*179000*0.15</f>
        <v>0</v>
      </c>
      <c r="F196" s="502">
        <f t="shared" si="42"/>
        <v>0</v>
      </c>
      <c r="G196" s="502">
        <f t="shared" si="42"/>
        <v>23857.857242888451</v>
      </c>
      <c r="H196" s="502">
        <f t="shared" si="42"/>
        <v>0</v>
      </c>
      <c r="I196" s="502">
        <f t="shared" si="42"/>
        <v>0</v>
      </c>
      <c r="J196" s="868"/>
      <c r="K196" s="502">
        <f t="shared" si="42"/>
        <v>0</v>
      </c>
      <c r="L196" s="502">
        <f>($N$7/414)^0.6*179000*0.15</f>
        <v>0</v>
      </c>
    </row>
    <row r="197" spans="1:12">
      <c r="A197" s="522">
        <f t="shared" si="31"/>
        <v>193</v>
      </c>
      <c r="C197" s="496" t="s">
        <v>1084</v>
      </c>
      <c r="D197" s="486"/>
      <c r="E197" s="502">
        <f t="shared" ref="E197:K197" si="43">(E$7/414)^0.6*179000*0.05</f>
        <v>0</v>
      </c>
      <c r="F197" s="502">
        <f t="shared" si="43"/>
        <v>0</v>
      </c>
      <c r="G197" s="502">
        <f t="shared" si="43"/>
        <v>7952.619080962817</v>
      </c>
      <c r="H197" s="502">
        <f t="shared" si="43"/>
        <v>0</v>
      </c>
      <c r="I197" s="502">
        <f t="shared" si="43"/>
        <v>0</v>
      </c>
      <c r="J197" s="868"/>
      <c r="K197" s="502">
        <f t="shared" si="43"/>
        <v>0</v>
      </c>
      <c r="L197" s="502">
        <f>($N$7/414)^0.6*179000*0.05</f>
        <v>0</v>
      </c>
    </row>
    <row r="198" spans="1:12">
      <c r="A198" s="522">
        <f t="shared" si="31"/>
        <v>194</v>
      </c>
      <c r="C198" s="496" t="s">
        <v>324</v>
      </c>
      <c r="D198" s="486"/>
      <c r="E198" s="502">
        <f>2500*(E7/43)^0.6*(E8/2000)</f>
        <v>0</v>
      </c>
      <c r="F198" s="502">
        <v>0</v>
      </c>
      <c r="G198" s="502">
        <v>0</v>
      </c>
      <c r="H198" s="502">
        <v>0</v>
      </c>
      <c r="I198" s="502">
        <v>0</v>
      </c>
      <c r="J198" s="868"/>
      <c r="K198" s="502">
        <v>0</v>
      </c>
      <c r="L198" s="502">
        <v>0</v>
      </c>
    </row>
    <row r="199" spans="1:12">
      <c r="A199" s="522">
        <f t="shared" si="31"/>
        <v>195</v>
      </c>
      <c r="C199" s="496" t="s">
        <v>494</v>
      </c>
      <c r="D199" s="486"/>
      <c r="E199" s="502">
        <v>0</v>
      </c>
      <c r="F199" s="502">
        <v>0</v>
      </c>
      <c r="G199" s="502">
        <v>0</v>
      </c>
      <c r="H199" s="502">
        <v>0</v>
      </c>
      <c r="I199" s="502">
        <v>0</v>
      </c>
      <c r="J199" s="868"/>
      <c r="K199" s="502">
        <v>0</v>
      </c>
      <c r="L199" s="502">
        <v>0</v>
      </c>
    </row>
    <row r="200" spans="1:12">
      <c r="A200" s="522">
        <f t="shared" si="31"/>
        <v>196</v>
      </c>
      <c r="B200" s="332"/>
      <c r="C200" s="496" t="s">
        <v>711</v>
      </c>
      <c r="D200" s="486"/>
      <c r="E200" s="502">
        <v>0</v>
      </c>
      <c r="F200" s="502">
        <v>0</v>
      </c>
      <c r="G200" s="502">
        <v>0</v>
      </c>
      <c r="H200" s="502">
        <v>0</v>
      </c>
      <c r="I200" s="502">
        <v>0</v>
      </c>
      <c r="J200" s="868"/>
      <c r="K200" s="502">
        <v>0</v>
      </c>
      <c r="L200" s="502">
        <v>0</v>
      </c>
    </row>
    <row r="201" spans="1:12">
      <c r="A201" s="522">
        <f t="shared" si="31"/>
        <v>197</v>
      </c>
      <c r="B201" s="492"/>
      <c r="C201" s="493" t="s">
        <v>1401</v>
      </c>
      <c r="D201" s="486"/>
      <c r="E201" s="503">
        <f t="shared" ref="E201:L201" si="44">SUBTOTAL(9,E193:E200)</f>
        <v>0</v>
      </c>
      <c r="F201" s="503">
        <f t="shared" si="44"/>
        <v>0</v>
      </c>
      <c r="G201" s="503">
        <f t="shared" si="44"/>
        <v>159052.38161925634</v>
      </c>
      <c r="H201" s="503">
        <f t="shared" si="44"/>
        <v>0</v>
      </c>
      <c r="I201" s="503">
        <f t="shared" si="44"/>
        <v>0</v>
      </c>
      <c r="J201" s="869"/>
      <c r="K201" s="503">
        <f t="shared" si="44"/>
        <v>0</v>
      </c>
      <c r="L201" s="503">
        <f t="shared" si="44"/>
        <v>0</v>
      </c>
    </row>
    <row r="202" spans="1:12">
      <c r="A202" s="522">
        <f t="shared" si="31"/>
        <v>198</v>
      </c>
      <c r="B202" s="491" t="s">
        <v>1098</v>
      </c>
      <c r="C202" s="497"/>
      <c r="D202" s="486"/>
      <c r="E202" s="381"/>
      <c r="F202" s="381"/>
      <c r="G202" s="381"/>
      <c r="H202" s="381"/>
      <c r="I202" s="381"/>
      <c r="J202" s="881"/>
      <c r="K202" s="381"/>
      <c r="L202" s="381"/>
    </row>
    <row r="203" spans="1:12">
      <c r="A203" s="522">
        <f t="shared" si="31"/>
        <v>199</v>
      </c>
      <c r="C203" s="496" t="s">
        <v>1087</v>
      </c>
      <c r="D203" s="486"/>
      <c r="E203" s="382">
        <f>IF(E$6=0,0,E$6/4.5*(E$7/E6/104)^0.6*94000*0.5)</f>
        <v>0</v>
      </c>
      <c r="F203" s="382">
        <f>IF(F$6=0,0,F$6/4.5*(F$7/F6/104)^0.6*94000*0.5)</f>
        <v>0</v>
      </c>
      <c r="G203" s="382">
        <f>IF(G$6=0,0,G$6/4.5*(G$7/G6/104)^0.6*94000*0.5)</f>
        <v>28052.055474691377</v>
      </c>
      <c r="H203" s="382">
        <f>IF(H$6=0,0,H$6/4.5*(H$7/H6/104)^0.6*94000*0.5)</f>
        <v>0</v>
      </c>
      <c r="I203" s="382">
        <f>IF(I$6=0,0,I$6/4.5*(I$7/I6/104)^0.6*94000*0.5)</f>
        <v>0</v>
      </c>
      <c r="J203" s="876"/>
      <c r="K203" s="382">
        <f>IF(K$6=0,0,K$6/4.5*(K$7/K6/104)^0.6*94000*0.5)</f>
        <v>0</v>
      </c>
      <c r="L203" s="382">
        <f>$N$6/4.5*($N$7/104)^0.6*94000*0.5</f>
        <v>0</v>
      </c>
    </row>
    <row r="204" spans="1:12">
      <c r="A204" s="522">
        <f t="shared" si="31"/>
        <v>200</v>
      </c>
      <c r="C204" s="496" t="s">
        <v>1100</v>
      </c>
      <c r="D204" s="486"/>
      <c r="E204" s="382">
        <f>IF(E$6=0,0,E$6/4.5*(E$7/E6/104)^0.6*94000*0.2)</f>
        <v>0</v>
      </c>
      <c r="F204" s="382">
        <f>IF(F$6=0,0,F$6/4.5*(F$7/F6/104)^0.6*94000*0.2)</f>
        <v>0</v>
      </c>
      <c r="G204" s="382">
        <f>IF(G$6=0,0,G$6/4.5*(G$7/G6/104)^0.6*94000*0.2)</f>
        <v>11220.822189876551</v>
      </c>
      <c r="H204" s="382">
        <f>IF(H$6=0,0,H$6/4.5*(H$7/H6/104)^0.6*94000*0.2)</f>
        <v>0</v>
      </c>
      <c r="I204" s="382">
        <f>IF(I$6=0,0,I$6/4.5*(I$7/I6/104)^0.6*94000*0.2)</f>
        <v>0</v>
      </c>
      <c r="J204" s="876"/>
      <c r="K204" s="382">
        <f>IF(K$6=0,0,K$6/4.5*(K$7/K6/104)^0.6*94000*0.2)</f>
        <v>0</v>
      </c>
      <c r="L204" s="382">
        <f>$N$6/4.5*($N$7/104)^0.6*94000*0.2</f>
        <v>0</v>
      </c>
    </row>
    <row r="205" spans="1:12">
      <c r="A205" s="522">
        <f t="shared" si="31"/>
        <v>201</v>
      </c>
      <c r="C205" s="496" t="s">
        <v>1089</v>
      </c>
      <c r="D205" s="486"/>
      <c r="E205" s="382">
        <f>IF(E$6=0,0,E$6/4.5*(E$7/E6/104)^0.6*94000*0.1)</f>
        <v>0</v>
      </c>
      <c r="F205" s="382">
        <f>IF(F$6=0,0,F$6/4.5*(F$7/F6/104)^0.6*94000*0.1)</f>
        <v>0</v>
      </c>
      <c r="G205" s="382">
        <f>IF(G$6=0,0,G$6/4.5*(G$7/G6/104)^0.6*94000*0.1)</f>
        <v>5610.4110949382757</v>
      </c>
      <c r="H205" s="382">
        <f>IF(H$6=0,0,H$6/4.5*(H$7/H6/104)^0.6*94000*0.1)</f>
        <v>0</v>
      </c>
      <c r="I205" s="382">
        <f>IF(I$6=0,0,I$6/4.5*(I$7/I6/104)^0.6*94000*0.1)</f>
        <v>0</v>
      </c>
      <c r="J205" s="876"/>
      <c r="K205" s="382">
        <f>IF(K$6=0,0,K$6/4.5*(K$7/K6/104)^0.6*94000*0.1)</f>
        <v>0</v>
      </c>
      <c r="L205" s="382">
        <f>$N$6/4.5*($N$7/104)^0.6*94000*0.1</f>
        <v>0</v>
      </c>
    </row>
    <row r="206" spans="1:12">
      <c r="A206" s="522">
        <f t="shared" si="31"/>
        <v>202</v>
      </c>
      <c r="C206" s="496" t="s">
        <v>705</v>
      </c>
      <c r="D206" s="486"/>
      <c r="E206" s="382">
        <f>IF(E$6=0,0,E$6/4.5*(E$7/E6/104)^0.6*94000*0.05)</f>
        <v>0</v>
      </c>
      <c r="F206" s="382">
        <f>IF(F$6=0,0,F$6/4.5*(F$7/F6/104)^0.6*94000*0.05)</f>
        <v>0</v>
      </c>
      <c r="G206" s="382">
        <f>IF(G$6=0,0,G$6/4.5*(G$7/G6/104)^0.6*94000*0.05)</f>
        <v>2805.2055474691379</v>
      </c>
      <c r="H206" s="382">
        <f>IF(H$6=0,0,H$6/4.5*(H$7/H6/104)^0.6*94000*0.05)</f>
        <v>0</v>
      </c>
      <c r="I206" s="382">
        <f>IF(I$6=0,0,I$6/4.5*(I$7/I6/104)^0.6*94000*0.05)</f>
        <v>0</v>
      </c>
      <c r="J206" s="876"/>
      <c r="K206" s="382">
        <f>IF(K$6=0,0,K$6/4.5*(K$7/K6/104)^0.6*94000*0.05)</f>
        <v>0</v>
      </c>
      <c r="L206" s="382">
        <f>$N$6/4.5*($N$7/104)^0.6*94000*0.05</f>
        <v>0</v>
      </c>
    </row>
    <row r="207" spans="1:12">
      <c r="A207" s="522">
        <f t="shared" si="31"/>
        <v>203</v>
      </c>
      <c r="C207" s="496" t="s">
        <v>1094</v>
      </c>
      <c r="D207" s="486"/>
      <c r="E207" s="382">
        <f>IF(E$6=0,0,E$6/4.5*(E$7/E6/104)^0.6*94000*0.1)</f>
        <v>0</v>
      </c>
      <c r="F207" s="382">
        <f>IF(F$6=0,0,F$6/4.5*(F$7/F6/104)^0.6*94000*0.1)</f>
        <v>0</v>
      </c>
      <c r="G207" s="382">
        <f>IF(G$6=0,0,G$6/4.5*(G$7/G6/104)^0.6*94000*0.1)</f>
        <v>5610.4110949382757</v>
      </c>
      <c r="H207" s="382">
        <f>IF(H$6=0,0,H$6/4.5*(H$7/H6/104)^0.6*94000*0.1)</f>
        <v>0</v>
      </c>
      <c r="I207" s="382">
        <f>IF(I$6=0,0,I$6/4.5*(I$7/I6/104)^0.6*94000*0.1)</f>
        <v>0</v>
      </c>
      <c r="J207" s="876"/>
      <c r="K207" s="382">
        <f>IF(K$6=0,0,K$6/4.5*(K$7/K6/104)^0.6*94000*0.1)</f>
        <v>0</v>
      </c>
      <c r="L207" s="382">
        <f>$N$6/4.5*($N$7/104)^0.6*94000*0.1</f>
        <v>0</v>
      </c>
    </row>
    <row r="208" spans="1:12">
      <c r="A208" s="522">
        <f t="shared" si="31"/>
        <v>204</v>
      </c>
      <c r="C208" s="496" t="s">
        <v>1084</v>
      </c>
      <c r="D208" s="486"/>
      <c r="E208" s="382">
        <f>IF(E$6=0,0,E$6/4.5*(E$7/E6/104)^0.6*94000*0.05)</f>
        <v>0</v>
      </c>
      <c r="F208" s="382">
        <f>IF(F$6=0,0,F$6/4.5*(F$7/F6/104)^0.6*94000*0.05)</f>
        <v>0</v>
      </c>
      <c r="G208" s="382">
        <f>IF(G$6=0,0,G$6/4.5*(G$7/G6/104)^0.6*94000*0.05)</f>
        <v>2805.2055474691379</v>
      </c>
      <c r="H208" s="382">
        <f>IF(H$6=0,0,H$6/4.5*(H$7/H6/104)^0.6*94000*0.05)</f>
        <v>0</v>
      </c>
      <c r="I208" s="382">
        <f>IF(I$6=0,0,I$6/4.5*(I$7/I6/104)^0.6*94000*0.05)</f>
        <v>0</v>
      </c>
      <c r="J208" s="876"/>
      <c r="K208" s="382">
        <f>IF(K$6=0,0,K$6/4.5*(K$7/K6/104)^0.6*94000*0.05)</f>
        <v>0</v>
      </c>
      <c r="L208" s="382">
        <f>$N$6/4.5*($N$7/104)^0.6*94000*0.05</f>
        <v>0</v>
      </c>
    </row>
    <row r="209" spans="1:12">
      <c r="A209" s="522">
        <f t="shared" si="31"/>
        <v>205</v>
      </c>
      <c r="C209" s="496" t="s">
        <v>470</v>
      </c>
      <c r="D209" s="486"/>
      <c r="E209" s="382">
        <v>0</v>
      </c>
      <c r="F209" s="382">
        <v>0</v>
      </c>
      <c r="G209" s="382">
        <v>0</v>
      </c>
      <c r="H209" s="382">
        <v>0</v>
      </c>
      <c r="I209" s="382">
        <v>0</v>
      </c>
      <c r="J209" s="876"/>
      <c r="K209" s="382">
        <v>0</v>
      </c>
      <c r="L209" s="382">
        <f>K209</f>
        <v>0</v>
      </c>
    </row>
    <row r="210" spans="1:12">
      <c r="A210" s="522">
        <f t="shared" si="31"/>
        <v>206</v>
      </c>
      <c r="C210" s="496" t="s">
        <v>494</v>
      </c>
      <c r="D210" s="486"/>
      <c r="E210" s="382">
        <v>0</v>
      </c>
      <c r="F210" s="382">
        <v>0</v>
      </c>
      <c r="G210" s="382">
        <v>0</v>
      </c>
      <c r="H210" s="382">
        <v>0</v>
      </c>
      <c r="I210" s="382">
        <v>0</v>
      </c>
      <c r="J210" s="876"/>
      <c r="K210" s="382">
        <v>0</v>
      </c>
      <c r="L210" s="382">
        <f>K210</f>
        <v>0</v>
      </c>
    </row>
    <row r="211" spans="1:12">
      <c r="A211" s="522">
        <f t="shared" si="31"/>
        <v>207</v>
      </c>
      <c r="B211" s="332"/>
      <c r="C211" s="496" t="s">
        <v>711</v>
      </c>
      <c r="D211" s="486"/>
      <c r="E211" s="382">
        <v>0</v>
      </c>
      <c r="F211" s="382">
        <v>0</v>
      </c>
      <c r="G211" s="382">
        <v>0</v>
      </c>
      <c r="H211" s="382">
        <v>0</v>
      </c>
      <c r="I211" s="382">
        <v>0</v>
      </c>
      <c r="J211" s="876"/>
      <c r="K211" s="382">
        <v>0</v>
      </c>
      <c r="L211" s="382">
        <f>K211</f>
        <v>0</v>
      </c>
    </row>
    <row r="212" spans="1:12">
      <c r="A212" s="522">
        <f t="shared" si="31"/>
        <v>208</v>
      </c>
      <c r="B212" s="492"/>
      <c r="C212" s="493" t="s">
        <v>1401</v>
      </c>
      <c r="D212" s="486"/>
      <c r="E212" s="503">
        <f t="shared" ref="E212:L212" si="45">SUBTOTAL(9,E203:E211)</f>
        <v>0</v>
      </c>
      <c r="F212" s="503">
        <f t="shared" si="45"/>
        <v>0</v>
      </c>
      <c r="G212" s="503">
        <f t="shared" si="45"/>
        <v>56104.110949382753</v>
      </c>
      <c r="H212" s="503">
        <f t="shared" si="45"/>
        <v>0</v>
      </c>
      <c r="I212" s="503">
        <f t="shared" si="45"/>
        <v>0</v>
      </c>
      <c r="J212" s="869"/>
      <c r="K212" s="503">
        <f t="shared" si="45"/>
        <v>0</v>
      </c>
      <c r="L212" s="503">
        <f t="shared" si="45"/>
        <v>0</v>
      </c>
    </row>
    <row r="213" spans="1:12">
      <c r="A213" s="522">
        <f t="shared" si="31"/>
        <v>209</v>
      </c>
      <c r="B213" s="491" t="s">
        <v>1107</v>
      </c>
      <c r="C213" s="497"/>
      <c r="D213" s="486"/>
      <c r="E213" s="383"/>
      <c r="F213" s="383"/>
      <c r="G213" s="383"/>
      <c r="H213" s="383"/>
      <c r="I213" s="383"/>
      <c r="J213" s="882"/>
      <c r="K213" s="383"/>
      <c r="L213" s="383"/>
    </row>
    <row r="214" spans="1:12">
      <c r="A214" s="522">
        <f t="shared" si="31"/>
        <v>210</v>
      </c>
      <c r="C214" s="496" t="s">
        <v>1087</v>
      </c>
      <c r="D214" s="486"/>
      <c r="E214" s="382">
        <f>IF(E$6=0,0,E$6/3*(E$7/E6/104)^0.6*554000*0.5)</f>
        <v>0</v>
      </c>
      <c r="F214" s="382">
        <f>IF(F$6=0,0,F$6/3*(F$7/F6/104)^0.6*554000*0.5)</f>
        <v>0</v>
      </c>
      <c r="G214" s="382">
        <f>IF(G$6=0,0,G$6/3*(G$7/G6/104)^0.6*554000*0.5)</f>
        <v>247992.10744115463</v>
      </c>
      <c r="H214" s="382">
        <f>IF(H$6=0,0,H$6/3*(H$7/H6/104)^0.6*554000*0.5)</f>
        <v>0</v>
      </c>
      <c r="I214" s="382">
        <f>IF(I$6=0,0,I$6/3*(I$7/I6/104)^0.6*554000*0.5)</f>
        <v>0</v>
      </c>
      <c r="J214" s="868"/>
      <c r="K214" s="382">
        <f>IF(K$6=0,0,K$6/3*(K$7/K6/104)^0.6*554000*0.5)</f>
        <v>0</v>
      </c>
      <c r="L214" s="382">
        <f>$N$6/3*($N$7/104)^0.6*554000*0.5</f>
        <v>0</v>
      </c>
    </row>
    <row r="215" spans="1:12">
      <c r="A215" s="522">
        <f t="shared" si="31"/>
        <v>211</v>
      </c>
      <c r="C215" s="496" t="s">
        <v>1089</v>
      </c>
      <c r="D215" s="486"/>
      <c r="E215" s="382">
        <f>IF(E$6=0,0,E$6/3*(E$7/E6/104)^0.6*554000*0.2)</f>
        <v>0</v>
      </c>
      <c r="F215" s="382">
        <f>IF(F$6=0,0,F$6/3*(F$7/F6/104)^0.6*554000*0.2)</f>
        <v>0</v>
      </c>
      <c r="G215" s="382">
        <f>IF(G$6=0,0,G$6/3*(G$7/G6/104)^0.6*554000*0.2)</f>
        <v>99196.842976461863</v>
      </c>
      <c r="H215" s="382">
        <f>IF(H$6=0,0,H$6/3*(H$7/H6/104)^0.6*554000*0.2)</f>
        <v>0</v>
      </c>
      <c r="I215" s="382">
        <f>IF(I$6=0,0,I$6/3*(I$7/I6/104)^0.6*554000*0.2)</f>
        <v>0</v>
      </c>
      <c r="J215" s="868"/>
      <c r="K215" s="382">
        <f>IF(K$6=0,0,K$6/3*(K$7/K6/104)^0.6*554000*0.2)</f>
        <v>0</v>
      </c>
      <c r="L215" s="382">
        <f>$N$6/3*($N$7/104)^0.6*554000*0.2</f>
        <v>0</v>
      </c>
    </row>
    <row r="216" spans="1:12">
      <c r="A216" s="522">
        <f t="shared" si="31"/>
        <v>212</v>
      </c>
      <c r="C216" s="496" t="s">
        <v>705</v>
      </c>
      <c r="D216" s="486"/>
      <c r="E216" s="382">
        <f>IF(E$6=0,0,E$6/3*(E$7/E6/104)^0.6*554000*0.1)</f>
        <v>0</v>
      </c>
      <c r="F216" s="382">
        <f>IF(F$6=0,0,F$6/3*(F$7/F6/104)^0.6*554000*0.1)</f>
        <v>0</v>
      </c>
      <c r="G216" s="382">
        <f>IF(G$6=0,0,G$6/3*(G$7/G6/104)^0.6*554000*0.1)</f>
        <v>49598.421488230932</v>
      </c>
      <c r="H216" s="382">
        <f>IF(H$6=0,0,H$6/3*(H$7/H6/104)^0.6*554000*0.1)</f>
        <v>0</v>
      </c>
      <c r="I216" s="382">
        <f>IF(I$6=0,0,I$6/3*(I$7/I6/104)^0.6*554000*0.1)</f>
        <v>0</v>
      </c>
      <c r="J216" s="868"/>
      <c r="K216" s="382">
        <f>IF(K$6=0,0,K$6/3*(K$7/K6/104)^0.6*554000*0.1)</f>
        <v>0</v>
      </c>
      <c r="L216" s="382">
        <f>$N$6/3*($N$7/104)^0.6*554000*0.1</f>
        <v>0</v>
      </c>
    </row>
    <row r="217" spans="1:12">
      <c r="A217" s="522">
        <f t="shared" si="31"/>
        <v>213</v>
      </c>
      <c r="C217" s="496" t="s">
        <v>1094</v>
      </c>
      <c r="D217" s="486"/>
      <c r="E217" s="382">
        <f>IF(E$6=0,0,E$6/3*(E$7/E6/104)^0.6*554000*0.15)</f>
        <v>0</v>
      </c>
      <c r="F217" s="382">
        <f>IF(F$6=0,0,F$6/3*(F$7/F6/104)^0.6*554000*0.15)</f>
        <v>0</v>
      </c>
      <c r="G217" s="382">
        <f>IF(G$6=0,0,G$6/3*(G$7/G6/104)^0.6*554000*0.15)</f>
        <v>74397.632232346383</v>
      </c>
      <c r="H217" s="382">
        <f>IF(H$6=0,0,H$6/3*(H$7/H6/104)^0.6*554000*0.15)</f>
        <v>0</v>
      </c>
      <c r="I217" s="382">
        <f>IF(I$6=0,0,I$6/3*(I$7/I6/104)^0.6*554000*0.15)</f>
        <v>0</v>
      </c>
      <c r="J217" s="868"/>
      <c r="K217" s="382">
        <f>IF(K$6=0,0,K$6/3*(K$7/K6/104)^0.6*554000*0.15)</f>
        <v>0</v>
      </c>
      <c r="L217" s="382">
        <f>$N$6/3*($N$7/104)^0.6*554000*0.15</f>
        <v>0</v>
      </c>
    </row>
    <row r="218" spans="1:12">
      <c r="A218" s="522">
        <f t="shared" si="31"/>
        <v>214</v>
      </c>
      <c r="C218" s="496" t="s">
        <v>1110</v>
      </c>
      <c r="D218" s="486"/>
      <c r="E218" s="382">
        <f>IF(E$6=0,0,E$6/3*(E$7/E6/104)^0.6*554000*0.05)</f>
        <v>0</v>
      </c>
      <c r="F218" s="382">
        <f>IF(F$6=0,0,F$6/3*(F$7/F6/104)^0.6*554000*0.05)</f>
        <v>0</v>
      </c>
      <c r="G218" s="382">
        <f>IF(G$6=0,0,G$6/3*(G$7/G6/104)^0.6*554000*0.05)</f>
        <v>24799.210744115466</v>
      </c>
      <c r="H218" s="382">
        <f>IF(H$6=0,0,H$6/3*(H$7/H6/104)^0.6*554000*0.05)</f>
        <v>0</v>
      </c>
      <c r="I218" s="382">
        <f>IF(I$6=0,0,I$6/3*(I$7/I6/104)^0.6*554000*0.05)</f>
        <v>0</v>
      </c>
      <c r="J218" s="868"/>
      <c r="K218" s="382">
        <f>IF(K$6=0,0,K$6/3*(K$7/K6/104)^0.6*554000*0.05)</f>
        <v>0</v>
      </c>
      <c r="L218" s="382">
        <f>$N$6/3*($N$7/104)^0.6*554000*0.05</f>
        <v>0</v>
      </c>
    </row>
    <row r="219" spans="1:12">
      <c r="A219" s="522">
        <f t="shared" si="31"/>
        <v>215</v>
      </c>
      <c r="C219" s="496" t="s">
        <v>470</v>
      </c>
      <c r="D219" s="486"/>
      <c r="E219" s="502">
        <v>0</v>
      </c>
      <c r="F219" s="502">
        <v>0</v>
      </c>
      <c r="G219" s="502">
        <v>0</v>
      </c>
      <c r="H219" s="502">
        <v>0</v>
      </c>
      <c r="I219" s="502">
        <v>0</v>
      </c>
      <c r="J219" s="868"/>
      <c r="K219" s="502">
        <v>0</v>
      </c>
      <c r="L219" s="502">
        <v>0</v>
      </c>
    </row>
    <row r="220" spans="1:12">
      <c r="A220" s="522">
        <f t="shared" si="31"/>
        <v>216</v>
      </c>
      <c r="C220" s="496" t="s">
        <v>494</v>
      </c>
      <c r="D220" s="486"/>
      <c r="E220" s="502">
        <v>0</v>
      </c>
      <c r="F220" s="502">
        <v>0</v>
      </c>
      <c r="G220" s="502">
        <v>0</v>
      </c>
      <c r="H220" s="502">
        <v>0</v>
      </c>
      <c r="I220" s="502">
        <v>0</v>
      </c>
      <c r="J220" s="868"/>
      <c r="K220" s="502">
        <v>0</v>
      </c>
      <c r="L220" s="502">
        <v>0</v>
      </c>
    </row>
    <row r="221" spans="1:12">
      <c r="A221" s="522">
        <f t="shared" si="31"/>
        <v>217</v>
      </c>
      <c r="B221" s="332"/>
      <c r="C221" s="496" t="s">
        <v>711</v>
      </c>
      <c r="D221" s="486"/>
      <c r="E221" s="502">
        <v>0</v>
      </c>
      <c r="F221" s="502">
        <v>0</v>
      </c>
      <c r="G221" s="502">
        <v>0</v>
      </c>
      <c r="H221" s="502">
        <v>0</v>
      </c>
      <c r="I221" s="502">
        <v>0</v>
      </c>
      <c r="J221" s="868"/>
      <c r="K221" s="502">
        <v>0</v>
      </c>
      <c r="L221" s="502">
        <v>0</v>
      </c>
    </row>
    <row r="222" spans="1:12">
      <c r="A222" s="522">
        <f t="shared" si="31"/>
        <v>218</v>
      </c>
      <c r="B222" s="492"/>
      <c r="C222" s="493" t="s">
        <v>1401</v>
      </c>
      <c r="D222" s="486"/>
      <c r="E222" s="503">
        <f t="shared" ref="E222:L222" si="46">SUBTOTAL(9,E214:E221)</f>
        <v>0</v>
      </c>
      <c r="F222" s="503">
        <f t="shared" si="46"/>
        <v>0</v>
      </c>
      <c r="G222" s="503">
        <f t="shared" si="46"/>
        <v>495984.21488230932</v>
      </c>
      <c r="H222" s="503">
        <f t="shared" si="46"/>
        <v>0</v>
      </c>
      <c r="I222" s="503">
        <f t="shared" si="46"/>
        <v>0</v>
      </c>
      <c r="J222" s="869"/>
      <c r="K222" s="503">
        <f t="shared" si="46"/>
        <v>0</v>
      </c>
      <c r="L222" s="503">
        <f t="shared" si="46"/>
        <v>0</v>
      </c>
    </row>
    <row r="223" spans="1:12">
      <c r="A223" s="522">
        <f t="shared" si="31"/>
        <v>219</v>
      </c>
      <c r="B223" s="491" t="s">
        <v>1111</v>
      </c>
      <c r="C223" s="497"/>
      <c r="D223" s="486"/>
      <c r="E223" s="381"/>
      <c r="F223" s="381"/>
      <c r="G223" s="381"/>
      <c r="H223" s="381"/>
      <c r="I223" s="381"/>
      <c r="J223" s="881"/>
      <c r="K223" s="381"/>
      <c r="L223" s="381"/>
    </row>
    <row r="224" spans="1:12">
      <c r="A224" s="522">
        <f t="shared" si="31"/>
        <v>220</v>
      </c>
      <c r="C224" s="496" t="s">
        <v>1087</v>
      </c>
      <c r="D224" s="486"/>
      <c r="E224" s="502">
        <f>IF(E$6=0,0,IF(OR(AND('O&amp;M Backup_Detail'!$O$7=1,'O&amp;M Backup_Detail'!$P$25&lt;&gt;2),AND('O&amp;M Backup_Detail'!$R$7=1,'O&amp;M Backup_Detail'!$S$25&lt;&gt;2),AND('O&amp;M Backup_Detail'!$U$7=1,'O&amp;M Backup_Detail'!$V$25&lt;&gt;2)),E$6/3*(E$7/E6/104)^0.6*337000*0.5,0))</f>
        <v>0</v>
      </c>
      <c r="F224" s="502">
        <f>IF(F$6=0,0,IF(OR(AND('O&amp;M Backup_Detail'!$O$7=2,'O&amp;M Backup_Detail'!$P$25&lt;&gt;2),AND('O&amp;M Backup_Detail'!$R$7=2,'O&amp;M Backup_Detail'!$S$25&lt;&gt;2),AND('O&amp;M Backup_Detail'!$U$7=2,'O&amp;M Backup_Detail'!$V$25&lt;&gt;2)),F$6/3*(F$7/F6/104)^0.6*337000*0.5,0))</f>
        <v>0</v>
      </c>
      <c r="G224" s="502">
        <f>IF(G$6=0,0,IF(OR(AND('O&amp;M Backup_Detail'!$O$7=3,'O&amp;M Backup_Detail'!$P$25&lt;&gt;2),AND('O&amp;M Backup_Detail'!$R$7=3,'O&amp;M Backup_Detail'!$S$25&lt;&gt;2),AND('O&amp;M Backup_Detail'!$U$7=3,'O&amp;M Backup_Detail'!$V$25&lt;&gt;2)),G$6/3*(G$7/G6/104)^0.6*337000*0.5,0))</f>
        <v>150854.40470698394</v>
      </c>
      <c r="H224" s="502">
        <f>IF(H$6=0,0,IF(OR(AND('O&amp;M Backup_Detail'!$O$7=4,'O&amp;M Backup_Detail'!$P$25&lt;&gt;2),AND('O&amp;M Backup_Detail'!$R$7=4,'O&amp;M Backup_Detail'!$S$25&lt;&gt;2),AND('O&amp;M Backup_Detail'!$U$7=4,'O&amp;M Backup_Detail'!$V$25&lt;&gt;2)),H$6/3*(H$7/H6/104)^0.6*337000*0.5,0))</f>
        <v>0</v>
      </c>
      <c r="I224" s="502">
        <f>IF(I$6=0,0,IF(OR(AND('O&amp;M Backup_Detail'!$O$7=5,'O&amp;M Backup_Detail'!$P$25&lt;&gt;2),AND('O&amp;M Backup_Detail'!$R$7=5,'O&amp;M Backup_Detail'!$S$25&lt;&gt;2),AND('O&amp;M Backup_Detail'!$U$7=5,'O&amp;M Backup_Detail'!$V$25&lt;&gt;2)),I$6/3*(I$7/I6/104)^0.6*337000*0.5,0))</f>
        <v>0</v>
      </c>
      <c r="J224" s="868"/>
      <c r="K224" s="502">
        <f>IF(K$6=0,0,IF(OR(AND('O&amp;M Backup_Detail'!$O$7=7,'O&amp;M Backup_Detail'!$P$25&lt;&gt;2),AND('O&amp;M Backup_Detail'!$R$7=7,'O&amp;M Backup_Detail'!$S$25&lt;&gt;2),AND('O&amp;M Backup_Detail'!$U$7=7,'O&amp;M Backup_Detail'!$V$25&lt;&gt;2)),K$6/3*(K$7/K6/104)^0.6*337000*0.5,0))</f>
        <v>0</v>
      </c>
      <c r="L224" s="502">
        <f>IF(L6=0,0,$L$6/3*($L$7/L6/920)^0.6*337000*0.5)</f>
        <v>0</v>
      </c>
    </row>
    <row r="225" spans="1:12">
      <c r="A225" s="522">
        <f t="shared" si="31"/>
        <v>221</v>
      </c>
      <c r="C225" s="496" t="s">
        <v>1089</v>
      </c>
      <c r="D225" s="486"/>
      <c r="E225" s="502">
        <f>IF(E$6=0,0,IF(OR(AND('O&amp;M Backup_Detail'!$O$7=1,'O&amp;M Backup_Detail'!$P$25&lt;&gt;2),AND('O&amp;M Backup_Detail'!$R$7=1,'O&amp;M Backup_Detail'!$S$25&lt;&gt;2),AND('O&amp;M Backup_Detail'!$U$7=1,'O&amp;M Backup_Detail'!$V$25&lt;&gt;2)),E$6/3*(E$7/E6/104)^0.6*337000*0.2,0))</f>
        <v>0</v>
      </c>
      <c r="F225" s="502">
        <f>IF(F$6=0,0,IF(OR(AND('O&amp;M Backup_Detail'!$O$7=2,'O&amp;M Backup_Detail'!$P$25&lt;&gt;2),AND('O&amp;M Backup_Detail'!$R$7=2,'O&amp;M Backup_Detail'!$S$25&lt;&gt;2),AND('O&amp;M Backup_Detail'!$U$7=2,'O&amp;M Backup_Detail'!$V$25&lt;&gt;2)),F$6/3*(F$7/F6/104)^0.6*337000*0.2,0))</f>
        <v>0</v>
      </c>
      <c r="G225" s="502">
        <f>IF(G$6=0,0,IF(OR(AND('O&amp;M Backup_Detail'!$O$7=3,'O&amp;M Backup_Detail'!$P$25&lt;&gt;2),AND('O&amp;M Backup_Detail'!$R$7=3,'O&amp;M Backup_Detail'!$S$25&lt;&gt;2),AND('O&amp;M Backup_Detail'!$U$7=3,'O&amp;M Backup_Detail'!$V$25&lt;&gt;2)),G$6/3*(G$7/G6/104)^0.6*337000*0.2,0))</f>
        <v>60341.76188279358</v>
      </c>
      <c r="H225" s="502">
        <f>IF(H$6=0,0,IF(OR(AND('O&amp;M Backup_Detail'!$O$7=4,'O&amp;M Backup_Detail'!$P$25&lt;&gt;2),AND('O&amp;M Backup_Detail'!$R$7=4,'O&amp;M Backup_Detail'!$S$25&lt;&gt;2),AND('O&amp;M Backup_Detail'!$U$7=4,'O&amp;M Backup_Detail'!$V$25&lt;&gt;2)),H$6/3*(H$7/H6/104)^0.6*337000*0.2,0))</f>
        <v>0</v>
      </c>
      <c r="I225" s="502">
        <f>IF(I$6=0,0,IF(OR(AND('O&amp;M Backup_Detail'!$O$7=5,'O&amp;M Backup_Detail'!$P$25&lt;&gt;2),AND('O&amp;M Backup_Detail'!$R$7=5,'O&amp;M Backup_Detail'!$S$25&lt;&gt;2),AND('O&amp;M Backup_Detail'!$U$7=5,'O&amp;M Backup_Detail'!$V$25&lt;&gt;2)),I$6/3*(I$7/I6/104)^0.6*337000*0.2,0))</f>
        <v>0</v>
      </c>
      <c r="J225" s="868"/>
      <c r="K225" s="502">
        <f>IF(K$6=0,0,IF(OR(AND('O&amp;M Backup_Detail'!$O$7=7,'O&amp;M Backup_Detail'!$P$25&lt;&gt;2),AND('O&amp;M Backup_Detail'!$R$7=7,'O&amp;M Backup_Detail'!$S$25&lt;&gt;2),AND('O&amp;M Backup_Detail'!$U$7=7,'O&amp;M Backup_Detail'!$V$25&lt;&gt;2)),K$6/3*(K$7/K6/104)^0.6*337000*0.2,0))</f>
        <v>0</v>
      </c>
      <c r="L225" s="502">
        <f>IF(L6=0,0,$L$6/3*($L$7/L6/920)^0.6*337000*0.2)</f>
        <v>0</v>
      </c>
    </row>
    <row r="226" spans="1:12">
      <c r="A226" s="522">
        <f t="shared" si="31"/>
        <v>222</v>
      </c>
      <c r="C226" s="496" t="s">
        <v>705</v>
      </c>
      <c r="D226" s="486"/>
      <c r="E226" s="502">
        <f>IF(E$6=0,0,IF(OR(AND('O&amp;M Backup_Detail'!$O$7=1,'O&amp;M Backup_Detail'!$P$25&lt;&gt;2),AND('O&amp;M Backup_Detail'!$R$7=1,'O&amp;M Backup_Detail'!$S$25&lt;&gt;2),AND('O&amp;M Backup_Detail'!$U$7=1,'O&amp;M Backup_Detail'!$V$25&lt;&gt;2)),E$6/3*(E$7/E6/104)^0.6*337000*0.1,0))</f>
        <v>0</v>
      </c>
      <c r="F226" s="502">
        <f>IF(F$6=0,0,IF(OR(AND('O&amp;M Backup_Detail'!$O$7=2,'O&amp;M Backup_Detail'!$P$25&lt;&gt;2),AND('O&amp;M Backup_Detail'!$R$7=2,'O&amp;M Backup_Detail'!$S$25&lt;&gt;2),AND('O&amp;M Backup_Detail'!$U$7=2,'O&amp;M Backup_Detail'!$V$25&lt;&gt;2)),F$6/3*(F$7/F6/104)^0.6*337000*0.1,0))</f>
        <v>0</v>
      </c>
      <c r="G226" s="502">
        <f>IF(G$6=0,0,IF(OR(AND('O&amp;M Backup_Detail'!$O$7=3,'O&amp;M Backup_Detail'!$P$25&lt;&gt;2),AND('O&amp;M Backup_Detail'!$R$7=3,'O&amp;M Backup_Detail'!$S$25&lt;&gt;2),AND('O&amp;M Backup_Detail'!$U$7=3,'O&amp;M Backup_Detail'!$V$25&lt;&gt;2)),G$6/3*(G$7/G6/104)^0.6*337000*0.1,0))</f>
        <v>30170.88094139679</v>
      </c>
      <c r="H226" s="502">
        <f>IF(H$6=0,0,IF(OR(AND('O&amp;M Backup_Detail'!$O$7=4,'O&amp;M Backup_Detail'!$P$25&lt;&gt;2),AND('O&amp;M Backup_Detail'!$R$7=4,'O&amp;M Backup_Detail'!$S$25&lt;&gt;2),AND('O&amp;M Backup_Detail'!$U$7=4,'O&amp;M Backup_Detail'!$V$25&lt;&gt;2)),H$6/3*(H$7/H6/104)^0.6*337000*0.1,0))</f>
        <v>0</v>
      </c>
      <c r="I226" s="502">
        <f>IF(I$6=0,0,IF(OR(AND('O&amp;M Backup_Detail'!$O$7=5,'O&amp;M Backup_Detail'!$P$25&lt;&gt;2),AND('O&amp;M Backup_Detail'!$R$7=5,'O&amp;M Backup_Detail'!$S$25&lt;&gt;2),AND('O&amp;M Backup_Detail'!$U$7=5,'O&amp;M Backup_Detail'!$V$25&lt;&gt;2)),I$6/3*(I$7/I6/104)^0.6*337000*0.1,0))</f>
        <v>0</v>
      </c>
      <c r="J226" s="868"/>
      <c r="K226" s="502">
        <f>IF(K$6=0,0,IF(OR(AND('O&amp;M Backup_Detail'!$O$7=7,'O&amp;M Backup_Detail'!$P$25&lt;&gt;2),AND('O&amp;M Backup_Detail'!$R$7=7,'O&amp;M Backup_Detail'!$S$25&lt;&gt;2),AND('O&amp;M Backup_Detail'!$U$7=7,'O&amp;M Backup_Detail'!$V$25&lt;&gt;2)),K$6/3*(K$7/K6/104)^0.6*337000*0.1,0))</f>
        <v>0</v>
      </c>
      <c r="L226" s="502">
        <f>IF(L6=0,0,$L$6/3*($L$7/L6/920)^0.6*337000*0.1)</f>
        <v>0</v>
      </c>
    </row>
    <row r="227" spans="1:12">
      <c r="A227" s="522">
        <f t="shared" si="31"/>
        <v>223</v>
      </c>
      <c r="C227" s="496" t="s">
        <v>1094</v>
      </c>
      <c r="D227" s="486"/>
      <c r="E227" s="502">
        <f>IF(E$6=0,0,IF(OR(AND('O&amp;M Backup_Detail'!$O$7=1,'O&amp;M Backup_Detail'!$P$25&lt;&gt;2),AND('O&amp;M Backup_Detail'!$R$7=1,'O&amp;M Backup_Detail'!$S$25&lt;&gt;2),AND('O&amp;M Backup_Detail'!$U$7=1,'O&amp;M Backup_Detail'!$V$25&lt;&gt;2)),E$6/3*(E$7/E6/104)^0.6*337000*0.15,0))</f>
        <v>0</v>
      </c>
      <c r="F227" s="502">
        <f>IF(F$6=0,0,IF(OR(AND('O&amp;M Backup_Detail'!$O$7=2,'O&amp;M Backup_Detail'!$P$25&lt;&gt;2),AND('O&amp;M Backup_Detail'!$R$7=2,'O&amp;M Backup_Detail'!$S$25&lt;&gt;2),AND('O&amp;M Backup_Detail'!$U$7=2,'O&amp;M Backup_Detail'!$V$25&lt;&gt;2)),F$6/3*(F$7/F6/104)^0.6*337000*0.15,0))</f>
        <v>0</v>
      </c>
      <c r="G227" s="502">
        <f>IF(G$6=0,0,IF(OR(AND('O&amp;M Backup_Detail'!$O$7=3,'O&amp;M Backup_Detail'!$P$25&lt;&gt;2),AND('O&amp;M Backup_Detail'!$R$7=3,'O&amp;M Backup_Detail'!$S$25&lt;&gt;2),AND('O&amp;M Backup_Detail'!$U$7=3,'O&amp;M Backup_Detail'!$V$25&lt;&gt;2)),G$6/3*(G$7/G6/104)^0.6*337000*0.15,0))</f>
        <v>45256.321412095182</v>
      </c>
      <c r="H227" s="502">
        <f>IF(H$6=0,0,IF(OR(AND('O&amp;M Backup_Detail'!$O$7=4,'O&amp;M Backup_Detail'!$P$25&lt;&gt;2),AND('O&amp;M Backup_Detail'!$R$7=4,'O&amp;M Backup_Detail'!$S$25&lt;&gt;2),AND('O&amp;M Backup_Detail'!$U$7=4,'O&amp;M Backup_Detail'!$V$25&lt;&gt;2)),H$6/3*(H$7/H6/104)^0.6*337000*0.15,0))</f>
        <v>0</v>
      </c>
      <c r="I227" s="502">
        <f>IF(I$6=0,0,IF(OR(AND('O&amp;M Backup_Detail'!$O$7=5,'O&amp;M Backup_Detail'!$P$25&lt;&gt;2),AND('O&amp;M Backup_Detail'!$R$7=5,'O&amp;M Backup_Detail'!$S$25&lt;&gt;2),AND('O&amp;M Backup_Detail'!$U$7=5,'O&amp;M Backup_Detail'!$V$25&lt;&gt;2)),I$6/3*(I$7/I6/104)^0.6*337000*0.15,0))</f>
        <v>0</v>
      </c>
      <c r="J227" s="868"/>
      <c r="K227" s="502">
        <f>IF(K$6=0,0,IF(OR(AND('O&amp;M Backup_Detail'!$O$7=7,'O&amp;M Backup_Detail'!$P$25&lt;&gt;2),AND('O&amp;M Backup_Detail'!$R$7=7,'O&amp;M Backup_Detail'!$S$25&lt;&gt;2),AND('O&amp;M Backup_Detail'!$U$7=7,'O&amp;M Backup_Detail'!$V$25&lt;&gt;2)),K$6/3*(K$7/K6/104)^0.6*337000*0.15,0))</f>
        <v>0</v>
      </c>
      <c r="L227" s="502">
        <f>IF(L6=0,0,$L$6/3*($L$7/L6/920)^0.6*337000*0.15)</f>
        <v>0</v>
      </c>
    </row>
    <row r="228" spans="1:12">
      <c r="A228" s="522">
        <f t="shared" si="31"/>
        <v>224</v>
      </c>
      <c r="C228" s="496" t="s">
        <v>1084</v>
      </c>
      <c r="D228" s="486"/>
      <c r="E228" s="502">
        <f>IF(E$6=0,0,IF(OR(AND('O&amp;M Backup_Detail'!$O$7=1,'O&amp;M Backup_Detail'!$P$25&lt;&gt;2),AND('O&amp;M Backup_Detail'!$R$7=1,'O&amp;M Backup_Detail'!$S$25&lt;&gt;2),AND('O&amp;M Backup_Detail'!$U$7=1,'O&amp;M Backup_Detail'!$V$25&lt;&gt;2)),E$6/3*(E$7/E6/104)^0.6*337000*0.05,0))</f>
        <v>0</v>
      </c>
      <c r="F228" s="502">
        <f>IF(F$6=0,0,IF(OR(AND('O&amp;M Backup_Detail'!$O$7=2,'O&amp;M Backup_Detail'!$P$25&lt;&gt;2),AND('O&amp;M Backup_Detail'!$R$7=2,'O&amp;M Backup_Detail'!$S$25&lt;&gt;2),AND('O&amp;M Backup_Detail'!$U$7=2,'O&amp;M Backup_Detail'!$V$25&lt;&gt;2)),F$6/3*(F$7/F6/104)^0.6*337000*0.05,0))</f>
        <v>0</v>
      </c>
      <c r="G228" s="502">
        <f>IF(G$6=0,0,IF(OR(AND('O&amp;M Backup_Detail'!$O$7=3,'O&amp;M Backup_Detail'!$P$25&lt;&gt;2),AND('O&amp;M Backup_Detail'!$R$7=3,'O&amp;M Backup_Detail'!$S$25&lt;&gt;2),AND('O&amp;M Backup_Detail'!$U$7=3,'O&amp;M Backup_Detail'!$V$25&lt;&gt;2)),G$6/3*(G$7/G6/104)^0.6*337000*0.05,0))</f>
        <v>15085.440470698395</v>
      </c>
      <c r="H228" s="502">
        <f>IF(H$6=0,0,IF(OR(AND('O&amp;M Backup_Detail'!$O$7=4,'O&amp;M Backup_Detail'!$P$25&lt;&gt;2),AND('O&amp;M Backup_Detail'!$R$7=4,'O&amp;M Backup_Detail'!$S$25&lt;&gt;2),AND('O&amp;M Backup_Detail'!$U$7=4,'O&amp;M Backup_Detail'!$V$25&lt;&gt;2)),H$6/3*(H$7/H6/104)^0.6*337000*0.05,0))</f>
        <v>0</v>
      </c>
      <c r="I228" s="502">
        <f>IF(I$6=0,0,IF(OR(AND('O&amp;M Backup_Detail'!$O$7=5,'O&amp;M Backup_Detail'!$P$25&lt;&gt;2),AND('O&amp;M Backup_Detail'!$R$7=5,'O&amp;M Backup_Detail'!$S$25&lt;&gt;2),AND('O&amp;M Backup_Detail'!$U$7=5,'O&amp;M Backup_Detail'!$V$25&lt;&gt;2)),I$6/3*(I$7/I6/104)^0.6*337000*0.05,0))</f>
        <v>0</v>
      </c>
      <c r="J228" s="868"/>
      <c r="K228" s="502">
        <f>IF(K$6=0,0,IF(OR(AND('O&amp;M Backup_Detail'!$O$7=7,'O&amp;M Backup_Detail'!$P$25&lt;&gt;2),AND('O&amp;M Backup_Detail'!$R$7=7,'O&amp;M Backup_Detail'!$S$25&lt;&gt;2),AND('O&amp;M Backup_Detail'!$U$7=7,'O&amp;M Backup_Detail'!$V$25&lt;&gt;2)),K$6/3*(K$7/K6/104)^0.6*337000*0.05,0))</f>
        <v>0</v>
      </c>
      <c r="L228" s="502">
        <f>IF(L6=0,0,$L$6/3*($L$7/L6/920)^0.6*337000*0.05)</f>
        <v>0</v>
      </c>
    </row>
    <row r="229" spans="1:12">
      <c r="A229" s="522">
        <f t="shared" si="31"/>
        <v>225</v>
      </c>
      <c r="C229" s="496" t="s">
        <v>470</v>
      </c>
      <c r="D229" s="486"/>
      <c r="E229" s="502">
        <v>0</v>
      </c>
      <c r="F229" s="502">
        <v>0</v>
      </c>
      <c r="G229" s="502">
        <v>0</v>
      </c>
      <c r="H229" s="502">
        <v>0</v>
      </c>
      <c r="I229" s="502">
        <v>0</v>
      </c>
      <c r="J229" s="868"/>
      <c r="K229" s="502">
        <v>0</v>
      </c>
      <c r="L229" s="502">
        <v>0</v>
      </c>
    </row>
    <row r="230" spans="1:12">
      <c r="A230" s="522">
        <f t="shared" si="31"/>
        <v>226</v>
      </c>
      <c r="C230" s="496" t="s">
        <v>494</v>
      </c>
      <c r="D230" s="486"/>
      <c r="E230" s="502">
        <v>0</v>
      </c>
      <c r="F230" s="502">
        <v>0</v>
      </c>
      <c r="G230" s="502">
        <v>0</v>
      </c>
      <c r="H230" s="502">
        <v>0</v>
      </c>
      <c r="I230" s="502">
        <v>0</v>
      </c>
      <c r="J230" s="868"/>
      <c r="K230" s="502">
        <v>0</v>
      </c>
      <c r="L230" s="502">
        <v>0</v>
      </c>
    </row>
    <row r="231" spans="1:12">
      <c r="A231" s="522">
        <f t="shared" si="31"/>
        <v>227</v>
      </c>
      <c r="B231" s="332"/>
      <c r="C231" s="496" t="s">
        <v>711</v>
      </c>
      <c r="D231" s="486"/>
      <c r="E231" s="502">
        <v>0</v>
      </c>
      <c r="F231" s="502">
        <v>0</v>
      </c>
      <c r="G231" s="502">
        <v>0</v>
      </c>
      <c r="H231" s="502">
        <v>0</v>
      </c>
      <c r="I231" s="502">
        <v>0</v>
      </c>
      <c r="J231" s="868"/>
      <c r="K231" s="502">
        <v>0</v>
      </c>
      <c r="L231" s="502">
        <v>0</v>
      </c>
    </row>
    <row r="232" spans="1:12">
      <c r="A232" s="522">
        <f t="shared" si="31"/>
        <v>228</v>
      </c>
      <c r="B232" s="492"/>
      <c r="C232" s="493" t="s">
        <v>1401</v>
      </c>
      <c r="D232" s="486"/>
      <c r="E232" s="503">
        <f t="shared" ref="E232:L232" si="47">SUBTOTAL(9,E224:E231)</f>
        <v>0</v>
      </c>
      <c r="F232" s="503">
        <f t="shared" si="47"/>
        <v>0</v>
      </c>
      <c r="G232" s="503">
        <f t="shared" si="47"/>
        <v>301708.80941396789</v>
      </c>
      <c r="H232" s="503">
        <f t="shared" si="47"/>
        <v>0</v>
      </c>
      <c r="I232" s="503">
        <f t="shared" si="47"/>
        <v>0</v>
      </c>
      <c r="J232" s="869"/>
      <c r="K232" s="503">
        <f t="shared" si="47"/>
        <v>0</v>
      </c>
      <c r="L232" s="503">
        <f t="shared" si="47"/>
        <v>0</v>
      </c>
    </row>
    <row r="233" spans="1:12">
      <c r="A233" s="522">
        <f t="shared" si="31"/>
        <v>229</v>
      </c>
      <c r="B233" s="491" t="s">
        <v>25</v>
      </c>
      <c r="C233" s="497"/>
      <c r="D233" s="486"/>
      <c r="E233" s="381"/>
      <c r="F233" s="381"/>
      <c r="G233" s="381"/>
      <c r="H233" s="381"/>
      <c r="I233" s="381"/>
      <c r="J233" s="881"/>
      <c r="K233" s="381"/>
      <c r="L233" s="381"/>
    </row>
    <row r="234" spans="1:12">
      <c r="A234" s="522">
        <f t="shared" si="31"/>
        <v>230</v>
      </c>
      <c r="C234" s="496" t="s">
        <v>26</v>
      </c>
      <c r="D234" s="486"/>
      <c r="E234" s="382">
        <f>IF(OR(AND(E5=Scope!$F$14,UPPER(Scope!$F$16)="COMBINED"),AND(E5=Scope!$F$17,UPPER(Scope!$F$19)="COMBINED"),AND(E5=Scope!$F$20,UPPER(Scope!$F$22)="COMBINED")),460000*((Scope!$F$24*Scope!$E$23+Scope!$F$26*Scope!$E$25)/140)^0.6*0.5,0)</f>
        <v>0</v>
      </c>
      <c r="F234" s="382">
        <f>IF(OR(AND(F5=Scope!$F$14,UPPER(Scope!$F$16)="COMBINED"),AND(F5=Scope!$F$17,UPPER(Scope!$F$19)="COMBINED"),AND(F5=Scope!$F$20,UPPER(Scope!$F$22)="COMBINED")),460000*((Scope!$F$24*Scope!$E$23+Scope!$F$26*Scope!$E$25)/140)^0.6*0.5,0)</f>
        <v>0</v>
      </c>
      <c r="G234" s="382">
        <f>IF(OR(AND(G5=Scope!$F$14,UPPER(Scope!$F$16)="COMBINED"),AND(G5=Scope!$F$17,UPPER(Scope!$F$19)="COMBINED"),AND(G5=Scope!$F$20,UPPER(Scope!$F$22)="COMBINED")),460000*((Scope!$F$24*Scope!$E$23+Scope!$F$26*Scope!$E$25)/140)^0.6*0.5,0)</f>
        <v>363348.83113715501</v>
      </c>
      <c r="H234" s="382">
        <f>IF(OR(AND(H5=Scope!$F$14,UPPER(Scope!$F$16)="COMBINED"),AND(H5=Scope!$F$17,UPPER(Scope!$F$19)="COMBINED"),AND(H5=Scope!$F$20,UPPER(Scope!$F$22)="COMBINED")),460000*((Scope!$F$24*Scope!$E$23+Scope!$F$26*Scope!$E$25)/140)^0.6*0.5,0)</f>
        <v>0</v>
      </c>
      <c r="I234" s="382">
        <f>IF(OR(AND(I5=Scope!$F$14,UPPER(Scope!$F$16)="COMBINED"),AND(I5=Scope!$F$17,UPPER(Scope!$F$19)="COMBINED"),AND(I5=Scope!$F$20,UPPER(Scope!$F$22)="COMBINED")),460000*((Scope!$F$24*Scope!$E$23+Scope!$F$26*Scope!$E$25)/140)^0.6*0.5,0)</f>
        <v>0</v>
      </c>
      <c r="J234" s="876"/>
      <c r="K234" s="382">
        <f>IF(OR(AND(K5=Scope!$F$14,UPPER(Scope!$F$16)="COMBINED"),AND(K5=Scope!$F$17,UPPER(Scope!$F$19)="COMBINED"),AND(K5=Scope!$F$20,UPPER(Scope!$F$22)="COMBINED")),460000*((Scope!$F$24*Scope!$E$23+Scope!$F$26*Scope!$E$25)/140)^0.6*0.5,0)</f>
        <v>0</v>
      </c>
      <c r="L234" s="382">
        <f>IF(OR(AND(L5=Scope!$F$14,UPPER(Scope!$F$16)="COMBINED"),AND(L5=Scope!$F$17,UPPER(Scope!$F$19)="COMBINED"),AND(L5=Scope!$F$20,UPPER(Scope!$F$22)="COMBINED")),460000*((Scope!$F$24*Scope!$E$23/2)/140)^0.6*0.5,0)</f>
        <v>0</v>
      </c>
    </row>
    <row r="235" spans="1:12">
      <c r="A235" s="522">
        <f t="shared" si="31"/>
        <v>231</v>
      </c>
      <c r="C235" s="496" t="s">
        <v>1089</v>
      </c>
      <c r="D235" s="486"/>
      <c r="E235" s="382">
        <f>IF(OR(AND(E5=Scope!$F$14,UPPER(Scope!$F$16)="COMBINED"),AND(E5=Scope!$F$17,UPPER(Scope!$F$19)="COMBINED"),AND(E5=Scope!$F$20,UPPER(Scope!$F$22)="COMBINED")),460000*((Scope!$F$24*Scope!$E$23+Scope!$F$26*Scope!$E$25)/140)^0.6*0.2,0)</f>
        <v>0</v>
      </c>
      <c r="F235" s="382">
        <f>IF(OR(AND(F5=Scope!$F$14,UPPER(Scope!$F$16)="COMBINED"),AND(F5=Scope!$F$17,UPPER(Scope!$F$19)="COMBINED"),AND(F5=Scope!$F$20,UPPER(Scope!$F$22)="COMBINED")),460000*((Scope!$F$24*Scope!$E$23+Scope!$F$26*Scope!$E$25)/140)^0.6*0.2,0)</f>
        <v>0</v>
      </c>
      <c r="G235" s="382">
        <f>IF(OR(AND(G5=Scope!$F$14,UPPER(Scope!$F$16)="COMBINED"),AND(G5=Scope!$F$17,UPPER(Scope!$F$19)="COMBINED"),AND(G5=Scope!$F$20,UPPER(Scope!$F$22)="COMBINED")),460000*((Scope!$F$24*Scope!$E$23+Scope!$F$26*Scope!$E$25)/140)^0.6*0.2,0)</f>
        <v>145339.532454862</v>
      </c>
      <c r="H235" s="382">
        <f>IF(OR(AND(H5=Scope!$F$14,UPPER(Scope!$F$16)="COMBINED"),AND(H5=Scope!$F$17,UPPER(Scope!$F$19)="COMBINED"),AND(H5=Scope!$F$20,UPPER(Scope!$F$22)="COMBINED")),460000*((Scope!$F$24*Scope!$E$23+Scope!$F$26*Scope!$E$25)/140)^0.6*0.2,0)</f>
        <v>0</v>
      </c>
      <c r="I235" s="382">
        <f>IF(OR(AND(I5=Scope!$F$14,UPPER(Scope!$F$16)="COMBINED"),AND(I5=Scope!$F$17,UPPER(Scope!$F$19)="COMBINED"),AND(I5=Scope!$F$20,UPPER(Scope!$F$22)="COMBINED")),460000*((Scope!$F$24*Scope!$E$23+Scope!$F$26*Scope!$E$25)/140)^0.6*0.2,0)</f>
        <v>0</v>
      </c>
      <c r="J235" s="876"/>
      <c r="K235" s="382">
        <f>IF(OR(AND(K5=Scope!$F$14,UPPER(Scope!$F$16)="COMBINED"),AND(K5=Scope!$F$17,UPPER(Scope!$F$19)="COMBINED"),AND(K5=Scope!$F$20,UPPER(Scope!$F$22)="COMBINED")),460000*((Scope!$F$24*Scope!$E$23+Scope!$F$26*Scope!$E$25)/140)^0.6*0.2,0)</f>
        <v>0</v>
      </c>
      <c r="L235" s="382">
        <f>IF(OR(AND(L5=Scope!$F$14,UPPER(Scope!$F$16)="COMBINED"),AND(L5=Scope!$F$17,UPPER(Scope!$F$19)="COMBINED"),AND(L5=Scope!$F$20,UPPER(Scope!$F$22)="COMBINED")),460000*((Scope!$F$24*Scope!$E$23/2)/140)^0.6*0.2,0)</f>
        <v>0</v>
      </c>
    </row>
    <row r="236" spans="1:12">
      <c r="A236" s="522">
        <f t="shared" si="31"/>
        <v>232</v>
      </c>
      <c r="C236" s="496" t="s">
        <v>705</v>
      </c>
      <c r="D236" s="486"/>
      <c r="E236" s="382">
        <f>IF(OR(AND(E5=Scope!$F$14,UPPER(Scope!$F$16)="COMBINED"),AND(E5=Scope!$F$17,UPPER(Scope!$F$19)="COMBINED"),AND(E5=Scope!$F$20,UPPER(Scope!$F$22)="COMBINED")),460000*((Scope!$F$24*Scope!$E$23+Scope!$F$26*Scope!$E$25)/140)^0.6*0.1,0)</f>
        <v>0</v>
      </c>
      <c r="F236" s="382">
        <f>IF(OR(AND(F5=Scope!$F$14,UPPER(Scope!$F$16)="COMBINED"),AND(F5=Scope!$F$17,UPPER(Scope!$F$19)="COMBINED"),AND(F5=Scope!$F$20,UPPER(Scope!$F$22)="COMBINED")),460000*((Scope!$F$24*Scope!$E$23+Scope!$F$26*Scope!$E$25)/140)^0.6*0.1,0)</f>
        <v>0</v>
      </c>
      <c r="G236" s="382">
        <f>IF(OR(AND(G5=Scope!$F$14,UPPER(Scope!$F$16)="COMBINED"),AND(G5=Scope!$F$17,UPPER(Scope!$F$19)="COMBINED"),AND(G5=Scope!$F$20,UPPER(Scope!$F$22)="COMBINED")),460000*((Scope!$F$24*Scope!$E$23+Scope!$F$26*Scope!$E$25)/140)^0.6*0.1,0)</f>
        <v>72669.766227430999</v>
      </c>
      <c r="H236" s="382">
        <f>IF(OR(AND(H5=Scope!$F$14,UPPER(Scope!$F$16)="COMBINED"),AND(H5=Scope!$F$17,UPPER(Scope!$F$19)="COMBINED"),AND(H5=Scope!$F$20,UPPER(Scope!$F$22)="COMBINED")),460000*((Scope!$F$24*Scope!$E$23+Scope!$F$26*Scope!$E$25)/140)^0.6*0.1,0)</f>
        <v>0</v>
      </c>
      <c r="I236" s="382">
        <f>IF(OR(AND(I5=Scope!$F$14,UPPER(Scope!$F$16)="COMBINED"),AND(I5=Scope!$F$17,UPPER(Scope!$F$19)="COMBINED"),AND(I5=Scope!$F$20,UPPER(Scope!$F$22)="COMBINED")),460000*((Scope!$F$24*Scope!$E$23+Scope!$F$26*Scope!$E$25)/140)^0.6*0.1,0)</f>
        <v>0</v>
      </c>
      <c r="J236" s="876"/>
      <c r="K236" s="382">
        <f>IF(OR(AND(K5=Scope!$F$14,UPPER(Scope!$F$16)="COMBINED"),AND(K5=Scope!$F$17,UPPER(Scope!$F$19)="COMBINED"),AND(K5=Scope!$F$20,UPPER(Scope!$F$22)="COMBINED")),460000*((Scope!$F$24*Scope!$E$23+Scope!$F$26*Scope!$E$25)/140)^0.6*0.1,0)</f>
        <v>0</v>
      </c>
      <c r="L236" s="382">
        <f>IF(OR(AND(L5=Scope!$F$14,UPPER(Scope!$F$16)="COMBINED"),AND(L5=Scope!$F$17,UPPER(Scope!$F$19)="COMBINED"),AND(L5=Scope!$F$20,UPPER(Scope!$F$22)="COMBINED")),460000*((Scope!$F$24*Scope!$E$23/2)/140)^0.6*0.1,0)</f>
        <v>0</v>
      </c>
    </row>
    <row r="237" spans="1:12">
      <c r="A237" s="522">
        <f t="shared" si="31"/>
        <v>233</v>
      </c>
      <c r="C237" s="496" t="s">
        <v>719</v>
      </c>
      <c r="D237" s="486"/>
      <c r="E237" s="382">
        <f>IF(OR(AND(E5=Scope!$F$14,UPPER(Scope!$F$16)="COMBINED"),AND(E5=Scope!$F$17,UPPER(Scope!$F$19)="COMBINED"),AND(E5=Scope!$F$20,UPPER(Scope!$F$22)="COMBINED")),460000*((Scope!$F$24*Scope!$E$23+Scope!$F$26*Scope!$E$25)/140)^0.6*0.15,0)</f>
        <v>0</v>
      </c>
      <c r="F237" s="382">
        <f>IF(OR(AND(F5=Scope!$F$14,UPPER(Scope!$F$16)="COMBINED"),AND(F5=Scope!$F$17,UPPER(Scope!$F$19)="COMBINED"),AND(F5=Scope!$F$20,UPPER(Scope!$F$22)="COMBINED")),460000*((Scope!$F$24*Scope!$E$23+Scope!$F$26*Scope!$E$25)/140)^0.6*0.15,0)</f>
        <v>0</v>
      </c>
      <c r="G237" s="382">
        <f>IF(OR(AND(G5=Scope!$F$14,UPPER(Scope!$F$16)="COMBINED"),AND(G5=Scope!$F$17,UPPER(Scope!$F$19)="COMBINED"),AND(G5=Scope!$F$20,UPPER(Scope!$F$22)="COMBINED")),460000*((Scope!$F$24*Scope!$E$23+Scope!$F$26*Scope!$E$25)/140)^0.6*0.15,0)</f>
        <v>109004.64934114651</v>
      </c>
      <c r="H237" s="382">
        <f>IF(OR(AND(H5=Scope!$F$14,UPPER(Scope!$F$16)="COMBINED"),AND(H5=Scope!$F$17,UPPER(Scope!$F$19)="COMBINED"),AND(H5=Scope!$F$20,UPPER(Scope!$F$22)="COMBINED")),460000*((Scope!$F$24*Scope!$E$23+Scope!$F$26*Scope!$E$25)/140)^0.6*0.15,0)</f>
        <v>0</v>
      </c>
      <c r="I237" s="382">
        <f>IF(OR(AND(I5=Scope!$F$14,UPPER(Scope!$F$16)="COMBINED"),AND(I5=Scope!$F$17,UPPER(Scope!$F$19)="COMBINED"),AND(I5=Scope!$F$20,UPPER(Scope!$F$22)="COMBINED")),460000*((Scope!$F$24*Scope!$E$23+Scope!$F$26*Scope!$E$25)/140)^0.6*0.15,0)</f>
        <v>0</v>
      </c>
      <c r="J237" s="876"/>
      <c r="K237" s="382">
        <f>IF(OR(AND(K5=Scope!$F$14,UPPER(Scope!$F$16)="COMBINED"),AND(K5=Scope!$F$17,UPPER(Scope!$F$19)="COMBINED"),AND(K5=Scope!$F$20,UPPER(Scope!$F$22)="COMBINED")),460000*((Scope!$F$24*Scope!$E$23+Scope!$F$26*Scope!$E$25)/140)^0.6*0.15,0)</f>
        <v>0</v>
      </c>
      <c r="L237" s="382">
        <f>IF(OR(AND(L5=Scope!$F$14,UPPER(Scope!$F$16)="COMBINED"),AND(L5=Scope!$F$17,UPPER(Scope!$F$19)="COMBINED"),AND(L5=Scope!$F$20,UPPER(Scope!$F$22)="COMBINED")),460000*((Scope!$F$24*Scope!$E$23/2)/140)^0.6*0.15,0)</f>
        <v>0</v>
      </c>
    </row>
    <row r="238" spans="1:12">
      <c r="A238" s="522">
        <f t="shared" si="31"/>
        <v>234</v>
      </c>
      <c r="C238" s="496" t="s">
        <v>1084</v>
      </c>
      <c r="D238" s="486"/>
      <c r="E238" s="382">
        <f>IF(OR(AND(E5=Scope!$F$14,UPPER(Scope!$F$16)="COMBINED"),AND(E5=Scope!$F$17,UPPER(Scope!$F$19)="COMBINED"),AND(E5=Scope!$F$20,UPPER(Scope!$F$22)="COMBINED")),460000*((Scope!$F$24*Scope!$E$23+Scope!$F$26*Scope!$E$25)/140)^0.6*0.05,0)</f>
        <v>0</v>
      </c>
      <c r="F238" s="382">
        <f>IF(OR(AND(F5=Scope!$F$14,UPPER(Scope!$F$16)="COMBINED"),AND(F5=Scope!$F$17,UPPER(Scope!$F$19)="COMBINED"),AND(F5=Scope!$F$20,UPPER(Scope!$F$22)="COMBINED")),460000*((Scope!$F$24*Scope!$E$23+Scope!$F$26*Scope!$E$25)/140)^0.6*0.05,0)</f>
        <v>0</v>
      </c>
      <c r="G238" s="382">
        <f>IF(OR(AND(G5=Scope!$F$14,UPPER(Scope!$F$16)="COMBINED"),AND(G5=Scope!$F$17,UPPER(Scope!$F$19)="COMBINED"),AND(G5=Scope!$F$20,UPPER(Scope!$F$22)="COMBINED")),460000*((Scope!$F$24*Scope!$E$23+Scope!$F$26*Scope!$E$25)/140)^0.6*0.05,0)</f>
        <v>36334.883113715499</v>
      </c>
      <c r="H238" s="382">
        <f>IF(OR(AND(H5=Scope!$F$14,UPPER(Scope!$F$16)="COMBINED"),AND(H5=Scope!$F$17,UPPER(Scope!$F$19)="COMBINED"),AND(H5=Scope!$F$20,UPPER(Scope!$F$22)="COMBINED")),460000*((Scope!$F$24*Scope!$E$23+Scope!$F$26*Scope!$E$25)/140)^0.6*0.05,0)</f>
        <v>0</v>
      </c>
      <c r="I238" s="382">
        <f>IF(OR(AND(I5=Scope!$F$14,UPPER(Scope!$F$16)="COMBINED"),AND(I5=Scope!$F$17,UPPER(Scope!$F$19)="COMBINED"),AND(I5=Scope!$F$20,UPPER(Scope!$F$22)="COMBINED")),460000*((Scope!$F$24*Scope!$E$23+Scope!$F$26*Scope!$E$25)/140)^0.6*0.05,0)</f>
        <v>0</v>
      </c>
      <c r="J238" s="876"/>
      <c r="K238" s="382">
        <f>IF(OR(AND(K5=Scope!$F$14,UPPER(Scope!$F$16)="COMBINED"),AND(K5=Scope!$F$17,UPPER(Scope!$F$19)="COMBINED"),AND(K5=Scope!$F$20,UPPER(Scope!$F$22)="COMBINED")),460000*((Scope!$F$24*Scope!$E$23+Scope!$F$26*Scope!$E$25)/140)^0.6*0.05,0)</f>
        <v>0</v>
      </c>
      <c r="L238" s="382">
        <f>IF(OR(AND(L5=Scope!$F$14,UPPER(Scope!$F$16)="COMBINED"),AND(L5=Scope!$F$17,UPPER(Scope!$F$19)="COMBINED"),AND(L5=Scope!$F$20,UPPER(Scope!$F$22)="COMBINED")),460000*((Scope!$F$24*Scope!$E$23/2)/140)^0.6*0.05,0)</f>
        <v>0</v>
      </c>
    </row>
    <row r="239" spans="1:12">
      <c r="A239" s="522">
        <f t="shared" si="31"/>
        <v>235</v>
      </c>
      <c r="C239" s="496" t="s">
        <v>470</v>
      </c>
      <c r="D239" s="486"/>
      <c r="E239" s="502">
        <v>0</v>
      </c>
      <c r="F239" s="502">
        <v>0</v>
      </c>
      <c r="G239" s="502">
        <v>0</v>
      </c>
      <c r="H239" s="502">
        <v>0</v>
      </c>
      <c r="I239" s="502">
        <v>0</v>
      </c>
      <c r="J239" s="868"/>
      <c r="K239" s="502">
        <v>0</v>
      </c>
      <c r="L239" s="502">
        <v>0</v>
      </c>
    </row>
    <row r="240" spans="1:12">
      <c r="A240" s="522">
        <f t="shared" si="31"/>
        <v>236</v>
      </c>
      <c r="C240" s="496" t="s">
        <v>739</v>
      </c>
      <c r="D240" s="486"/>
      <c r="E240" s="502">
        <v>0</v>
      </c>
      <c r="F240" s="502">
        <v>0</v>
      </c>
      <c r="G240" s="502">
        <v>0</v>
      </c>
      <c r="H240" s="502">
        <v>0</v>
      </c>
      <c r="I240" s="502">
        <v>0</v>
      </c>
      <c r="J240" s="868"/>
      <c r="K240" s="502">
        <v>0</v>
      </c>
      <c r="L240" s="502">
        <v>0</v>
      </c>
    </row>
    <row r="241" spans="1:12">
      <c r="A241" s="522">
        <f t="shared" si="31"/>
        <v>237</v>
      </c>
      <c r="C241" s="496" t="s">
        <v>494</v>
      </c>
      <c r="D241" s="486"/>
      <c r="E241" s="502">
        <v>0</v>
      </c>
      <c r="F241" s="502">
        <v>0</v>
      </c>
      <c r="G241" s="502">
        <v>0</v>
      </c>
      <c r="H241" s="502">
        <v>0</v>
      </c>
      <c r="I241" s="502">
        <v>0</v>
      </c>
      <c r="J241" s="868"/>
      <c r="K241" s="502">
        <v>0</v>
      </c>
      <c r="L241" s="502">
        <v>0</v>
      </c>
    </row>
    <row r="242" spans="1:12">
      <c r="A242" s="522">
        <f t="shared" si="31"/>
        <v>238</v>
      </c>
      <c r="C242" s="496" t="s">
        <v>711</v>
      </c>
      <c r="D242" s="486"/>
      <c r="E242" s="502">
        <v>0</v>
      </c>
      <c r="F242" s="502">
        <v>0</v>
      </c>
      <c r="G242" s="502">
        <v>0</v>
      </c>
      <c r="H242" s="502">
        <v>0</v>
      </c>
      <c r="I242" s="502">
        <v>0</v>
      </c>
      <c r="J242" s="868"/>
      <c r="K242" s="502">
        <v>0</v>
      </c>
      <c r="L242" s="502">
        <v>0</v>
      </c>
    </row>
    <row r="243" spans="1:12">
      <c r="A243" s="522">
        <f t="shared" si="31"/>
        <v>239</v>
      </c>
      <c r="B243" s="492"/>
      <c r="C243" s="493" t="s">
        <v>1401</v>
      </c>
      <c r="D243" s="486"/>
      <c r="E243" s="503">
        <f t="shared" ref="E243:L243" si="48">SUBTOTAL(9,E234:E242)</f>
        <v>0</v>
      </c>
      <c r="F243" s="503">
        <f t="shared" si="48"/>
        <v>0</v>
      </c>
      <c r="G243" s="503">
        <f t="shared" si="48"/>
        <v>726697.6622743099</v>
      </c>
      <c r="H243" s="503">
        <f t="shared" si="48"/>
        <v>0</v>
      </c>
      <c r="I243" s="503">
        <f t="shared" si="48"/>
        <v>0</v>
      </c>
      <c r="J243" s="869"/>
      <c r="K243" s="503">
        <f t="shared" si="48"/>
        <v>0</v>
      </c>
      <c r="L243" s="503">
        <f t="shared" si="48"/>
        <v>0</v>
      </c>
    </row>
    <row r="244" spans="1:12">
      <c r="A244" s="522">
        <f t="shared" si="31"/>
        <v>240</v>
      </c>
      <c r="B244" s="491" t="s">
        <v>742</v>
      </c>
      <c r="C244" s="497"/>
      <c r="D244" s="486"/>
      <c r="E244" s="381"/>
      <c r="F244" s="381"/>
      <c r="G244" s="381"/>
      <c r="H244" s="381"/>
      <c r="I244" s="381"/>
      <c r="J244" s="881"/>
      <c r="K244" s="381"/>
      <c r="L244" s="381"/>
    </row>
    <row r="245" spans="1:12">
      <c r="A245" s="522">
        <f t="shared" ref="A245:A313" si="49">+A244+1</f>
        <v>241</v>
      </c>
      <c r="C245" s="496" t="s">
        <v>1087</v>
      </c>
      <c r="D245" s="486"/>
      <c r="E245" s="502">
        <v>0</v>
      </c>
      <c r="F245" s="502">
        <v>0</v>
      </c>
      <c r="G245" s="502">
        <v>0</v>
      </c>
      <c r="H245" s="502">
        <v>0</v>
      </c>
      <c r="I245" s="502">
        <v>0</v>
      </c>
      <c r="J245" s="868"/>
      <c r="K245" s="502">
        <v>0</v>
      </c>
      <c r="L245" s="502">
        <v>0</v>
      </c>
    </row>
    <row r="246" spans="1:12">
      <c r="A246" s="522">
        <f t="shared" si="49"/>
        <v>242</v>
      </c>
      <c r="C246" s="496" t="s">
        <v>1089</v>
      </c>
      <c r="D246" s="486"/>
      <c r="E246" s="502">
        <v>0</v>
      </c>
      <c r="F246" s="502">
        <v>0</v>
      </c>
      <c r="G246" s="502">
        <v>0</v>
      </c>
      <c r="H246" s="502">
        <v>0</v>
      </c>
      <c r="I246" s="502">
        <v>0</v>
      </c>
      <c r="J246" s="868"/>
      <c r="K246" s="502">
        <v>0</v>
      </c>
      <c r="L246" s="502">
        <v>0</v>
      </c>
    </row>
    <row r="247" spans="1:12">
      <c r="A247" s="522">
        <f t="shared" si="49"/>
        <v>243</v>
      </c>
      <c r="C247" s="496" t="s">
        <v>705</v>
      </c>
      <c r="D247" s="486"/>
      <c r="E247" s="502">
        <v>0</v>
      </c>
      <c r="F247" s="502">
        <v>0</v>
      </c>
      <c r="G247" s="502">
        <v>0</v>
      </c>
      <c r="H247" s="502">
        <v>0</v>
      </c>
      <c r="I247" s="502">
        <v>0</v>
      </c>
      <c r="J247" s="868"/>
      <c r="K247" s="502">
        <v>0</v>
      </c>
      <c r="L247" s="502">
        <v>0</v>
      </c>
    </row>
    <row r="248" spans="1:12">
      <c r="A248" s="522">
        <f t="shared" si="49"/>
        <v>244</v>
      </c>
      <c r="C248" s="496" t="s">
        <v>1094</v>
      </c>
      <c r="D248" s="486"/>
      <c r="E248" s="502">
        <v>0</v>
      </c>
      <c r="F248" s="502">
        <v>0</v>
      </c>
      <c r="G248" s="502">
        <v>0</v>
      </c>
      <c r="H248" s="502">
        <v>0</v>
      </c>
      <c r="I248" s="502">
        <v>0</v>
      </c>
      <c r="J248" s="868"/>
      <c r="K248" s="502">
        <v>0</v>
      </c>
      <c r="L248" s="502">
        <v>0</v>
      </c>
    </row>
    <row r="249" spans="1:12">
      <c r="A249" s="522">
        <f t="shared" si="49"/>
        <v>245</v>
      </c>
      <c r="C249" s="496" t="s">
        <v>1084</v>
      </c>
      <c r="D249" s="486"/>
      <c r="E249" s="502">
        <v>0</v>
      </c>
      <c r="F249" s="502">
        <v>0</v>
      </c>
      <c r="G249" s="502">
        <v>0</v>
      </c>
      <c r="H249" s="502">
        <v>0</v>
      </c>
      <c r="I249" s="502">
        <v>0</v>
      </c>
      <c r="J249" s="868"/>
      <c r="K249" s="502">
        <v>0</v>
      </c>
      <c r="L249" s="502">
        <v>0</v>
      </c>
    </row>
    <row r="250" spans="1:12">
      <c r="A250" s="522">
        <f t="shared" si="49"/>
        <v>246</v>
      </c>
      <c r="C250" s="496" t="s">
        <v>470</v>
      </c>
      <c r="D250" s="486"/>
      <c r="E250" s="502">
        <v>0</v>
      </c>
      <c r="F250" s="502">
        <v>0</v>
      </c>
      <c r="G250" s="502">
        <v>0</v>
      </c>
      <c r="H250" s="502">
        <v>0</v>
      </c>
      <c r="I250" s="502">
        <v>0</v>
      </c>
      <c r="J250" s="868"/>
      <c r="K250" s="502">
        <v>0</v>
      </c>
      <c r="L250" s="502">
        <v>0</v>
      </c>
    </row>
    <row r="251" spans="1:12">
      <c r="A251" s="522">
        <f t="shared" si="49"/>
        <v>247</v>
      </c>
      <c r="C251" s="496" t="s">
        <v>494</v>
      </c>
      <c r="D251" s="486"/>
      <c r="E251" s="502">
        <v>0</v>
      </c>
      <c r="F251" s="502">
        <v>0</v>
      </c>
      <c r="G251" s="502">
        <v>0</v>
      </c>
      <c r="H251" s="502">
        <v>0</v>
      </c>
      <c r="I251" s="502">
        <v>0</v>
      </c>
      <c r="J251" s="868"/>
      <c r="K251" s="502">
        <v>0</v>
      </c>
      <c r="L251" s="502">
        <v>0</v>
      </c>
    </row>
    <row r="252" spans="1:12">
      <c r="A252" s="522">
        <f t="shared" si="49"/>
        <v>248</v>
      </c>
      <c r="B252" s="332"/>
      <c r="C252" s="496" t="s">
        <v>711</v>
      </c>
      <c r="D252" s="486"/>
      <c r="E252" s="502">
        <v>0</v>
      </c>
      <c r="F252" s="502">
        <v>0</v>
      </c>
      <c r="G252" s="502">
        <v>0</v>
      </c>
      <c r="H252" s="502">
        <v>0</v>
      </c>
      <c r="I252" s="502">
        <v>0</v>
      </c>
      <c r="J252" s="868"/>
      <c r="K252" s="502">
        <v>0</v>
      </c>
      <c r="L252" s="502">
        <v>0</v>
      </c>
    </row>
    <row r="253" spans="1:12">
      <c r="A253" s="522">
        <f t="shared" si="49"/>
        <v>249</v>
      </c>
      <c r="B253" s="332"/>
      <c r="C253" s="493" t="s">
        <v>1401</v>
      </c>
      <c r="D253" s="486"/>
      <c r="E253" s="503">
        <f t="shared" ref="E253:L253" si="50">SUBTOTAL(9,E245:E252)</f>
        <v>0</v>
      </c>
      <c r="F253" s="503">
        <f t="shared" si="50"/>
        <v>0</v>
      </c>
      <c r="G253" s="503">
        <f t="shared" si="50"/>
        <v>0</v>
      </c>
      <c r="H253" s="503">
        <f t="shared" si="50"/>
        <v>0</v>
      </c>
      <c r="I253" s="503">
        <f t="shared" si="50"/>
        <v>0</v>
      </c>
      <c r="J253" s="869"/>
      <c r="K253" s="503">
        <f t="shared" si="50"/>
        <v>0</v>
      </c>
      <c r="L253" s="503">
        <f t="shared" si="50"/>
        <v>0</v>
      </c>
    </row>
    <row r="254" spans="1:12">
      <c r="A254" s="522">
        <f t="shared" si="49"/>
        <v>250</v>
      </c>
      <c r="B254" s="491" t="s">
        <v>325</v>
      </c>
      <c r="C254" s="497"/>
      <c r="D254" s="486"/>
      <c r="E254" s="381"/>
      <c r="F254" s="381"/>
      <c r="G254" s="381"/>
      <c r="H254" s="381"/>
      <c r="I254" s="381"/>
      <c r="J254" s="881"/>
      <c r="K254" s="381"/>
      <c r="L254" s="381"/>
    </row>
    <row r="255" spans="1:12">
      <c r="A255" s="522">
        <f t="shared" si="49"/>
        <v>251</v>
      </c>
      <c r="C255" s="496" t="s">
        <v>1087</v>
      </c>
      <c r="D255" s="486"/>
      <c r="E255" s="502">
        <f>20000*(E7/43)^0.6*(E8/2000)</f>
        <v>0</v>
      </c>
      <c r="F255" s="502">
        <v>0</v>
      </c>
      <c r="G255" s="502">
        <v>0</v>
      </c>
      <c r="H255" s="502">
        <v>0</v>
      </c>
      <c r="I255" s="502">
        <v>0</v>
      </c>
      <c r="J255" s="868"/>
      <c r="K255" s="502">
        <v>0</v>
      </c>
      <c r="L255" s="502">
        <v>0</v>
      </c>
    </row>
    <row r="256" spans="1:12">
      <c r="A256" s="522">
        <f t="shared" si="49"/>
        <v>252</v>
      </c>
      <c r="C256" s="496" t="s">
        <v>1089</v>
      </c>
      <c r="D256" s="486"/>
      <c r="E256" s="502">
        <v>0</v>
      </c>
      <c r="F256" s="502">
        <v>0</v>
      </c>
      <c r="G256" s="502">
        <v>0</v>
      </c>
      <c r="H256" s="502">
        <v>0</v>
      </c>
      <c r="I256" s="502">
        <v>0</v>
      </c>
      <c r="J256" s="868"/>
      <c r="K256" s="502">
        <v>0</v>
      </c>
      <c r="L256" s="502">
        <v>0</v>
      </c>
    </row>
    <row r="257" spans="1:12">
      <c r="A257" s="522">
        <f t="shared" si="49"/>
        <v>253</v>
      </c>
      <c r="C257" s="496" t="s">
        <v>705</v>
      </c>
      <c r="D257" s="486"/>
      <c r="E257" s="502">
        <v>0</v>
      </c>
      <c r="F257" s="502">
        <v>0</v>
      </c>
      <c r="G257" s="502">
        <v>0</v>
      </c>
      <c r="H257" s="502">
        <v>0</v>
      </c>
      <c r="I257" s="502">
        <v>0</v>
      </c>
      <c r="J257" s="868"/>
      <c r="K257" s="502">
        <v>0</v>
      </c>
      <c r="L257" s="502">
        <v>0</v>
      </c>
    </row>
    <row r="258" spans="1:12">
      <c r="A258" s="522">
        <f t="shared" si="49"/>
        <v>254</v>
      </c>
      <c r="C258" s="496" t="s">
        <v>1094</v>
      </c>
      <c r="D258" s="486"/>
      <c r="E258" s="502">
        <v>0</v>
      </c>
      <c r="F258" s="502">
        <v>0</v>
      </c>
      <c r="G258" s="502">
        <v>0</v>
      </c>
      <c r="H258" s="502">
        <v>0</v>
      </c>
      <c r="I258" s="502">
        <v>0</v>
      </c>
      <c r="J258" s="868"/>
      <c r="K258" s="502">
        <v>0</v>
      </c>
      <c r="L258" s="502">
        <v>0</v>
      </c>
    </row>
    <row r="259" spans="1:12">
      <c r="A259" s="522">
        <f t="shared" si="49"/>
        <v>255</v>
      </c>
      <c r="C259" s="496" t="s">
        <v>1084</v>
      </c>
      <c r="D259" s="486"/>
      <c r="E259" s="502">
        <v>0</v>
      </c>
      <c r="F259" s="502">
        <v>0</v>
      </c>
      <c r="G259" s="502">
        <v>0</v>
      </c>
      <c r="H259" s="502">
        <v>0</v>
      </c>
      <c r="I259" s="502">
        <v>0</v>
      </c>
      <c r="J259" s="868"/>
      <c r="K259" s="502">
        <v>0</v>
      </c>
      <c r="L259" s="502">
        <v>0</v>
      </c>
    </row>
    <row r="260" spans="1:12">
      <c r="A260" s="522">
        <f t="shared" si="49"/>
        <v>256</v>
      </c>
      <c r="C260" s="496" t="s">
        <v>470</v>
      </c>
      <c r="D260" s="486"/>
      <c r="E260" s="502">
        <v>0</v>
      </c>
      <c r="F260" s="502">
        <v>0</v>
      </c>
      <c r="G260" s="502">
        <v>0</v>
      </c>
      <c r="H260" s="502">
        <v>0</v>
      </c>
      <c r="I260" s="502">
        <v>0</v>
      </c>
      <c r="J260" s="868"/>
      <c r="K260" s="502">
        <v>0</v>
      </c>
      <c r="L260" s="502">
        <v>0</v>
      </c>
    </row>
    <row r="261" spans="1:12">
      <c r="A261" s="522">
        <f t="shared" si="49"/>
        <v>257</v>
      </c>
      <c r="C261" s="496" t="s">
        <v>494</v>
      </c>
      <c r="D261" s="486"/>
      <c r="E261" s="502">
        <v>0</v>
      </c>
      <c r="F261" s="502">
        <v>0</v>
      </c>
      <c r="G261" s="502">
        <v>0</v>
      </c>
      <c r="H261" s="502">
        <v>0</v>
      </c>
      <c r="I261" s="502">
        <v>0</v>
      </c>
      <c r="J261" s="868"/>
      <c r="K261" s="502">
        <v>0</v>
      </c>
      <c r="L261" s="502">
        <v>0</v>
      </c>
    </row>
    <row r="262" spans="1:12">
      <c r="A262" s="522">
        <f t="shared" si="49"/>
        <v>258</v>
      </c>
      <c r="B262" s="332"/>
      <c r="C262" s="496" t="s">
        <v>711</v>
      </c>
      <c r="D262" s="486"/>
      <c r="E262" s="502">
        <v>0</v>
      </c>
      <c r="F262" s="502">
        <v>0</v>
      </c>
      <c r="G262" s="502">
        <v>0</v>
      </c>
      <c r="H262" s="502">
        <v>0</v>
      </c>
      <c r="I262" s="502">
        <v>0</v>
      </c>
      <c r="J262" s="868"/>
      <c r="K262" s="502">
        <v>0</v>
      </c>
      <c r="L262" s="502">
        <v>0</v>
      </c>
    </row>
    <row r="263" spans="1:12">
      <c r="A263" s="522">
        <f t="shared" si="49"/>
        <v>259</v>
      </c>
      <c r="B263" s="332"/>
      <c r="C263" s="493" t="s">
        <v>1401</v>
      </c>
      <c r="D263" s="486"/>
      <c r="E263" s="503">
        <f t="shared" ref="E263:L263" si="51">SUBTOTAL(9,E255:E262)</f>
        <v>0</v>
      </c>
      <c r="F263" s="503">
        <f t="shared" si="51"/>
        <v>0</v>
      </c>
      <c r="G263" s="503">
        <f t="shared" si="51"/>
        <v>0</v>
      </c>
      <c r="H263" s="503">
        <f t="shared" si="51"/>
        <v>0</v>
      </c>
      <c r="I263" s="503">
        <f t="shared" si="51"/>
        <v>0</v>
      </c>
      <c r="J263" s="869"/>
      <c r="K263" s="503">
        <f t="shared" si="51"/>
        <v>0</v>
      </c>
      <c r="L263" s="503">
        <f t="shared" si="51"/>
        <v>0</v>
      </c>
    </row>
    <row r="264" spans="1:12">
      <c r="A264" s="522">
        <f t="shared" si="49"/>
        <v>260</v>
      </c>
      <c r="B264" s="491" t="s">
        <v>751</v>
      </c>
      <c r="C264" s="497"/>
      <c r="D264" s="486"/>
      <c r="E264" s="381"/>
      <c r="F264" s="381"/>
      <c r="G264" s="381"/>
      <c r="H264" s="381"/>
      <c r="I264" s="381"/>
      <c r="J264" s="881"/>
      <c r="K264" s="381"/>
      <c r="L264" s="381"/>
    </row>
    <row r="265" spans="1:12">
      <c r="A265" s="522">
        <f t="shared" si="49"/>
        <v>261</v>
      </c>
      <c r="C265" s="496" t="s">
        <v>752</v>
      </c>
      <c r="D265" s="486"/>
      <c r="E265" s="382">
        <f t="shared" ref="E265:K265" si="52">(E7/414)^0.6*416000</f>
        <v>0</v>
      </c>
      <c r="F265" s="382">
        <f t="shared" si="52"/>
        <v>0</v>
      </c>
      <c r="G265" s="382">
        <f t="shared" si="52"/>
        <v>369641.28912631638</v>
      </c>
      <c r="H265" s="382">
        <f t="shared" si="52"/>
        <v>0</v>
      </c>
      <c r="I265" s="382">
        <f t="shared" si="52"/>
        <v>0</v>
      </c>
      <c r="J265" s="876"/>
      <c r="K265" s="382">
        <f t="shared" si="52"/>
        <v>0</v>
      </c>
      <c r="L265" s="382">
        <f>(L7/7/414)^0.6*416000</f>
        <v>0</v>
      </c>
    </row>
    <row r="266" spans="1:12">
      <c r="A266" s="522">
        <f t="shared" si="49"/>
        <v>262</v>
      </c>
      <c r="C266" s="496" t="s">
        <v>754</v>
      </c>
      <c r="D266" s="486"/>
      <c r="E266" s="382">
        <v>0</v>
      </c>
      <c r="F266" s="382">
        <v>0</v>
      </c>
      <c r="G266" s="382">
        <v>0</v>
      </c>
      <c r="H266" s="382">
        <v>0</v>
      </c>
      <c r="I266" s="382">
        <v>0</v>
      </c>
      <c r="J266" s="876"/>
      <c r="K266" s="382">
        <v>2</v>
      </c>
      <c r="L266" s="382">
        <v>0</v>
      </c>
    </row>
    <row r="267" spans="1:12">
      <c r="A267" s="522">
        <f t="shared" si="49"/>
        <v>263</v>
      </c>
      <c r="C267" s="496" t="s">
        <v>756</v>
      </c>
      <c r="D267" s="486"/>
      <c r="E267" s="382">
        <v>0</v>
      </c>
      <c r="F267" s="382">
        <v>0</v>
      </c>
      <c r="G267" s="382">
        <v>0</v>
      </c>
      <c r="H267" s="382">
        <v>0</v>
      </c>
      <c r="I267" s="382">
        <v>0</v>
      </c>
      <c r="J267" s="876"/>
      <c r="K267" s="382">
        <v>0</v>
      </c>
      <c r="L267" s="382">
        <v>0</v>
      </c>
    </row>
    <row r="268" spans="1:12">
      <c r="A268" s="522">
        <f t="shared" si="49"/>
        <v>264</v>
      </c>
      <c r="C268" s="496" t="s">
        <v>757</v>
      </c>
      <c r="D268" s="486"/>
      <c r="E268" s="382">
        <v>0</v>
      </c>
      <c r="F268" s="382">
        <v>0</v>
      </c>
      <c r="G268" s="382">
        <v>0</v>
      </c>
      <c r="H268" s="382">
        <v>0</v>
      </c>
      <c r="I268" s="382">
        <v>0</v>
      </c>
      <c r="J268" s="876"/>
      <c r="K268" s="382">
        <v>0</v>
      </c>
      <c r="L268" s="382">
        <v>0</v>
      </c>
    </row>
    <row r="269" spans="1:12">
      <c r="A269" s="522">
        <f t="shared" si="49"/>
        <v>265</v>
      </c>
      <c r="C269" s="496" t="s">
        <v>758</v>
      </c>
      <c r="D269" s="486"/>
      <c r="E269" s="382">
        <v>0</v>
      </c>
      <c r="F269" s="382">
        <v>0</v>
      </c>
      <c r="G269" s="382">
        <v>0</v>
      </c>
      <c r="H269" s="382">
        <v>0</v>
      </c>
      <c r="I269" s="382">
        <v>0</v>
      </c>
      <c r="J269" s="876"/>
      <c r="K269" s="382">
        <v>0</v>
      </c>
      <c r="L269" s="382">
        <v>0</v>
      </c>
    </row>
    <row r="270" spans="1:12">
      <c r="A270" s="522">
        <f t="shared" si="49"/>
        <v>266</v>
      </c>
      <c r="C270" s="496" t="s">
        <v>759</v>
      </c>
      <c r="D270" s="486"/>
      <c r="E270" s="382">
        <v>0</v>
      </c>
      <c r="F270" s="382">
        <v>0</v>
      </c>
      <c r="G270" s="382">
        <v>0</v>
      </c>
      <c r="H270" s="382">
        <v>0</v>
      </c>
      <c r="I270" s="382">
        <v>0</v>
      </c>
      <c r="J270" s="876"/>
      <c r="K270" s="382">
        <f t="shared" ref="K270:L281" si="53">J270</f>
        <v>0</v>
      </c>
      <c r="L270" s="382">
        <f t="shared" si="53"/>
        <v>0</v>
      </c>
    </row>
    <row r="271" spans="1:12">
      <c r="A271" s="522">
        <f t="shared" si="49"/>
        <v>267</v>
      </c>
      <c r="C271" s="496" t="s">
        <v>760</v>
      </c>
      <c r="D271" s="486"/>
      <c r="E271" s="382">
        <v>0</v>
      </c>
      <c r="F271" s="382">
        <v>0</v>
      </c>
      <c r="G271" s="382">
        <v>0</v>
      </c>
      <c r="H271" s="382">
        <v>0</v>
      </c>
      <c r="I271" s="382">
        <v>0</v>
      </c>
      <c r="J271" s="876"/>
      <c r="K271" s="382">
        <f t="shared" si="53"/>
        <v>0</v>
      </c>
      <c r="L271" s="382">
        <f t="shared" si="53"/>
        <v>0</v>
      </c>
    </row>
    <row r="272" spans="1:12">
      <c r="A272" s="522">
        <f t="shared" si="49"/>
        <v>268</v>
      </c>
      <c r="C272" s="496" t="s">
        <v>761</v>
      </c>
      <c r="D272" s="486"/>
      <c r="E272" s="382">
        <v>0</v>
      </c>
      <c r="F272" s="382">
        <v>0</v>
      </c>
      <c r="G272" s="382">
        <v>0</v>
      </c>
      <c r="H272" s="382">
        <v>0</v>
      </c>
      <c r="I272" s="382">
        <v>0</v>
      </c>
      <c r="J272" s="876"/>
      <c r="K272" s="382">
        <f t="shared" si="53"/>
        <v>0</v>
      </c>
      <c r="L272" s="382">
        <f t="shared" si="53"/>
        <v>0</v>
      </c>
    </row>
    <row r="273" spans="1:12">
      <c r="A273" s="522">
        <f t="shared" si="49"/>
        <v>269</v>
      </c>
      <c r="C273" s="496" t="s">
        <v>705</v>
      </c>
      <c r="D273" s="486"/>
      <c r="E273" s="382">
        <v>0</v>
      </c>
      <c r="F273" s="382">
        <v>0</v>
      </c>
      <c r="G273" s="382">
        <v>0</v>
      </c>
      <c r="H273" s="382">
        <v>0</v>
      </c>
      <c r="I273" s="382">
        <v>0</v>
      </c>
      <c r="J273" s="876"/>
      <c r="K273" s="382">
        <f t="shared" si="53"/>
        <v>0</v>
      </c>
      <c r="L273" s="382">
        <f t="shared" si="53"/>
        <v>0</v>
      </c>
    </row>
    <row r="274" spans="1:12">
      <c r="A274" s="522">
        <f t="shared" si="49"/>
        <v>270</v>
      </c>
      <c r="C274" s="496" t="s">
        <v>762</v>
      </c>
      <c r="D274" s="486"/>
      <c r="E274" s="382">
        <v>0</v>
      </c>
      <c r="F274" s="382">
        <v>0</v>
      </c>
      <c r="G274" s="382">
        <v>0</v>
      </c>
      <c r="H274" s="382">
        <v>0</v>
      </c>
      <c r="I274" s="382">
        <v>0</v>
      </c>
      <c r="J274" s="876"/>
      <c r="K274" s="382">
        <f t="shared" si="53"/>
        <v>0</v>
      </c>
      <c r="L274" s="382">
        <f t="shared" si="53"/>
        <v>0</v>
      </c>
    </row>
    <row r="275" spans="1:12">
      <c r="A275" s="522">
        <f t="shared" si="49"/>
        <v>271</v>
      </c>
      <c r="C275" s="496" t="s">
        <v>1089</v>
      </c>
      <c r="D275" s="486"/>
      <c r="E275" s="382">
        <v>0</v>
      </c>
      <c r="F275" s="382">
        <v>0</v>
      </c>
      <c r="G275" s="382">
        <v>0</v>
      </c>
      <c r="H275" s="382">
        <v>0</v>
      </c>
      <c r="I275" s="382">
        <v>0</v>
      </c>
      <c r="J275" s="876"/>
      <c r="K275" s="382">
        <f t="shared" si="53"/>
        <v>0</v>
      </c>
      <c r="L275" s="382">
        <f t="shared" si="53"/>
        <v>0</v>
      </c>
    </row>
    <row r="276" spans="1:12">
      <c r="A276" s="522">
        <f t="shared" si="49"/>
        <v>272</v>
      </c>
      <c r="C276" s="496" t="s">
        <v>511</v>
      </c>
      <c r="D276" s="486"/>
      <c r="E276" s="382">
        <v>0</v>
      </c>
      <c r="F276" s="382">
        <v>0</v>
      </c>
      <c r="G276" s="382">
        <v>0</v>
      </c>
      <c r="H276" s="382">
        <v>0</v>
      </c>
      <c r="I276" s="382">
        <v>0</v>
      </c>
      <c r="J276" s="876"/>
      <c r="K276" s="382">
        <f t="shared" si="53"/>
        <v>0</v>
      </c>
      <c r="L276" s="382">
        <f t="shared" si="53"/>
        <v>0</v>
      </c>
    </row>
    <row r="277" spans="1:12">
      <c r="A277" s="522">
        <f t="shared" si="49"/>
        <v>273</v>
      </c>
      <c r="C277" s="496" t="s">
        <v>763</v>
      </c>
      <c r="D277" s="486"/>
      <c r="E277" s="382">
        <v>0</v>
      </c>
      <c r="F277" s="382">
        <v>0</v>
      </c>
      <c r="G277" s="382">
        <v>0</v>
      </c>
      <c r="H277" s="382">
        <v>0</v>
      </c>
      <c r="I277" s="382">
        <v>0</v>
      </c>
      <c r="J277" s="876"/>
      <c r="K277" s="382">
        <f t="shared" si="53"/>
        <v>0</v>
      </c>
      <c r="L277" s="382">
        <f t="shared" si="53"/>
        <v>0</v>
      </c>
    </row>
    <row r="278" spans="1:12">
      <c r="A278" s="522">
        <f t="shared" si="49"/>
        <v>274</v>
      </c>
      <c r="C278" s="496" t="s">
        <v>764</v>
      </c>
      <c r="D278" s="486"/>
      <c r="E278" s="382">
        <v>0</v>
      </c>
      <c r="F278" s="382">
        <v>0</v>
      </c>
      <c r="G278" s="382">
        <v>0</v>
      </c>
      <c r="H278" s="382">
        <v>0</v>
      </c>
      <c r="I278" s="382">
        <v>0</v>
      </c>
      <c r="J278" s="876"/>
      <c r="K278" s="382">
        <v>0</v>
      </c>
      <c r="L278" s="382">
        <v>0</v>
      </c>
    </row>
    <row r="279" spans="1:12">
      <c r="A279" s="522">
        <f t="shared" si="49"/>
        <v>275</v>
      </c>
      <c r="C279" s="496" t="s">
        <v>765</v>
      </c>
      <c r="D279" s="486"/>
      <c r="E279" s="382">
        <v>0</v>
      </c>
      <c r="F279" s="382">
        <v>0</v>
      </c>
      <c r="G279" s="382">
        <v>0</v>
      </c>
      <c r="H279" s="382">
        <v>0</v>
      </c>
      <c r="I279" s="382">
        <v>0</v>
      </c>
      <c r="J279" s="876"/>
      <c r="K279" s="382">
        <f t="shared" si="53"/>
        <v>0</v>
      </c>
      <c r="L279" s="382">
        <f t="shared" si="53"/>
        <v>0</v>
      </c>
    </row>
    <row r="280" spans="1:12">
      <c r="A280" s="522">
        <f t="shared" si="49"/>
        <v>276</v>
      </c>
      <c r="C280" s="496" t="s">
        <v>494</v>
      </c>
      <c r="D280" s="486"/>
      <c r="E280" s="382">
        <v>0</v>
      </c>
      <c r="F280" s="382">
        <v>0</v>
      </c>
      <c r="G280" s="382">
        <v>0</v>
      </c>
      <c r="H280" s="382">
        <v>0</v>
      </c>
      <c r="I280" s="382">
        <v>0</v>
      </c>
      <c r="J280" s="876"/>
      <c r="K280" s="382">
        <f t="shared" si="53"/>
        <v>0</v>
      </c>
      <c r="L280" s="382">
        <f t="shared" si="53"/>
        <v>0</v>
      </c>
    </row>
    <row r="281" spans="1:12">
      <c r="A281" s="522">
        <f t="shared" si="49"/>
        <v>277</v>
      </c>
      <c r="B281" s="332"/>
      <c r="C281" s="496" t="s">
        <v>711</v>
      </c>
      <c r="D281" s="486"/>
      <c r="E281" s="382">
        <v>0</v>
      </c>
      <c r="F281" s="382">
        <v>0</v>
      </c>
      <c r="G281" s="382">
        <v>0</v>
      </c>
      <c r="H281" s="382">
        <v>0</v>
      </c>
      <c r="I281" s="382">
        <v>0</v>
      </c>
      <c r="J281" s="876"/>
      <c r="K281" s="382">
        <f t="shared" si="53"/>
        <v>0</v>
      </c>
      <c r="L281" s="382">
        <f t="shared" si="53"/>
        <v>0</v>
      </c>
    </row>
    <row r="282" spans="1:12">
      <c r="A282" s="522">
        <f t="shared" si="49"/>
        <v>278</v>
      </c>
      <c r="B282" s="492"/>
      <c r="C282" s="497" t="s">
        <v>1401</v>
      </c>
      <c r="D282" s="486"/>
      <c r="E282" s="503">
        <f t="shared" ref="E282:L282" si="54">SUBTOTAL(9,E265:E281)</f>
        <v>0</v>
      </c>
      <c r="F282" s="503">
        <f t="shared" si="54"/>
        <v>0</v>
      </c>
      <c r="G282" s="503">
        <f t="shared" si="54"/>
        <v>369641.28912631638</v>
      </c>
      <c r="H282" s="503">
        <f t="shared" si="54"/>
        <v>0</v>
      </c>
      <c r="I282" s="503">
        <f t="shared" si="54"/>
        <v>0</v>
      </c>
      <c r="J282" s="869"/>
      <c r="K282" s="503">
        <f t="shared" si="54"/>
        <v>2</v>
      </c>
      <c r="L282" s="503">
        <f t="shared" si="54"/>
        <v>0</v>
      </c>
    </row>
    <row r="283" spans="1:12">
      <c r="A283" s="522">
        <f t="shared" si="49"/>
        <v>279</v>
      </c>
      <c r="B283" s="491" t="s">
        <v>767</v>
      </c>
      <c r="C283" s="497"/>
      <c r="D283" s="486"/>
      <c r="E283" s="383"/>
      <c r="F283" s="383"/>
      <c r="G283" s="383"/>
      <c r="H283" s="383"/>
      <c r="I283" s="383"/>
      <c r="J283" s="882"/>
      <c r="K283" s="383"/>
      <c r="L283" s="383"/>
    </row>
    <row r="284" spans="1:12">
      <c r="A284" s="522">
        <f t="shared" si="49"/>
        <v>280</v>
      </c>
      <c r="C284" s="496" t="s">
        <v>857</v>
      </c>
      <c r="D284" s="486"/>
      <c r="E284" s="382">
        <f>IF(AND(F8=0,G8=0,H8=0),IF(E8=0,0,'O&amp;M_Estimate'!$D$57),0)</f>
        <v>0</v>
      </c>
      <c r="F284" s="382">
        <f>IF(F8=0,0,'O&amp;M_Estimate'!$D$57)</f>
        <v>0</v>
      </c>
      <c r="G284" s="382">
        <f>IF(F8=0,IF(G8=0,0,'O&amp;M_Estimate'!$D$57),0)</f>
        <v>1160000</v>
      </c>
      <c r="H284" s="382">
        <f>IF(AND(F8=0,G8=0),IF(H8=0,0,'O&amp;M_Estimate'!$D$57),0)</f>
        <v>0</v>
      </c>
      <c r="I284" s="382">
        <f>IF(AND(G8=0,H8=0),IF(I8=0,0,'O&amp;M_Estimate'!$D$57),0)</f>
        <v>0</v>
      </c>
      <c r="J284" s="876"/>
      <c r="K284" s="382">
        <f>IF(AND(I8=0,J8=0),IF(K8=0,0,'O&amp;M_Estimate'!$D$57),0)</f>
        <v>0</v>
      </c>
      <c r="L284" s="382">
        <v>0</v>
      </c>
    </row>
    <row r="285" spans="1:12">
      <c r="A285" s="522">
        <f t="shared" si="49"/>
        <v>281</v>
      </c>
      <c r="C285" s="496"/>
      <c r="D285" s="486"/>
      <c r="E285" s="382"/>
      <c r="F285" s="382"/>
      <c r="G285" s="382"/>
      <c r="H285" s="382"/>
      <c r="I285" s="382"/>
      <c r="J285" s="876"/>
      <c r="K285" s="382"/>
      <c r="L285" s="382"/>
    </row>
    <row r="286" spans="1:12">
      <c r="A286" s="522">
        <f t="shared" si="49"/>
        <v>282</v>
      </c>
      <c r="C286" s="496"/>
      <c r="D286" s="486"/>
      <c r="E286" s="382"/>
      <c r="F286" s="382"/>
      <c r="G286" s="382"/>
      <c r="H286" s="382"/>
      <c r="I286" s="382"/>
      <c r="J286" s="876"/>
      <c r="K286" s="382"/>
      <c r="L286" s="382"/>
    </row>
    <row r="287" spans="1:12">
      <c r="A287" s="522">
        <f t="shared" si="49"/>
        <v>283</v>
      </c>
      <c r="C287" s="496"/>
      <c r="D287" s="486"/>
      <c r="E287" s="382"/>
      <c r="F287" s="382"/>
      <c r="G287" s="382"/>
      <c r="H287" s="382"/>
      <c r="I287" s="382"/>
      <c r="J287" s="876"/>
      <c r="K287" s="382"/>
      <c r="L287" s="382"/>
    </row>
    <row r="288" spans="1:12">
      <c r="A288" s="522">
        <f t="shared" si="49"/>
        <v>284</v>
      </c>
      <c r="C288" s="496"/>
      <c r="D288" s="486"/>
      <c r="E288" s="382"/>
      <c r="F288" s="382"/>
      <c r="G288" s="382"/>
      <c r="H288" s="382"/>
      <c r="I288" s="382"/>
      <c r="J288" s="876"/>
      <c r="K288" s="382"/>
      <c r="L288" s="382"/>
    </row>
    <row r="289" spans="1:12">
      <c r="A289" s="522">
        <f t="shared" si="49"/>
        <v>285</v>
      </c>
      <c r="C289" s="496"/>
      <c r="D289" s="486"/>
      <c r="E289" s="382"/>
      <c r="F289" s="382"/>
      <c r="G289" s="382"/>
      <c r="H289" s="382"/>
      <c r="I289" s="382"/>
      <c r="J289" s="876"/>
      <c r="K289" s="382"/>
      <c r="L289" s="382"/>
    </row>
    <row r="290" spans="1:12">
      <c r="A290" s="522">
        <f t="shared" si="49"/>
        <v>286</v>
      </c>
      <c r="B290" s="332"/>
      <c r="C290" s="495" t="s">
        <v>296</v>
      </c>
      <c r="D290" s="486"/>
      <c r="E290" s="510"/>
      <c r="F290" s="510"/>
      <c r="G290" s="510"/>
      <c r="H290" s="510"/>
      <c r="I290" s="510"/>
      <c r="J290" s="877"/>
      <c r="K290" s="510"/>
      <c r="L290" s="510"/>
    </row>
    <row r="291" spans="1:12">
      <c r="A291" s="522">
        <f t="shared" si="49"/>
        <v>287</v>
      </c>
      <c r="B291" s="332"/>
      <c r="C291" s="493" t="s">
        <v>1401</v>
      </c>
      <c r="D291" s="486"/>
      <c r="E291" s="503">
        <f t="shared" ref="E291:L291" si="55">SUBTOTAL(9,E284:E290)</f>
        <v>0</v>
      </c>
      <c r="F291" s="503">
        <f t="shared" si="55"/>
        <v>0</v>
      </c>
      <c r="G291" s="503">
        <f t="shared" si="55"/>
        <v>1160000</v>
      </c>
      <c r="H291" s="503">
        <f t="shared" si="55"/>
        <v>0</v>
      </c>
      <c r="I291" s="503">
        <f t="shared" si="55"/>
        <v>0</v>
      </c>
      <c r="J291" s="869"/>
      <c r="K291" s="503">
        <f t="shared" si="55"/>
        <v>0</v>
      </c>
      <c r="L291" s="503">
        <f t="shared" si="55"/>
        <v>0</v>
      </c>
    </row>
    <row r="292" spans="1:12">
      <c r="A292" s="522">
        <f t="shared" si="49"/>
        <v>288</v>
      </c>
      <c r="B292" s="491" t="s">
        <v>56</v>
      </c>
      <c r="C292" s="497"/>
      <c r="D292" s="486"/>
      <c r="E292" s="381"/>
      <c r="F292" s="381"/>
      <c r="G292" s="381"/>
      <c r="H292" s="381"/>
      <c r="I292" s="381"/>
      <c r="J292" s="881"/>
      <c r="K292" s="381"/>
      <c r="L292" s="381"/>
    </row>
    <row r="293" spans="1:12">
      <c r="A293" s="522">
        <f t="shared" si="49"/>
        <v>289</v>
      </c>
      <c r="C293" s="511" t="s">
        <v>857</v>
      </c>
      <c r="D293" s="486"/>
      <c r="E293" s="510"/>
      <c r="F293" s="510"/>
      <c r="G293" s="510"/>
      <c r="H293" s="510"/>
      <c r="I293" s="510"/>
      <c r="J293" s="877"/>
      <c r="K293" s="510"/>
      <c r="L293" s="510"/>
    </row>
    <row r="294" spans="1:12">
      <c r="A294" s="522">
        <f t="shared" si="49"/>
        <v>290</v>
      </c>
      <c r="C294" s="511" t="s">
        <v>869</v>
      </c>
      <c r="D294" s="486"/>
      <c r="E294" s="297">
        <v>0.1</v>
      </c>
      <c r="F294" s="297">
        <v>4.0999999999999996</v>
      </c>
      <c r="G294" s="297">
        <v>4.0999999999999996</v>
      </c>
      <c r="H294" s="297">
        <v>5.0999999999999996</v>
      </c>
      <c r="I294" s="297">
        <v>5.0999999999999996</v>
      </c>
      <c r="J294" s="878"/>
      <c r="K294" s="297"/>
      <c r="L294" s="297"/>
    </row>
    <row r="295" spans="1:12">
      <c r="A295" s="522">
        <f t="shared" si="49"/>
        <v>291</v>
      </c>
      <c r="C295" s="511" t="s">
        <v>297</v>
      </c>
      <c r="D295" s="486"/>
      <c r="E295" s="510"/>
      <c r="F295" s="510"/>
      <c r="G295" s="510"/>
      <c r="H295" s="510"/>
      <c r="I295" s="510"/>
      <c r="J295" s="877"/>
      <c r="K295" s="510"/>
      <c r="L295" s="510"/>
    </row>
    <row r="296" spans="1:12">
      <c r="A296" s="522">
        <f t="shared" si="49"/>
        <v>292</v>
      </c>
      <c r="B296" s="489"/>
      <c r="C296" s="496"/>
      <c r="D296" s="486"/>
      <c r="E296" s="510"/>
      <c r="F296" s="510"/>
      <c r="G296" s="510"/>
      <c r="H296" s="510"/>
      <c r="I296" s="510"/>
      <c r="J296" s="877"/>
      <c r="K296" s="510"/>
      <c r="L296" s="510"/>
    </row>
    <row r="297" spans="1:12">
      <c r="A297" s="522">
        <f t="shared" si="49"/>
        <v>293</v>
      </c>
      <c r="B297" s="492"/>
      <c r="C297" s="497" t="s">
        <v>1401</v>
      </c>
      <c r="D297" s="486"/>
      <c r="E297" s="337">
        <f t="shared" ref="E297:L297" si="56">SUBTOTAL(9,E293:E296)</f>
        <v>0.1</v>
      </c>
      <c r="F297" s="337">
        <f t="shared" si="56"/>
        <v>4.0999999999999996</v>
      </c>
      <c r="G297" s="337">
        <f t="shared" si="56"/>
        <v>4.0999999999999996</v>
      </c>
      <c r="H297" s="337">
        <f t="shared" si="56"/>
        <v>5.0999999999999996</v>
      </c>
      <c r="I297" s="337">
        <f t="shared" si="56"/>
        <v>5.0999999999999996</v>
      </c>
      <c r="J297" s="327"/>
      <c r="K297" s="337">
        <f t="shared" si="56"/>
        <v>0</v>
      </c>
      <c r="L297" s="337">
        <f t="shared" si="56"/>
        <v>0</v>
      </c>
    </row>
    <row r="298" spans="1:12">
      <c r="A298" s="522">
        <f t="shared" si="49"/>
        <v>294</v>
      </c>
      <c r="B298" s="491" t="s">
        <v>300</v>
      </c>
      <c r="C298" s="497"/>
      <c r="D298" s="486"/>
      <c r="E298" s="381"/>
      <c r="F298" s="381"/>
      <c r="G298" s="381"/>
      <c r="H298" s="381"/>
      <c r="I298" s="381"/>
      <c r="J298" s="881"/>
      <c r="K298" s="381"/>
      <c r="L298" s="381"/>
    </row>
    <row r="299" spans="1:12">
      <c r="A299" s="522">
        <f t="shared" si="49"/>
        <v>295</v>
      </c>
      <c r="C299" s="496" t="s">
        <v>1225</v>
      </c>
      <c r="D299" s="486"/>
      <c r="E299" s="502">
        <v>0</v>
      </c>
      <c r="F299" s="502">
        <f>IF(F8=0,0,'GT schd cost(7EA)'!$X$10*1000)</f>
        <v>0</v>
      </c>
      <c r="G299" s="502">
        <f>IF(G8=0,0,'GT schd cost(7FA)'!$X$10*1000)</f>
        <v>5238379.9999999991</v>
      </c>
      <c r="H299" s="502">
        <f>IF(H8=0,0,'GT schd cost(W501D5)'!$X$10*1000)</f>
        <v>0</v>
      </c>
      <c r="I299" s="502">
        <f>IF(I8=0,0,'GT schd cost(W501D5)'!$X$10*1000)</f>
        <v>0</v>
      </c>
      <c r="J299" s="868"/>
      <c r="K299" s="502">
        <f>'GT schd cost(6B)'!$X$11*1000</f>
        <v>0</v>
      </c>
      <c r="L299" s="868"/>
    </row>
    <row r="300" spans="1:12">
      <c r="A300" s="522">
        <f t="shared" si="49"/>
        <v>296</v>
      </c>
      <c r="B300" s="332"/>
      <c r="C300" s="496" t="s">
        <v>1229</v>
      </c>
      <c r="D300" s="486"/>
      <c r="E300" s="502">
        <v>0</v>
      </c>
      <c r="F300" s="502">
        <f>IF(F8=0,0,'GT schd cost(7EA)'!$X$32*1000)</f>
        <v>0</v>
      </c>
      <c r="G300" s="502">
        <f>IF(G8=0,0,'GT schd cost(7FA)'!$X$32*1000)</f>
        <v>100023570.68399999</v>
      </c>
      <c r="H300" s="502">
        <f>IF(H8=0,0,'GT schd cost(W501D5)'!$X$61*1000)</f>
        <v>0</v>
      </c>
      <c r="I300" s="502">
        <f>IF(I8=0,0,'GT schd cost(W501D5)'!$X$61*1000)</f>
        <v>0</v>
      </c>
      <c r="J300" s="868"/>
      <c r="K300" s="502">
        <f>'GT schd cost(6B)'!$X$33*1000</f>
        <v>1961532.0000000002</v>
      </c>
      <c r="L300" s="868"/>
    </row>
    <row r="301" spans="1:12">
      <c r="A301" s="522">
        <f t="shared" si="49"/>
        <v>297</v>
      </c>
      <c r="B301" s="332"/>
      <c r="C301" s="496" t="s">
        <v>1230</v>
      </c>
      <c r="D301" s="486"/>
      <c r="E301" s="502">
        <v>0</v>
      </c>
      <c r="F301" s="502">
        <f>IF(F8=0,0,'GT schd cost(7EA)'!$X$52*1000)</f>
        <v>0</v>
      </c>
      <c r="G301" s="502">
        <f>IF(G8=0,0,'GT schd cost(7FA)'!$X$52*1000)</f>
        <v>35810338.446399994</v>
      </c>
      <c r="H301" s="502">
        <f>IF(H8=0,0,'GT schd cost(W501D5)'!$X$35*1000)</f>
        <v>0</v>
      </c>
      <c r="I301" s="502">
        <f>IF(I8=0,0,'GT schd cost(W501D5)'!$X$35*1000)</f>
        <v>0</v>
      </c>
      <c r="J301" s="868"/>
      <c r="K301" s="502">
        <f>'GT schd cost(6B)'!$X$53*1000</f>
        <v>0</v>
      </c>
      <c r="L301" s="868"/>
    </row>
    <row r="302" spans="1:12">
      <c r="A302" s="522">
        <f t="shared" si="49"/>
        <v>298</v>
      </c>
      <c r="B302" s="332"/>
      <c r="C302" s="496" t="s">
        <v>392</v>
      </c>
      <c r="D302" s="486"/>
      <c r="E302" s="502">
        <f>IF(E8=0,0,'GT sched cost (LM6000)'!$W$28)</f>
        <v>0</v>
      </c>
      <c r="F302" s="502">
        <v>0</v>
      </c>
      <c r="G302" s="502">
        <v>0</v>
      </c>
      <c r="H302" s="502">
        <v>0</v>
      </c>
      <c r="I302" s="502">
        <v>0</v>
      </c>
      <c r="J302" s="868"/>
      <c r="K302" s="502">
        <v>0</v>
      </c>
      <c r="L302" s="868"/>
    </row>
    <row r="303" spans="1:12">
      <c r="A303" s="522">
        <f t="shared" si="49"/>
        <v>299</v>
      </c>
      <c r="B303" s="332"/>
      <c r="C303" s="496" t="s">
        <v>711</v>
      </c>
      <c r="D303" s="486"/>
      <c r="E303" s="502">
        <v>0</v>
      </c>
      <c r="F303" s="502">
        <v>0</v>
      </c>
      <c r="G303" s="502">
        <v>0</v>
      </c>
      <c r="H303" s="502">
        <v>0</v>
      </c>
      <c r="I303" s="502">
        <v>0</v>
      </c>
      <c r="J303" s="868"/>
      <c r="K303" s="502">
        <v>0</v>
      </c>
      <c r="L303" s="868"/>
    </row>
    <row r="304" spans="1:12">
      <c r="A304" s="522">
        <f t="shared" si="49"/>
        <v>300</v>
      </c>
      <c r="B304" s="332"/>
      <c r="C304" s="493" t="s">
        <v>1401</v>
      </c>
      <c r="D304" s="486"/>
      <c r="E304" s="503">
        <f t="shared" ref="E304:K304" si="57">SUBTOTAL(9,E299:E303)</f>
        <v>0</v>
      </c>
      <c r="F304" s="503">
        <f t="shared" si="57"/>
        <v>0</v>
      </c>
      <c r="G304" s="503">
        <f t="shared" si="57"/>
        <v>141072289.13039997</v>
      </c>
      <c r="H304" s="503">
        <f t="shared" si="57"/>
        <v>0</v>
      </c>
      <c r="I304" s="503">
        <f t="shared" si="57"/>
        <v>0</v>
      </c>
      <c r="J304" s="869"/>
      <c r="K304" s="503">
        <f t="shared" si="57"/>
        <v>1961532.0000000002</v>
      </c>
      <c r="L304" s="869"/>
    </row>
    <row r="305" spans="1:12">
      <c r="A305" s="522">
        <f t="shared" si="49"/>
        <v>301</v>
      </c>
      <c r="B305" s="491" t="s">
        <v>71</v>
      </c>
      <c r="C305" s="497"/>
      <c r="D305" s="486"/>
      <c r="E305" s="381"/>
      <c r="F305" s="381"/>
      <c r="G305" s="381"/>
      <c r="H305" s="381"/>
      <c r="I305" s="381"/>
      <c r="J305" s="881"/>
      <c r="K305" s="381"/>
      <c r="L305" s="381"/>
    </row>
    <row r="306" spans="1:12">
      <c r="A306" s="522">
        <f t="shared" si="49"/>
        <v>302</v>
      </c>
      <c r="C306" s="496" t="s">
        <v>572</v>
      </c>
      <c r="D306" s="486"/>
      <c r="E306" s="502">
        <v>0</v>
      </c>
      <c r="F306" s="502">
        <v>0</v>
      </c>
      <c r="G306" s="502">
        <v>0</v>
      </c>
      <c r="H306" s="502">
        <v>0</v>
      </c>
      <c r="I306" s="502">
        <v>0</v>
      </c>
      <c r="J306" s="868"/>
      <c r="K306" s="502">
        <v>0</v>
      </c>
      <c r="L306" s="502">
        <v>0</v>
      </c>
    </row>
    <row r="307" spans="1:12">
      <c r="A307" s="522">
        <f t="shared" si="49"/>
        <v>303</v>
      </c>
      <c r="B307" s="332"/>
      <c r="C307" s="511" t="s">
        <v>711</v>
      </c>
      <c r="D307" s="486"/>
      <c r="E307" s="502">
        <v>0</v>
      </c>
      <c r="F307" s="502">
        <v>0</v>
      </c>
      <c r="G307" s="502">
        <v>0</v>
      </c>
      <c r="H307" s="502">
        <v>0</v>
      </c>
      <c r="I307" s="502">
        <v>0</v>
      </c>
      <c r="J307" s="868"/>
      <c r="K307" s="502">
        <v>0</v>
      </c>
      <c r="L307" s="502">
        <v>0</v>
      </c>
    </row>
    <row r="308" spans="1:12">
      <c r="A308" s="522">
        <f t="shared" si="49"/>
        <v>304</v>
      </c>
      <c r="B308" s="492"/>
      <c r="C308" s="493" t="s">
        <v>1401</v>
      </c>
      <c r="D308" s="486"/>
      <c r="E308" s="503">
        <f t="shared" ref="E308:K308" si="58">SUBTOTAL(9,E306:E306)</f>
        <v>0</v>
      </c>
      <c r="F308" s="503">
        <f t="shared" si="58"/>
        <v>0</v>
      </c>
      <c r="G308" s="503">
        <f t="shared" si="58"/>
        <v>0</v>
      </c>
      <c r="H308" s="503">
        <f t="shared" si="58"/>
        <v>0</v>
      </c>
      <c r="I308" s="503">
        <f>SUBTOTAL(9,I306:I306)</f>
        <v>0</v>
      </c>
      <c r="J308" s="869"/>
      <c r="K308" s="503">
        <f t="shared" si="58"/>
        <v>0</v>
      </c>
      <c r="L308" s="503">
        <f>SUBTOTAL(9,L306:L306)</f>
        <v>0</v>
      </c>
    </row>
    <row r="309" spans="1:12">
      <c r="A309" s="522">
        <f t="shared" si="49"/>
        <v>305</v>
      </c>
      <c r="B309" s="491" t="s">
        <v>638</v>
      </c>
      <c r="C309" s="497"/>
      <c r="D309" s="486"/>
      <c r="E309" s="381"/>
      <c r="F309" s="381"/>
      <c r="G309" s="381"/>
      <c r="H309" s="381"/>
      <c r="I309" s="381"/>
      <c r="J309" s="881"/>
      <c r="K309" s="381"/>
      <c r="L309" s="381"/>
    </row>
    <row r="310" spans="1:12">
      <c r="A310" s="522">
        <f t="shared" si="49"/>
        <v>306</v>
      </c>
      <c r="B310" s="332"/>
      <c r="C310" s="500" t="s">
        <v>299</v>
      </c>
      <c r="D310" s="486"/>
      <c r="E310" s="505">
        <f>IF(AND(F8=0,G8=0,H8=0),IF(E8=0,0,0.1*Mob_Estimate!D37),0)</f>
        <v>0</v>
      </c>
      <c r="F310" s="505">
        <f>IF(F8=0,0,0.1*Mob_Estimate!D37)</f>
        <v>0</v>
      </c>
      <c r="G310" s="505">
        <f>IF(F8=0,IF(G8=0,0,0.1*Mob_Estimate!D37),0)</f>
        <v>26055.522291956309</v>
      </c>
      <c r="H310" s="505">
        <f>IF(AND(G8=0,F8=0),IF(H8=0,0,0.1*Mob_Estimate!D37),0)</f>
        <v>0</v>
      </c>
      <c r="I310" s="505">
        <f>IF(AND(H8=0,G8=0),IF(I8=0,0,0.1*Mob_Estimate!D37),0)</f>
        <v>0</v>
      </c>
      <c r="J310" s="879"/>
      <c r="K310" s="505">
        <f>IF(AND(J8=0,I8=0),IF(K8=0,0,0.1*Mob_Estimate!D37),0)</f>
        <v>0</v>
      </c>
      <c r="L310" s="505">
        <f>IF(AND(K8=0,J8=0),IF(L8=0,0,0.1*Mob_Estimate!D37),0)</f>
        <v>0</v>
      </c>
    </row>
    <row r="311" spans="1:12">
      <c r="A311" s="522">
        <f t="shared" si="49"/>
        <v>307</v>
      </c>
      <c r="B311" s="332"/>
      <c r="C311" s="496" t="s">
        <v>711</v>
      </c>
      <c r="D311" s="486"/>
      <c r="E311" s="510"/>
      <c r="F311" s="510"/>
      <c r="G311" s="510"/>
      <c r="H311" s="510"/>
      <c r="I311" s="510"/>
      <c r="J311" s="877"/>
      <c r="K311" s="510"/>
      <c r="L311" s="510"/>
    </row>
    <row r="312" spans="1:12">
      <c r="A312" s="522">
        <f t="shared" si="49"/>
        <v>308</v>
      </c>
      <c r="B312" s="332"/>
      <c r="C312" s="493" t="s">
        <v>1401</v>
      </c>
      <c r="D312" s="486"/>
      <c r="E312" s="503">
        <f t="shared" ref="E312:L312" si="59">SUBTOTAL(9,E310:E311)</f>
        <v>0</v>
      </c>
      <c r="F312" s="503">
        <f t="shared" si="59"/>
        <v>0</v>
      </c>
      <c r="G312" s="503">
        <f t="shared" si="59"/>
        <v>26055.522291956309</v>
      </c>
      <c r="H312" s="503">
        <f t="shared" si="59"/>
        <v>0</v>
      </c>
      <c r="I312" s="503">
        <f t="shared" si="59"/>
        <v>0</v>
      </c>
      <c r="J312" s="869"/>
      <c r="K312" s="503">
        <f t="shared" si="59"/>
        <v>0</v>
      </c>
      <c r="L312" s="503">
        <f t="shared" si="59"/>
        <v>0</v>
      </c>
    </row>
    <row r="313" spans="1:12">
      <c r="A313" s="522">
        <f t="shared" si="49"/>
        <v>309</v>
      </c>
      <c r="B313" s="491" t="s">
        <v>1186</v>
      </c>
      <c r="C313" s="497"/>
      <c r="D313" s="486"/>
      <c r="E313" s="381"/>
      <c r="F313" s="381"/>
      <c r="G313" s="381"/>
      <c r="H313" s="381"/>
      <c r="I313" s="381"/>
      <c r="J313" s="881"/>
      <c r="K313" s="381"/>
      <c r="L313" s="381"/>
    </row>
    <row r="314" spans="1:12">
      <c r="A314" s="522">
        <f t="shared" ref="A314:A324" si="60">+A313+1</f>
        <v>310</v>
      </c>
      <c r="C314" s="496" t="s">
        <v>1187</v>
      </c>
      <c r="D314" s="486"/>
      <c r="E314" s="381"/>
      <c r="F314" s="381"/>
      <c r="G314" s="381"/>
      <c r="H314" s="381"/>
      <c r="I314" s="381"/>
      <c r="J314" s="881"/>
      <c r="K314" s="381"/>
      <c r="L314" s="381"/>
    </row>
    <row r="315" spans="1:12">
      <c r="A315" s="522">
        <f t="shared" si="60"/>
        <v>311</v>
      </c>
      <c r="C315" s="496" t="s">
        <v>1188</v>
      </c>
      <c r="D315" s="486"/>
      <c r="E315" s="502">
        <f>3/15*1.5*20000</f>
        <v>6000.0000000000009</v>
      </c>
      <c r="F315" s="502">
        <f>3/15*1.5*20000</f>
        <v>6000.0000000000009</v>
      </c>
      <c r="G315" s="502">
        <f>3/15*1.5*20000</f>
        <v>6000.0000000000009</v>
      </c>
      <c r="H315" s="502">
        <f>3/15*1.5*20000</f>
        <v>6000.0000000000009</v>
      </c>
      <c r="I315" s="502">
        <f>3/15*1.5*20000</f>
        <v>6000.0000000000009</v>
      </c>
      <c r="J315" s="868"/>
      <c r="K315" s="502">
        <f>3/15*1.5*20000</f>
        <v>6000.0000000000009</v>
      </c>
      <c r="L315" s="502">
        <v>0</v>
      </c>
    </row>
    <row r="316" spans="1:12">
      <c r="A316" s="522">
        <f t="shared" si="60"/>
        <v>312</v>
      </c>
      <c r="C316" s="496" t="s">
        <v>1189</v>
      </c>
      <c r="D316" s="486"/>
      <c r="E316" s="502"/>
      <c r="F316" s="502"/>
      <c r="G316" s="502"/>
      <c r="H316" s="502"/>
      <c r="I316" s="502"/>
      <c r="J316" s="868"/>
      <c r="K316" s="502"/>
      <c r="L316" s="502"/>
    </row>
    <row r="317" spans="1:12">
      <c r="A317" s="522">
        <f t="shared" si="60"/>
        <v>313</v>
      </c>
      <c r="C317" s="496" t="s">
        <v>1190</v>
      </c>
      <c r="D317" s="486"/>
      <c r="E317" s="502">
        <f>2/10*1.5*20*365</f>
        <v>2190.0000000000005</v>
      </c>
      <c r="F317" s="502">
        <f>2/10*1.5*20*365</f>
        <v>2190.0000000000005</v>
      </c>
      <c r="G317" s="502">
        <f>2/10*1.5*20*365</f>
        <v>2190.0000000000005</v>
      </c>
      <c r="H317" s="502">
        <f>2/10*1.5*20*365</f>
        <v>2190.0000000000005</v>
      </c>
      <c r="I317" s="502">
        <f>2/10*1.5*20*365</f>
        <v>2190.0000000000005</v>
      </c>
      <c r="J317" s="868"/>
      <c r="K317" s="502">
        <f>2/10*1.5*20*365</f>
        <v>2190.0000000000005</v>
      </c>
      <c r="L317" s="502">
        <v>0</v>
      </c>
    </row>
    <row r="318" spans="1:12">
      <c r="A318" s="522">
        <f t="shared" si="60"/>
        <v>314</v>
      </c>
      <c r="C318" s="496" t="s">
        <v>1191</v>
      </c>
      <c r="D318" s="486"/>
      <c r="E318" s="502"/>
      <c r="F318" s="502"/>
      <c r="G318" s="502"/>
      <c r="H318" s="502"/>
      <c r="I318" s="502"/>
      <c r="J318" s="868"/>
      <c r="K318" s="502"/>
      <c r="L318" s="502"/>
    </row>
    <row r="319" spans="1:12">
      <c r="A319" s="522">
        <f t="shared" si="60"/>
        <v>315</v>
      </c>
      <c r="C319" s="496" t="s">
        <v>1192</v>
      </c>
      <c r="D319" s="486"/>
      <c r="E319" s="502">
        <f>2*2*1.5*2*365</f>
        <v>4380</v>
      </c>
      <c r="F319" s="502">
        <f>2*2*1.5*2*365</f>
        <v>4380</v>
      </c>
      <c r="G319" s="502">
        <f>2*2*1.5*2*365</f>
        <v>4380</v>
      </c>
      <c r="H319" s="502">
        <f>2*2*1.5*2*365</f>
        <v>4380</v>
      </c>
      <c r="I319" s="502">
        <f>2*2*1.5*2*365</f>
        <v>4380</v>
      </c>
      <c r="J319" s="868"/>
      <c r="K319" s="502">
        <f>2*2*1.5*2*365</f>
        <v>4380</v>
      </c>
      <c r="L319" s="502">
        <v>0</v>
      </c>
    </row>
    <row r="320" spans="1:12">
      <c r="A320" s="522">
        <f t="shared" si="60"/>
        <v>316</v>
      </c>
      <c r="C320" s="496" t="s">
        <v>1193</v>
      </c>
      <c r="D320" s="486"/>
      <c r="E320" s="502"/>
      <c r="F320" s="502"/>
      <c r="G320" s="502"/>
      <c r="H320" s="502"/>
      <c r="I320" s="502"/>
      <c r="J320" s="868"/>
      <c r="K320" s="502"/>
      <c r="L320" s="502"/>
    </row>
    <row r="321" spans="1:12">
      <c r="A321" s="522">
        <f t="shared" si="60"/>
        <v>317</v>
      </c>
      <c r="C321" s="496" t="s">
        <v>1194</v>
      </c>
      <c r="D321" s="486"/>
      <c r="E321" s="502">
        <v>0</v>
      </c>
      <c r="F321" s="502">
        <v>0</v>
      </c>
      <c r="G321" s="502">
        <v>0</v>
      </c>
      <c r="H321" s="502">
        <v>0</v>
      </c>
      <c r="I321" s="502">
        <v>0</v>
      </c>
      <c r="J321" s="868"/>
      <c r="K321" s="502">
        <v>0</v>
      </c>
      <c r="L321" s="502">
        <v>0</v>
      </c>
    </row>
    <row r="322" spans="1:12">
      <c r="A322" s="522">
        <f t="shared" si="60"/>
        <v>318</v>
      </c>
      <c r="C322" s="496" t="s">
        <v>1195</v>
      </c>
      <c r="D322" s="486"/>
      <c r="E322" s="502"/>
      <c r="F322" s="502"/>
      <c r="G322" s="502"/>
      <c r="H322" s="502"/>
      <c r="I322" s="502"/>
      <c r="J322" s="868"/>
      <c r="K322" s="502"/>
      <c r="L322" s="502"/>
    </row>
    <row r="323" spans="1:12">
      <c r="A323" s="522">
        <f t="shared" si="60"/>
        <v>319</v>
      </c>
      <c r="C323" s="496" t="s">
        <v>1196</v>
      </c>
      <c r="D323" s="486"/>
      <c r="E323" s="502">
        <v>0</v>
      </c>
      <c r="F323" s="502">
        <v>0</v>
      </c>
      <c r="G323" s="502">
        <v>0</v>
      </c>
      <c r="H323" s="502">
        <v>4</v>
      </c>
      <c r="I323" s="502">
        <v>4</v>
      </c>
      <c r="J323" s="868"/>
      <c r="K323" s="502">
        <v>4</v>
      </c>
      <c r="L323" s="502">
        <v>0</v>
      </c>
    </row>
    <row r="324" spans="1:12">
      <c r="A324" s="522">
        <f t="shared" si="60"/>
        <v>320</v>
      </c>
      <c r="B324" s="332"/>
      <c r="C324" s="493" t="s">
        <v>1401</v>
      </c>
      <c r="D324" s="486"/>
      <c r="E324" s="503">
        <f t="shared" ref="E324:L324" si="61">SUM(E315:E323)</f>
        <v>12570.000000000002</v>
      </c>
      <c r="F324" s="503">
        <f t="shared" si="61"/>
        <v>12570.000000000002</v>
      </c>
      <c r="G324" s="503">
        <f t="shared" si="61"/>
        <v>12570.000000000002</v>
      </c>
      <c r="H324" s="503">
        <f t="shared" si="61"/>
        <v>12574.000000000002</v>
      </c>
      <c r="I324" s="503">
        <f t="shared" si="61"/>
        <v>12574.000000000002</v>
      </c>
      <c r="J324" s="869"/>
      <c r="K324" s="503">
        <f t="shared" si="61"/>
        <v>12574.000000000002</v>
      </c>
      <c r="L324" s="503">
        <f t="shared" si="61"/>
        <v>0</v>
      </c>
    </row>
    <row r="325" spans="1:12">
      <c r="A325" s="522">
        <f>+A324+1</f>
        <v>321</v>
      </c>
      <c r="B325" s="494"/>
      <c r="C325" s="496"/>
      <c r="D325" s="486"/>
      <c r="E325" s="381"/>
    </row>
    <row r="326" spans="1:12">
      <c r="A326" s="522">
        <f t="shared" ref="A326:A337" si="62">+A325+1</f>
        <v>322</v>
      </c>
      <c r="B326" s="332"/>
      <c r="C326" s="501" t="s">
        <v>497</v>
      </c>
      <c r="D326" s="486"/>
      <c r="E326" s="794">
        <v>45</v>
      </c>
      <c r="F326" s="794">
        <v>85</v>
      </c>
      <c r="G326" s="794">
        <v>170</v>
      </c>
      <c r="H326" s="794">
        <v>100</v>
      </c>
      <c r="I326" s="794">
        <v>120</v>
      </c>
      <c r="J326" s="883"/>
      <c r="K326" s="794">
        <v>35</v>
      </c>
      <c r="L326" s="794">
        <v>450</v>
      </c>
    </row>
    <row r="327" spans="1:12">
      <c r="A327" s="522">
        <f t="shared" si="62"/>
        <v>323</v>
      </c>
      <c r="B327" s="491"/>
      <c r="C327" s="497"/>
      <c r="D327" s="486"/>
      <c r="E327" s="381"/>
    </row>
    <row r="328" spans="1:12">
      <c r="A328" s="522">
        <f t="shared" si="62"/>
        <v>324</v>
      </c>
      <c r="B328" s="332"/>
      <c r="C328" s="496"/>
      <c r="D328" s="486"/>
      <c r="E328" s="381"/>
    </row>
    <row r="329" spans="1:12">
      <c r="A329" s="522">
        <f t="shared" si="62"/>
        <v>325</v>
      </c>
      <c r="B329" s="332"/>
      <c r="C329" s="496"/>
      <c r="D329" s="486"/>
      <c r="E329" s="381"/>
    </row>
    <row r="330" spans="1:12">
      <c r="A330" s="522">
        <f t="shared" si="62"/>
        <v>326</v>
      </c>
      <c r="B330" s="332"/>
      <c r="C330" s="496"/>
      <c r="D330" s="486"/>
      <c r="E330" s="111"/>
    </row>
    <row r="331" spans="1:12">
      <c r="A331" s="522">
        <f t="shared" si="62"/>
        <v>327</v>
      </c>
      <c r="B331" s="332"/>
      <c r="C331" s="496"/>
      <c r="D331" s="486"/>
      <c r="E331" s="111"/>
    </row>
    <row r="332" spans="1:12">
      <c r="A332" s="522">
        <f t="shared" si="62"/>
        <v>328</v>
      </c>
      <c r="B332" s="332"/>
      <c r="C332" s="496"/>
      <c r="D332" s="486"/>
      <c r="E332" s="111"/>
    </row>
    <row r="333" spans="1:12">
      <c r="A333" s="522">
        <f t="shared" si="62"/>
        <v>329</v>
      </c>
      <c r="B333" s="332"/>
      <c r="C333" s="496"/>
      <c r="D333" s="486"/>
      <c r="E333" s="111"/>
    </row>
    <row r="334" spans="1:12">
      <c r="A334" s="522">
        <f t="shared" si="62"/>
        <v>330</v>
      </c>
      <c r="B334" s="332"/>
      <c r="C334" s="496"/>
      <c r="D334" s="486"/>
      <c r="E334" s="111"/>
    </row>
    <row r="335" spans="1:12">
      <c r="A335" s="522">
        <f t="shared" si="62"/>
        <v>331</v>
      </c>
      <c r="B335" s="332"/>
      <c r="C335" s="496"/>
      <c r="D335" s="486"/>
      <c r="E335" s="111"/>
    </row>
    <row r="336" spans="1:12">
      <c r="A336" s="522">
        <f t="shared" si="62"/>
        <v>332</v>
      </c>
      <c r="B336" s="332"/>
      <c r="C336" s="496"/>
      <c r="D336" s="486"/>
      <c r="E336" s="111"/>
    </row>
    <row r="337" spans="1:5">
      <c r="A337" s="522">
        <f t="shared" si="62"/>
        <v>333</v>
      </c>
      <c r="B337" s="332"/>
      <c r="C337" s="496"/>
      <c r="D337" s="486"/>
      <c r="E337" s="111"/>
    </row>
    <row r="338" spans="1:5">
      <c r="B338" s="332"/>
      <c r="C338" s="496"/>
      <c r="D338" s="486"/>
      <c r="E338" s="111"/>
    </row>
    <row r="339" spans="1:5">
      <c r="B339" s="332"/>
      <c r="C339" s="496"/>
      <c r="D339" s="486"/>
      <c r="E339" s="111"/>
    </row>
    <row r="340" spans="1:5">
      <c r="B340" s="332"/>
      <c r="C340" s="496"/>
      <c r="D340" s="486"/>
      <c r="E340" s="111"/>
    </row>
    <row r="341" spans="1:5">
      <c r="B341" s="332"/>
      <c r="C341" s="496"/>
      <c r="D341" s="486"/>
      <c r="E341" s="111"/>
    </row>
    <row r="342" spans="1:5">
      <c r="B342" s="332"/>
      <c r="C342" s="496"/>
      <c r="D342" s="486"/>
      <c r="E342" s="111"/>
    </row>
    <row r="343" spans="1:5">
      <c r="B343" s="332"/>
      <c r="C343" s="496"/>
      <c r="D343" s="486"/>
      <c r="E343" s="111"/>
    </row>
    <row r="344" spans="1:5">
      <c r="B344" s="332"/>
      <c r="C344" s="496"/>
      <c r="D344" s="486"/>
      <c r="E344" s="111"/>
    </row>
    <row r="345" spans="1:5">
      <c r="B345" s="332"/>
      <c r="C345" s="496"/>
      <c r="D345" s="486"/>
      <c r="E345" s="111"/>
    </row>
    <row r="346" spans="1:5">
      <c r="B346" s="332"/>
      <c r="C346" s="496"/>
      <c r="D346" s="486"/>
      <c r="E346" s="111"/>
    </row>
    <row r="347" spans="1:5">
      <c r="B347" s="332"/>
      <c r="C347" s="496"/>
      <c r="D347" s="486"/>
      <c r="E347" s="111"/>
    </row>
    <row r="348" spans="1:5">
      <c r="B348" s="332"/>
      <c r="C348" s="496"/>
      <c r="D348" s="486"/>
      <c r="E348" s="111"/>
    </row>
    <row r="349" spans="1:5">
      <c r="B349" s="332"/>
      <c r="C349" s="496"/>
      <c r="D349" s="486"/>
      <c r="E349" s="111"/>
    </row>
    <row r="350" spans="1:5">
      <c r="B350" s="332"/>
      <c r="C350" s="496"/>
      <c r="D350" s="486"/>
      <c r="E350" s="111"/>
    </row>
    <row r="351" spans="1:5">
      <c r="B351" s="332"/>
      <c r="C351" s="496"/>
      <c r="D351" s="486"/>
      <c r="E351" s="111"/>
    </row>
    <row r="352" spans="1:5">
      <c r="B352" s="332"/>
      <c r="C352" s="496"/>
      <c r="D352" s="486"/>
      <c r="E352" s="111"/>
    </row>
    <row r="353" spans="2:5">
      <c r="B353" s="332"/>
      <c r="C353" s="496"/>
      <c r="D353" s="486"/>
      <c r="E353" s="111"/>
    </row>
    <row r="354" spans="2:5">
      <c r="B354" s="332"/>
      <c r="C354" s="496"/>
      <c r="D354" s="486"/>
      <c r="E354" s="111"/>
    </row>
    <row r="355" spans="2:5">
      <c r="B355" s="332"/>
      <c r="C355" s="496"/>
      <c r="D355" s="486"/>
      <c r="E355" s="111"/>
    </row>
    <row r="356" spans="2:5">
      <c r="B356" s="332"/>
      <c r="C356" s="496"/>
      <c r="D356" s="486"/>
      <c r="E356" s="111"/>
    </row>
    <row r="357" spans="2:5">
      <c r="B357" s="332"/>
      <c r="C357" s="496"/>
      <c r="D357" s="486"/>
      <c r="E357" s="111"/>
    </row>
    <row r="358" spans="2:5">
      <c r="B358" s="332"/>
      <c r="C358" s="496"/>
      <c r="D358" s="486"/>
      <c r="E358" s="111"/>
    </row>
    <row r="359" spans="2:5">
      <c r="B359" s="332"/>
      <c r="C359" s="496"/>
      <c r="D359" s="486"/>
      <c r="E359" s="111"/>
    </row>
    <row r="360" spans="2:5">
      <c r="B360" s="332"/>
      <c r="C360" s="496"/>
      <c r="D360" s="486"/>
      <c r="E360" s="111"/>
    </row>
    <row r="361" spans="2:5">
      <c r="B361" s="332"/>
      <c r="C361" s="496"/>
      <c r="D361" s="486"/>
      <c r="E361" s="111"/>
    </row>
    <row r="362" spans="2:5">
      <c r="B362" s="332"/>
      <c r="C362" s="496"/>
      <c r="D362" s="486"/>
      <c r="E362" s="111"/>
    </row>
    <row r="363" spans="2:5">
      <c r="B363" s="332"/>
      <c r="C363" s="496"/>
      <c r="D363" s="486"/>
      <c r="E363" s="111"/>
    </row>
    <row r="364" spans="2:5">
      <c r="B364" s="332"/>
      <c r="C364" s="496"/>
      <c r="D364" s="486"/>
      <c r="E364" s="111"/>
    </row>
    <row r="365" spans="2:5">
      <c r="B365" s="332"/>
      <c r="C365" s="496"/>
      <c r="D365" s="486"/>
      <c r="E365" s="111"/>
    </row>
    <row r="366" spans="2:5">
      <c r="B366" s="332"/>
      <c r="C366" s="496"/>
      <c r="D366" s="486"/>
      <c r="E366" s="111"/>
    </row>
    <row r="367" spans="2:5">
      <c r="B367" s="332"/>
      <c r="C367" s="496"/>
      <c r="D367" s="486"/>
      <c r="E367" s="111"/>
    </row>
    <row r="368" spans="2:5">
      <c r="B368" s="332"/>
      <c r="C368" s="496"/>
      <c r="D368" s="486"/>
      <c r="E368" s="111"/>
    </row>
    <row r="369" spans="2:5">
      <c r="B369" s="332"/>
      <c r="C369" s="496"/>
      <c r="D369" s="486"/>
      <c r="E369" s="111"/>
    </row>
    <row r="370" spans="2:5">
      <c r="B370" s="332"/>
      <c r="C370" s="496"/>
      <c r="D370" s="486"/>
      <c r="E370" s="111"/>
    </row>
    <row r="371" spans="2:5">
      <c r="B371" s="332"/>
      <c r="C371" s="496"/>
      <c r="D371" s="486"/>
      <c r="E371" s="111"/>
    </row>
    <row r="372" spans="2:5">
      <c r="B372" s="332"/>
      <c r="C372" s="496"/>
      <c r="D372" s="486"/>
      <c r="E372" s="111"/>
    </row>
    <row r="373" spans="2:5">
      <c r="B373" s="332"/>
      <c r="C373" s="496"/>
      <c r="D373" s="486"/>
      <c r="E373" s="111"/>
    </row>
    <row r="374" spans="2:5">
      <c r="B374" s="332"/>
      <c r="C374" s="496"/>
      <c r="D374" s="486"/>
      <c r="E374" s="111"/>
    </row>
    <row r="375" spans="2:5">
      <c r="B375" s="332"/>
      <c r="C375" s="496"/>
      <c r="D375" s="486"/>
      <c r="E375" s="111"/>
    </row>
    <row r="376" spans="2:5">
      <c r="B376" s="332"/>
      <c r="C376" s="496"/>
      <c r="D376" s="486"/>
      <c r="E376" s="111"/>
    </row>
    <row r="377" spans="2:5">
      <c r="B377" s="332"/>
      <c r="C377" s="496"/>
      <c r="D377" s="486"/>
      <c r="E377" s="111"/>
    </row>
    <row r="378" spans="2:5">
      <c r="B378" s="332"/>
      <c r="C378" s="496"/>
      <c r="D378" s="486"/>
      <c r="E378" s="111"/>
    </row>
    <row r="379" spans="2:5">
      <c r="B379" s="332"/>
      <c r="C379" s="496"/>
      <c r="D379" s="486"/>
      <c r="E379" s="111"/>
    </row>
    <row r="380" spans="2:5">
      <c r="B380" s="332"/>
      <c r="C380" s="496"/>
      <c r="D380" s="486"/>
      <c r="E380" s="111"/>
    </row>
    <row r="381" spans="2:5">
      <c r="B381" s="332"/>
      <c r="C381" s="496"/>
      <c r="D381" s="486"/>
      <c r="E381" s="111"/>
    </row>
    <row r="382" spans="2:5">
      <c r="B382" s="332"/>
      <c r="C382" s="496"/>
      <c r="D382" s="486"/>
      <c r="E382" s="111"/>
    </row>
    <row r="383" spans="2:5">
      <c r="B383" s="332"/>
      <c r="C383" s="496"/>
      <c r="D383" s="486"/>
      <c r="E383" s="111"/>
    </row>
    <row r="384" spans="2:5">
      <c r="B384" s="332"/>
      <c r="C384" s="496"/>
      <c r="D384" s="486"/>
      <c r="E384" s="111"/>
    </row>
    <row r="385" spans="2:5">
      <c r="B385" s="332"/>
      <c r="C385" s="496"/>
      <c r="D385" s="486"/>
      <c r="E385" s="111"/>
    </row>
    <row r="386" spans="2:5">
      <c r="B386" s="332"/>
      <c r="C386" s="496"/>
      <c r="D386" s="486"/>
      <c r="E386" s="111"/>
    </row>
    <row r="387" spans="2:5">
      <c r="B387" s="332"/>
      <c r="C387" s="496"/>
      <c r="D387" s="486"/>
      <c r="E387" s="111"/>
    </row>
    <row r="388" spans="2:5">
      <c r="B388" s="332"/>
      <c r="C388" s="496"/>
      <c r="D388" s="486"/>
      <c r="E388" s="111"/>
    </row>
    <row r="389" spans="2:5">
      <c r="B389" s="332"/>
      <c r="C389" s="496"/>
      <c r="D389" s="486"/>
      <c r="E389" s="111"/>
    </row>
    <row r="390" spans="2:5">
      <c r="B390" s="332"/>
      <c r="C390" s="496"/>
      <c r="D390" s="486"/>
      <c r="E390" s="111"/>
    </row>
    <row r="391" spans="2:5">
      <c r="B391" s="332"/>
      <c r="C391" s="496"/>
      <c r="D391" s="486"/>
      <c r="E391" s="111"/>
    </row>
    <row r="392" spans="2:5">
      <c r="B392" s="332"/>
      <c r="C392" s="496"/>
      <c r="D392" s="486"/>
      <c r="E392" s="111"/>
    </row>
    <row r="393" spans="2:5">
      <c r="B393" s="332"/>
      <c r="C393" s="496"/>
      <c r="D393" s="486"/>
      <c r="E393" s="111"/>
    </row>
    <row r="394" spans="2:5">
      <c r="B394" s="332"/>
      <c r="C394" s="496"/>
      <c r="D394" s="486"/>
      <c r="E394" s="111"/>
    </row>
    <row r="395" spans="2:5">
      <c r="B395" s="332"/>
      <c r="C395" s="496"/>
      <c r="D395" s="486"/>
      <c r="E395" s="111"/>
    </row>
    <row r="396" spans="2:5">
      <c r="B396" s="332"/>
      <c r="C396" s="496"/>
      <c r="D396" s="486"/>
      <c r="E396" s="111"/>
    </row>
    <row r="397" spans="2:5">
      <c r="B397" s="332"/>
      <c r="C397" s="496"/>
      <c r="D397" s="486"/>
      <c r="E397" s="111"/>
    </row>
    <row r="398" spans="2:5">
      <c r="B398" s="332"/>
      <c r="C398" s="496"/>
      <c r="D398" s="486"/>
      <c r="E398" s="111"/>
    </row>
    <row r="399" spans="2:5">
      <c r="B399" s="332"/>
      <c r="C399" s="496"/>
      <c r="D399" s="486"/>
      <c r="E399" s="111"/>
    </row>
    <row r="400" spans="2:5">
      <c r="B400" s="332"/>
      <c r="C400" s="496"/>
      <c r="D400" s="486"/>
      <c r="E400" s="111"/>
    </row>
    <row r="401" spans="2:5">
      <c r="B401" s="332"/>
      <c r="C401" s="496"/>
      <c r="D401" s="486"/>
      <c r="E401" s="111"/>
    </row>
    <row r="402" spans="2:5">
      <c r="B402" s="332"/>
      <c r="C402" s="496"/>
      <c r="D402" s="486"/>
      <c r="E402" s="111"/>
    </row>
    <row r="403" spans="2:5">
      <c r="B403" s="332"/>
      <c r="C403" s="496"/>
      <c r="D403" s="486"/>
      <c r="E403" s="111"/>
    </row>
    <row r="404" spans="2:5">
      <c r="B404" s="332"/>
      <c r="C404" s="496"/>
      <c r="D404" s="486"/>
      <c r="E404" s="111"/>
    </row>
    <row r="405" spans="2:5">
      <c r="B405" s="332"/>
      <c r="C405" s="496"/>
      <c r="D405" s="486"/>
      <c r="E405" s="111"/>
    </row>
    <row r="406" spans="2:5">
      <c r="B406" s="332"/>
      <c r="C406" s="496"/>
      <c r="D406" s="486"/>
      <c r="E406" s="111"/>
    </row>
    <row r="407" spans="2:5">
      <c r="B407" s="332"/>
      <c r="C407" s="496"/>
      <c r="D407" s="486"/>
      <c r="E407" s="111"/>
    </row>
    <row r="408" spans="2:5">
      <c r="B408" s="332"/>
      <c r="C408" s="496"/>
      <c r="D408" s="486"/>
      <c r="E408" s="111"/>
    </row>
    <row r="409" spans="2:5">
      <c r="B409" s="332"/>
      <c r="C409" s="496"/>
      <c r="D409" s="486"/>
      <c r="E409" s="111"/>
    </row>
    <row r="410" spans="2:5">
      <c r="B410" s="332"/>
      <c r="C410" s="496"/>
      <c r="D410" s="486"/>
      <c r="E410" s="111"/>
    </row>
    <row r="411" spans="2:5">
      <c r="B411" s="332"/>
      <c r="C411" s="496"/>
      <c r="D411" s="486"/>
      <c r="E411" s="111"/>
    </row>
    <row r="412" spans="2:5">
      <c r="B412" s="332"/>
      <c r="C412" s="496"/>
      <c r="D412" s="486"/>
      <c r="E412" s="111"/>
    </row>
    <row r="413" spans="2:5">
      <c r="B413" s="332"/>
      <c r="C413" s="496"/>
      <c r="D413" s="486"/>
      <c r="E413" s="111"/>
    </row>
    <row r="414" spans="2:5">
      <c r="B414" s="332"/>
      <c r="C414" s="496"/>
      <c r="D414" s="486"/>
      <c r="E414" s="111"/>
    </row>
    <row r="415" spans="2:5">
      <c r="B415" s="332"/>
      <c r="C415" s="496"/>
      <c r="D415" s="486"/>
      <c r="E415" s="111"/>
    </row>
    <row r="416" spans="2:5">
      <c r="B416" s="332"/>
      <c r="C416" s="496"/>
      <c r="D416" s="486"/>
      <c r="E416" s="111"/>
    </row>
    <row r="417" spans="2:5">
      <c r="B417" s="332"/>
      <c r="C417" s="496"/>
      <c r="D417" s="486"/>
      <c r="E417" s="111"/>
    </row>
    <row r="418" spans="2:5">
      <c r="B418" s="332"/>
      <c r="C418" s="496"/>
      <c r="D418" s="486"/>
      <c r="E418" s="111"/>
    </row>
    <row r="419" spans="2:5">
      <c r="B419" s="332"/>
      <c r="C419" s="496"/>
      <c r="D419" s="486"/>
      <c r="E419" s="111"/>
    </row>
    <row r="420" spans="2:5">
      <c r="B420" s="332"/>
      <c r="C420" s="496"/>
      <c r="D420" s="486"/>
      <c r="E420" s="111"/>
    </row>
    <row r="421" spans="2:5">
      <c r="B421" s="332"/>
      <c r="C421" s="496"/>
      <c r="D421" s="486"/>
      <c r="E421" s="111"/>
    </row>
    <row r="422" spans="2:5">
      <c r="B422" s="332"/>
      <c r="C422" s="496"/>
      <c r="D422" s="486"/>
      <c r="E422" s="111"/>
    </row>
    <row r="423" spans="2:5">
      <c r="B423" s="332"/>
      <c r="C423" s="496"/>
      <c r="D423" s="486"/>
      <c r="E423" s="111"/>
    </row>
    <row r="424" spans="2:5">
      <c r="B424" s="332"/>
      <c r="C424" s="496"/>
      <c r="D424" s="486"/>
      <c r="E424" s="111"/>
    </row>
    <row r="425" spans="2:5">
      <c r="B425" s="332"/>
      <c r="C425" s="496"/>
      <c r="D425" s="486"/>
      <c r="E425" s="111"/>
    </row>
    <row r="426" spans="2:5">
      <c r="B426" s="332"/>
      <c r="C426" s="496"/>
      <c r="D426" s="486"/>
      <c r="E426" s="111"/>
    </row>
    <row r="427" spans="2:5">
      <c r="B427" s="332"/>
      <c r="C427" s="496"/>
      <c r="D427" s="486"/>
      <c r="E427" s="111"/>
    </row>
    <row r="428" spans="2:5">
      <c r="B428" s="332"/>
      <c r="C428" s="496"/>
      <c r="D428" s="486"/>
      <c r="E428" s="111"/>
    </row>
    <row r="429" spans="2:5">
      <c r="B429" s="332"/>
      <c r="C429" s="496"/>
      <c r="D429" s="486"/>
      <c r="E429" s="111"/>
    </row>
    <row r="430" spans="2:5">
      <c r="B430" s="332"/>
      <c r="C430" s="496"/>
      <c r="D430" s="486"/>
      <c r="E430" s="111"/>
    </row>
    <row r="431" spans="2:5">
      <c r="B431" s="332"/>
      <c r="C431" s="496"/>
      <c r="D431" s="486"/>
      <c r="E431" s="111"/>
    </row>
    <row r="432" spans="2:5">
      <c r="B432" s="332"/>
      <c r="C432" s="496"/>
      <c r="D432" s="486"/>
      <c r="E432" s="111"/>
    </row>
    <row r="433" spans="2:5">
      <c r="B433" s="332"/>
      <c r="C433" s="496"/>
      <c r="D433" s="486"/>
      <c r="E433" s="111"/>
    </row>
    <row r="434" spans="2:5">
      <c r="B434" s="332"/>
      <c r="C434" s="496"/>
      <c r="D434" s="486"/>
      <c r="E434" s="111"/>
    </row>
    <row r="435" spans="2:5">
      <c r="B435" s="332"/>
      <c r="C435" s="496"/>
      <c r="D435" s="486"/>
      <c r="E435" s="111"/>
    </row>
    <row r="436" spans="2:5">
      <c r="B436" s="332"/>
      <c r="C436" s="496"/>
      <c r="D436" s="486"/>
      <c r="E436" s="111"/>
    </row>
    <row r="437" spans="2:5">
      <c r="B437" s="332"/>
      <c r="C437" s="496"/>
      <c r="D437" s="486"/>
      <c r="E437" s="111"/>
    </row>
    <row r="438" spans="2:5">
      <c r="B438" s="332"/>
      <c r="C438" s="496"/>
      <c r="D438" s="486"/>
      <c r="E438" s="111"/>
    </row>
    <row r="439" spans="2:5">
      <c r="B439" s="332"/>
      <c r="C439" s="496"/>
      <c r="D439" s="486"/>
      <c r="E439" s="111"/>
    </row>
    <row r="440" spans="2:5">
      <c r="B440" s="332"/>
      <c r="C440" s="496"/>
      <c r="D440" s="486"/>
      <c r="E440" s="111"/>
    </row>
    <row r="441" spans="2:5">
      <c r="B441" s="332"/>
      <c r="C441" s="496"/>
      <c r="D441" s="486"/>
      <c r="E441" s="111"/>
    </row>
    <row r="442" spans="2:5">
      <c r="B442" s="332"/>
      <c r="C442" s="496"/>
      <c r="D442" s="486"/>
      <c r="E442" s="111"/>
    </row>
    <row r="443" spans="2:5">
      <c r="B443" s="332"/>
      <c r="C443" s="496"/>
      <c r="D443" s="486"/>
      <c r="E443" s="111"/>
    </row>
    <row r="444" spans="2:5">
      <c r="B444" s="332"/>
      <c r="C444" s="496"/>
      <c r="D444" s="486"/>
      <c r="E444" s="111"/>
    </row>
    <row r="445" spans="2:5">
      <c r="B445" s="332"/>
      <c r="C445" s="496"/>
      <c r="D445" s="486"/>
      <c r="E445" s="111"/>
    </row>
    <row r="446" spans="2:5">
      <c r="B446" s="332"/>
      <c r="C446" s="496"/>
      <c r="D446" s="486"/>
      <c r="E446" s="111"/>
    </row>
    <row r="447" spans="2:5">
      <c r="B447" s="332"/>
      <c r="C447" s="496"/>
      <c r="D447" s="486"/>
      <c r="E447" s="111"/>
    </row>
    <row r="448" spans="2:5">
      <c r="B448" s="332"/>
      <c r="C448" s="496"/>
      <c r="D448" s="486"/>
      <c r="E448" s="111"/>
    </row>
    <row r="449" spans="2:5">
      <c r="B449" s="332"/>
      <c r="C449" s="496"/>
      <c r="D449" s="486"/>
      <c r="E449" s="111"/>
    </row>
    <row r="450" spans="2:5">
      <c r="B450" s="332"/>
      <c r="C450" s="496"/>
      <c r="D450" s="486"/>
      <c r="E450" s="111"/>
    </row>
    <row r="451" spans="2:5">
      <c r="B451" s="332"/>
      <c r="C451" s="496"/>
      <c r="D451" s="486"/>
      <c r="E451" s="111"/>
    </row>
    <row r="452" spans="2:5">
      <c r="B452" s="332"/>
      <c r="C452" s="496"/>
      <c r="D452" s="486"/>
      <c r="E452" s="111"/>
    </row>
    <row r="453" spans="2:5">
      <c r="B453" s="332"/>
      <c r="C453" s="496"/>
      <c r="D453" s="486"/>
      <c r="E453" s="111"/>
    </row>
    <row r="454" spans="2:5">
      <c r="B454" s="332"/>
      <c r="C454" s="496"/>
      <c r="D454" s="486"/>
      <c r="E454" s="111"/>
    </row>
    <row r="455" spans="2:5">
      <c r="B455" s="332"/>
      <c r="C455" s="496"/>
      <c r="D455" s="486"/>
      <c r="E455" s="111"/>
    </row>
    <row r="456" spans="2:5">
      <c r="B456" s="332"/>
      <c r="C456" s="496"/>
      <c r="D456" s="486"/>
      <c r="E456" s="111"/>
    </row>
    <row r="457" spans="2:5">
      <c r="B457" s="332"/>
      <c r="C457" s="496"/>
      <c r="D457" s="486"/>
      <c r="E457" s="111"/>
    </row>
    <row r="458" spans="2:5">
      <c r="B458" s="332"/>
      <c r="C458" s="496"/>
      <c r="D458" s="486"/>
      <c r="E458" s="111"/>
    </row>
    <row r="459" spans="2:5">
      <c r="B459" s="332"/>
      <c r="C459" s="496"/>
      <c r="D459" s="486"/>
      <c r="E459" s="111"/>
    </row>
    <row r="460" spans="2:5">
      <c r="B460" s="332"/>
      <c r="C460" s="496"/>
      <c r="D460" s="486"/>
      <c r="E460" s="111"/>
    </row>
    <row r="461" spans="2:5">
      <c r="B461" s="332"/>
      <c r="C461" s="496"/>
      <c r="D461" s="486"/>
      <c r="E461" s="111"/>
    </row>
    <row r="462" spans="2:5">
      <c r="B462" s="332"/>
      <c r="C462" s="496"/>
      <c r="D462" s="486"/>
      <c r="E462" s="111"/>
    </row>
    <row r="463" spans="2:5">
      <c r="B463" s="332"/>
      <c r="C463" s="496"/>
      <c r="D463" s="486"/>
      <c r="E463" s="111"/>
    </row>
    <row r="464" spans="2:5">
      <c r="B464" s="332"/>
      <c r="C464" s="496"/>
      <c r="D464" s="486"/>
      <c r="E464" s="111"/>
    </row>
    <row r="465" spans="2:5">
      <c r="B465" s="332"/>
      <c r="C465" s="496"/>
      <c r="D465" s="486"/>
      <c r="E465" s="111"/>
    </row>
    <row r="466" spans="2:5">
      <c r="B466" s="332"/>
      <c r="C466" s="496"/>
      <c r="D466" s="486"/>
      <c r="E466" s="111"/>
    </row>
    <row r="467" spans="2:5">
      <c r="B467" s="332"/>
      <c r="C467" s="496"/>
      <c r="D467" s="486"/>
      <c r="E467" s="111"/>
    </row>
    <row r="468" spans="2:5">
      <c r="B468" s="332"/>
      <c r="C468" s="496"/>
      <c r="D468" s="486"/>
      <c r="E468" s="111"/>
    </row>
    <row r="469" spans="2:5">
      <c r="B469" s="332"/>
      <c r="C469" s="496"/>
      <c r="D469" s="486"/>
      <c r="E469" s="111"/>
    </row>
    <row r="470" spans="2:5">
      <c r="B470" s="332"/>
      <c r="C470" s="496"/>
      <c r="D470" s="486"/>
      <c r="E470" s="111"/>
    </row>
    <row r="471" spans="2:5">
      <c r="B471" s="332"/>
      <c r="C471" s="496"/>
      <c r="D471" s="486"/>
      <c r="E471" s="111"/>
    </row>
    <row r="472" spans="2:5">
      <c r="B472" s="332"/>
      <c r="C472" s="496"/>
      <c r="D472" s="486"/>
      <c r="E472" s="111"/>
    </row>
    <row r="473" spans="2:5">
      <c r="B473" s="332"/>
      <c r="C473" s="496"/>
      <c r="D473" s="486"/>
      <c r="E473" s="111"/>
    </row>
    <row r="474" spans="2:5">
      <c r="B474" s="332"/>
      <c r="C474" s="496"/>
      <c r="D474" s="486"/>
      <c r="E474" s="111"/>
    </row>
    <row r="475" spans="2:5">
      <c r="B475" s="332"/>
      <c r="C475" s="496"/>
      <c r="D475" s="486"/>
      <c r="E475" s="111"/>
    </row>
    <row r="476" spans="2:5">
      <c r="B476" s="332"/>
      <c r="C476" s="496"/>
      <c r="D476" s="486"/>
      <c r="E476" s="111"/>
    </row>
    <row r="477" spans="2:5">
      <c r="B477" s="332"/>
      <c r="C477" s="496"/>
      <c r="D477" s="486"/>
      <c r="E477" s="111"/>
    </row>
    <row r="478" spans="2:5">
      <c r="B478" s="332"/>
      <c r="C478" s="496"/>
      <c r="D478" s="486"/>
      <c r="E478" s="111"/>
    </row>
    <row r="479" spans="2:5">
      <c r="B479" s="332"/>
      <c r="C479" s="496"/>
      <c r="D479" s="486"/>
      <c r="E479" s="111"/>
    </row>
    <row r="480" spans="2:5">
      <c r="B480" s="332"/>
      <c r="C480" s="496"/>
      <c r="D480" s="486"/>
      <c r="E480" s="111"/>
    </row>
    <row r="481" spans="2:5">
      <c r="B481" s="332"/>
      <c r="C481" s="496"/>
      <c r="D481" s="486"/>
      <c r="E481" s="111"/>
    </row>
    <row r="482" spans="2:5">
      <c r="B482" s="332"/>
      <c r="C482" s="496"/>
      <c r="D482" s="486"/>
      <c r="E482" s="111"/>
    </row>
    <row r="483" spans="2:5">
      <c r="B483" s="332"/>
      <c r="C483" s="496"/>
      <c r="D483" s="486"/>
      <c r="E483" s="111"/>
    </row>
    <row r="484" spans="2:5">
      <c r="B484" s="332"/>
      <c r="C484" s="496"/>
      <c r="D484" s="486"/>
      <c r="E484" s="111"/>
    </row>
    <row r="485" spans="2:5">
      <c r="B485" s="332"/>
      <c r="C485" s="496"/>
      <c r="D485" s="486"/>
      <c r="E485" s="111"/>
    </row>
    <row r="486" spans="2:5">
      <c r="B486" s="332"/>
      <c r="C486" s="496"/>
      <c r="D486" s="486"/>
      <c r="E486" s="111"/>
    </row>
    <row r="487" spans="2:5">
      <c r="B487" s="332"/>
      <c r="C487" s="496"/>
      <c r="D487" s="486"/>
      <c r="E487" s="111"/>
    </row>
    <row r="488" spans="2:5">
      <c r="B488" s="332"/>
      <c r="C488" s="496"/>
      <c r="D488" s="486"/>
      <c r="E488" s="111"/>
    </row>
    <row r="489" spans="2:5">
      <c r="B489" s="332"/>
      <c r="C489" s="496"/>
      <c r="D489" s="486"/>
      <c r="E489" s="111"/>
    </row>
    <row r="490" spans="2:5">
      <c r="B490" s="332"/>
      <c r="C490" s="496"/>
      <c r="D490" s="486"/>
      <c r="E490" s="111"/>
    </row>
    <row r="491" spans="2:5">
      <c r="B491" s="332"/>
      <c r="C491" s="496"/>
      <c r="D491" s="486"/>
      <c r="E491" s="111"/>
    </row>
    <row r="492" spans="2:5">
      <c r="B492" s="332"/>
      <c r="C492" s="496"/>
      <c r="D492" s="486"/>
      <c r="E492" s="111"/>
    </row>
    <row r="493" spans="2:5">
      <c r="B493" s="332"/>
      <c r="C493" s="496"/>
      <c r="D493" s="486"/>
      <c r="E493" s="111"/>
    </row>
    <row r="494" spans="2:5">
      <c r="B494" s="332"/>
      <c r="C494" s="496"/>
      <c r="D494" s="486"/>
      <c r="E494" s="111"/>
    </row>
    <row r="495" spans="2:5">
      <c r="B495" s="332"/>
      <c r="C495" s="496"/>
      <c r="D495" s="486"/>
      <c r="E495" s="111"/>
    </row>
    <row r="496" spans="2:5">
      <c r="B496" s="332"/>
      <c r="C496" s="496"/>
      <c r="D496" s="486"/>
      <c r="E496" s="111"/>
    </row>
    <row r="497" spans="2:5">
      <c r="B497" s="332"/>
      <c r="C497" s="496"/>
      <c r="D497" s="486"/>
      <c r="E497" s="111"/>
    </row>
    <row r="498" spans="2:5">
      <c r="B498" s="332"/>
      <c r="C498" s="496"/>
      <c r="D498" s="486"/>
      <c r="E498" s="111"/>
    </row>
    <row r="499" spans="2:5">
      <c r="B499" s="332"/>
      <c r="C499" s="496"/>
      <c r="D499" s="486"/>
      <c r="E499" s="111"/>
    </row>
    <row r="500" spans="2:5">
      <c r="B500" s="332"/>
      <c r="C500" s="496"/>
      <c r="D500" s="486"/>
      <c r="E500" s="111"/>
    </row>
    <row r="501" spans="2:5">
      <c r="B501" s="332"/>
      <c r="C501" s="496"/>
      <c r="D501" s="486"/>
      <c r="E501" s="111"/>
    </row>
    <row r="502" spans="2:5">
      <c r="B502" s="332"/>
      <c r="C502" s="496"/>
      <c r="D502" s="486"/>
      <c r="E502" s="111"/>
    </row>
    <row r="503" spans="2:5">
      <c r="B503" s="332"/>
      <c r="C503" s="496"/>
      <c r="D503" s="486"/>
      <c r="E503" s="111"/>
    </row>
    <row r="504" spans="2:5">
      <c r="B504" s="332"/>
      <c r="C504" s="496"/>
      <c r="D504" s="486"/>
      <c r="E504" s="111"/>
    </row>
    <row r="505" spans="2:5">
      <c r="B505" s="332"/>
      <c r="C505" s="496"/>
      <c r="D505" s="486"/>
      <c r="E505" s="111"/>
    </row>
    <row r="506" spans="2:5">
      <c r="B506" s="332"/>
      <c r="C506" s="496"/>
      <c r="D506" s="486"/>
      <c r="E506" s="111"/>
    </row>
    <row r="507" spans="2:5">
      <c r="B507" s="332"/>
      <c r="C507" s="496"/>
      <c r="D507" s="486"/>
      <c r="E507" s="111"/>
    </row>
    <row r="508" spans="2:5">
      <c r="B508" s="332"/>
      <c r="C508" s="496"/>
      <c r="D508" s="486"/>
      <c r="E508" s="111"/>
    </row>
    <row r="509" spans="2:5">
      <c r="B509" s="332"/>
      <c r="C509" s="496"/>
      <c r="D509" s="486"/>
      <c r="E509" s="111"/>
    </row>
    <row r="510" spans="2:5">
      <c r="B510" s="486"/>
      <c r="C510" s="487"/>
      <c r="D510" s="486"/>
      <c r="E510" s="111"/>
    </row>
    <row r="511" spans="2:5">
      <c r="B511" s="486"/>
      <c r="C511" s="487"/>
      <c r="D511" s="486"/>
      <c r="E511" s="111"/>
    </row>
    <row r="512" spans="2:5">
      <c r="B512" s="486"/>
      <c r="C512" s="487"/>
      <c r="D512" s="486"/>
      <c r="E512" s="111"/>
    </row>
    <row r="513" spans="2:5">
      <c r="B513" s="486"/>
      <c r="C513" s="487"/>
      <c r="D513" s="486"/>
      <c r="E513" s="111"/>
    </row>
    <row r="514" spans="2:5">
      <c r="B514" s="486"/>
      <c r="C514" s="487"/>
      <c r="D514" s="486"/>
      <c r="E514" s="111"/>
    </row>
    <row r="515" spans="2:5">
      <c r="B515" s="486"/>
      <c r="C515" s="487"/>
      <c r="D515" s="486"/>
      <c r="E515" s="111"/>
    </row>
    <row r="516" spans="2:5">
      <c r="B516" s="486"/>
      <c r="C516" s="487"/>
      <c r="D516" s="486"/>
      <c r="E516" s="111"/>
    </row>
    <row r="517" spans="2:5">
      <c r="B517" s="486"/>
      <c r="C517" s="487"/>
      <c r="D517" s="486"/>
      <c r="E517" s="111"/>
    </row>
    <row r="518" spans="2:5">
      <c r="B518" s="486"/>
      <c r="C518" s="487"/>
      <c r="D518" s="486"/>
      <c r="E518" s="111"/>
    </row>
    <row r="519" spans="2:5">
      <c r="B519" s="486"/>
      <c r="C519" s="487"/>
      <c r="D519" s="486"/>
      <c r="E519" s="111"/>
    </row>
    <row r="520" spans="2:5">
      <c r="B520" s="486"/>
      <c r="C520" s="487"/>
      <c r="D520" s="486"/>
      <c r="E520" s="111"/>
    </row>
    <row r="521" spans="2:5">
      <c r="B521" s="486"/>
      <c r="C521" s="487"/>
      <c r="D521" s="486"/>
      <c r="E521" s="111"/>
    </row>
    <row r="522" spans="2:5">
      <c r="B522" s="486"/>
      <c r="C522" s="487"/>
      <c r="D522" s="486"/>
      <c r="E522" s="111"/>
    </row>
    <row r="523" spans="2:5">
      <c r="B523" s="486"/>
      <c r="C523" s="487"/>
      <c r="D523" s="486"/>
      <c r="E523" s="111"/>
    </row>
    <row r="524" spans="2:5">
      <c r="B524" s="486"/>
      <c r="C524" s="487"/>
      <c r="D524" s="486"/>
      <c r="E524" s="111"/>
    </row>
    <row r="525" spans="2:5">
      <c r="B525" s="486"/>
      <c r="C525" s="487"/>
      <c r="D525" s="486"/>
      <c r="E525" s="111"/>
    </row>
    <row r="526" spans="2:5">
      <c r="B526" s="486"/>
      <c r="C526" s="487"/>
      <c r="D526" s="486"/>
      <c r="E526" s="111"/>
    </row>
    <row r="527" spans="2:5">
      <c r="B527" s="486"/>
      <c r="C527" s="487"/>
      <c r="D527" s="486"/>
      <c r="E527" s="111"/>
    </row>
    <row r="528" spans="2:5">
      <c r="B528" s="486"/>
      <c r="C528" s="487"/>
      <c r="D528" s="486"/>
      <c r="E528" s="111"/>
    </row>
    <row r="529" spans="2:5">
      <c r="B529" s="486"/>
      <c r="C529" s="487"/>
      <c r="D529" s="486"/>
      <c r="E529" s="111"/>
    </row>
    <row r="530" spans="2:5">
      <c r="B530" s="486"/>
      <c r="C530" s="487"/>
      <c r="D530" s="486"/>
      <c r="E530" s="111"/>
    </row>
    <row r="531" spans="2:5">
      <c r="B531" s="486"/>
      <c r="C531" s="487"/>
      <c r="D531" s="486"/>
      <c r="E531" s="111"/>
    </row>
    <row r="532" spans="2:5">
      <c r="B532" s="486"/>
      <c r="C532" s="487"/>
      <c r="D532" s="486"/>
      <c r="E532" s="111"/>
    </row>
    <row r="533" spans="2:5">
      <c r="B533" s="486"/>
      <c r="C533" s="487"/>
      <c r="D533" s="486"/>
      <c r="E533" s="111"/>
    </row>
    <row r="534" spans="2:5">
      <c r="B534" s="486"/>
      <c r="C534" s="487"/>
      <c r="D534" s="486"/>
      <c r="E534" s="111"/>
    </row>
    <row r="535" spans="2:5">
      <c r="B535" s="486"/>
      <c r="C535" s="487"/>
      <c r="D535" s="486"/>
      <c r="E535" s="111"/>
    </row>
    <row r="536" spans="2:5">
      <c r="B536" s="486"/>
      <c r="C536" s="487"/>
      <c r="D536" s="486"/>
      <c r="E536" s="111"/>
    </row>
    <row r="537" spans="2:5">
      <c r="B537" s="486"/>
      <c r="C537" s="487"/>
      <c r="D537" s="486"/>
      <c r="E537" s="111"/>
    </row>
    <row r="538" spans="2:5">
      <c r="B538" s="486"/>
      <c r="C538" s="487"/>
      <c r="D538" s="486"/>
      <c r="E538" s="111"/>
    </row>
    <row r="539" spans="2:5">
      <c r="B539" s="486"/>
      <c r="C539" s="487"/>
      <c r="D539" s="486"/>
      <c r="E539" s="111"/>
    </row>
    <row r="540" spans="2:5">
      <c r="B540" s="486"/>
      <c r="C540" s="487"/>
      <c r="D540" s="486"/>
      <c r="E540" s="111"/>
    </row>
    <row r="541" spans="2:5">
      <c r="B541" s="486"/>
      <c r="C541" s="487"/>
      <c r="D541" s="486"/>
      <c r="E541" s="111"/>
    </row>
    <row r="542" spans="2:5">
      <c r="B542" s="486"/>
      <c r="C542" s="487"/>
      <c r="D542" s="486"/>
      <c r="E542" s="111"/>
    </row>
    <row r="543" spans="2:5">
      <c r="B543" s="486"/>
      <c r="C543" s="487"/>
      <c r="D543" s="486"/>
      <c r="E543" s="111"/>
    </row>
    <row r="544" spans="2:5">
      <c r="B544" s="486"/>
      <c r="C544" s="487"/>
      <c r="D544" s="486"/>
      <c r="E544" s="111"/>
    </row>
    <row r="545" spans="2:5">
      <c r="B545" s="486"/>
      <c r="C545" s="487"/>
      <c r="D545" s="486"/>
      <c r="E545" s="111"/>
    </row>
    <row r="546" spans="2:5">
      <c r="B546" s="486"/>
      <c r="C546" s="487"/>
      <c r="D546" s="486"/>
      <c r="E546" s="111"/>
    </row>
    <row r="547" spans="2:5">
      <c r="B547" s="486"/>
      <c r="C547" s="487"/>
      <c r="D547" s="486"/>
      <c r="E547" s="111"/>
    </row>
    <row r="548" spans="2:5">
      <c r="B548" s="486"/>
      <c r="C548" s="487"/>
      <c r="D548" s="486"/>
      <c r="E548" s="111"/>
    </row>
    <row r="549" spans="2:5">
      <c r="B549" s="486"/>
      <c r="C549" s="487"/>
      <c r="D549" s="486"/>
      <c r="E549" s="111"/>
    </row>
    <row r="550" spans="2:5">
      <c r="B550" s="486"/>
      <c r="C550" s="487"/>
      <c r="D550" s="486"/>
      <c r="E550" s="111"/>
    </row>
    <row r="551" spans="2:5">
      <c r="B551" s="486"/>
      <c r="C551" s="487"/>
      <c r="D551" s="486"/>
      <c r="E551" s="111"/>
    </row>
    <row r="552" spans="2:5">
      <c r="B552" s="486"/>
      <c r="C552" s="487"/>
      <c r="D552" s="486"/>
      <c r="E552" s="111"/>
    </row>
    <row r="553" spans="2:5">
      <c r="B553" s="486"/>
      <c r="C553" s="487"/>
      <c r="D553" s="486"/>
      <c r="E553" s="111"/>
    </row>
    <row r="554" spans="2:5">
      <c r="B554" s="486"/>
      <c r="C554" s="487"/>
      <c r="D554" s="486"/>
      <c r="E554" s="111"/>
    </row>
    <row r="555" spans="2:5">
      <c r="B555" s="486"/>
      <c r="C555" s="487"/>
      <c r="D555" s="486"/>
      <c r="E555" s="111"/>
    </row>
    <row r="556" spans="2:5">
      <c r="B556" s="486"/>
      <c r="C556" s="487"/>
      <c r="D556" s="486"/>
      <c r="E556" s="111"/>
    </row>
    <row r="557" spans="2:5">
      <c r="B557" s="486"/>
      <c r="C557" s="487"/>
      <c r="D557" s="486"/>
      <c r="E557" s="111"/>
    </row>
    <row r="558" spans="2:5">
      <c r="B558" s="486"/>
      <c r="C558" s="487"/>
      <c r="D558" s="486"/>
      <c r="E558" s="111"/>
    </row>
    <row r="559" spans="2:5">
      <c r="B559" s="486"/>
      <c r="C559" s="487"/>
      <c r="D559" s="486"/>
      <c r="E559" s="111"/>
    </row>
    <row r="560" spans="2:5">
      <c r="B560" s="486"/>
      <c r="C560" s="487"/>
      <c r="D560" s="486"/>
      <c r="E560" s="111"/>
    </row>
    <row r="561" spans="2:5">
      <c r="B561" s="486"/>
      <c r="C561" s="487"/>
      <c r="D561" s="486"/>
      <c r="E561" s="111"/>
    </row>
    <row r="562" spans="2:5">
      <c r="B562" s="486"/>
      <c r="C562" s="487"/>
      <c r="D562" s="486"/>
      <c r="E562" s="111"/>
    </row>
    <row r="563" spans="2:5">
      <c r="B563" s="486"/>
      <c r="C563" s="487"/>
      <c r="D563" s="486"/>
      <c r="E563" s="111"/>
    </row>
    <row r="564" spans="2:5">
      <c r="B564" s="486"/>
      <c r="C564" s="487"/>
      <c r="D564" s="486"/>
      <c r="E564" s="111"/>
    </row>
    <row r="565" spans="2:5">
      <c r="B565" s="486"/>
      <c r="C565" s="487"/>
      <c r="D565" s="486"/>
      <c r="E565" s="111"/>
    </row>
    <row r="566" spans="2:5">
      <c r="B566" s="486"/>
      <c r="C566" s="487"/>
      <c r="D566" s="486"/>
      <c r="E566" s="111"/>
    </row>
    <row r="567" spans="2:5">
      <c r="B567" s="486"/>
      <c r="C567" s="487"/>
      <c r="D567" s="486"/>
      <c r="E567" s="111"/>
    </row>
    <row r="568" spans="2:5">
      <c r="B568" s="486"/>
      <c r="C568" s="487"/>
      <c r="D568" s="486"/>
      <c r="E568" s="111"/>
    </row>
    <row r="569" spans="2:5">
      <c r="B569" s="486"/>
      <c r="C569" s="487"/>
      <c r="D569" s="486"/>
      <c r="E569" s="111"/>
    </row>
    <row r="570" spans="2:5">
      <c r="B570" s="486"/>
      <c r="C570" s="487"/>
      <c r="D570" s="486"/>
      <c r="E570" s="111"/>
    </row>
    <row r="571" spans="2:5">
      <c r="B571" s="486"/>
      <c r="C571" s="487"/>
      <c r="D571" s="486"/>
      <c r="E571" s="111"/>
    </row>
    <row r="572" spans="2:5">
      <c r="B572" s="486"/>
      <c r="C572" s="487"/>
      <c r="D572" s="486"/>
      <c r="E572" s="111"/>
    </row>
    <row r="573" spans="2:5">
      <c r="B573" s="486"/>
      <c r="C573" s="487"/>
      <c r="D573" s="486"/>
      <c r="E573" s="111"/>
    </row>
    <row r="574" spans="2:5">
      <c r="B574" s="486"/>
      <c r="C574" s="487"/>
      <c r="D574" s="486"/>
      <c r="E574" s="111"/>
    </row>
    <row r="575" spans="2:5">
      <c r="B575" s="486"/>
      <c r="C575" s="487"/>
      <c r="D575" s="486"/>
      <c r="E575" s="111"/>
    </row>
    <row r="576" spans="2:5">
      <c r="B576" s="486"/>
      <c r="C576" s="487"/>
      <c r="D576" s="486"/>
      <c r="E576" s="111"/>
    </row>
    <row r="577" spans="2:5">
      <c r="B577" s="486"/>
      <c r="C577" s="487"/>
      <c r="D577" s="486"/>
      <c r="E577" s="111"/>
    </row>
    <row r="578" spans="2:5">
      <c r="B578" s="486"/>
      <c r="C578" s="487"/>
      <c r="D578" s="486"/>
      <c r="E578" s="111"/>
    </row>
    <row r="579" spans="2:5">
      <c r="B579" s="486"/>
      <c r="C579" s="487"/>
      <c r="D579" s="486"/>
      <c r="E579" s="111"/>
    </row>
    <row r="580" spans="2:5">
      <c r="B580" s="486"/>
      <c r="C580" s="487"/>
      <c r="D580" s="486"/>
      <c r="E580" s="111"/>
    </row>
    <row r="581" spans="2:5">
      <c r="B581" s="486"/>
      <c r="C581" s="487"/>
      <c r="D581" s="486"/>
      <c r="E581" s="111"/>
    </row>
    <row r="582" spans="2:5">
      <c r="B582" s="486"/>
      <c r="C582" s="487"/>
      <c r="D582" s="486"/>
      <c r="E582" s="111"/>
    </row>
    <row r="583" spans="2:5">
      <c r="B583" s="486"/>
      <c r="C583" s="487"/>
      <c r="D583" s="486"/>
      <c r="E583" s="111"/>
    </row>
    <row r="584" spans="2:5">
      <c r="B584" s="486"/>
      <c r="C584" s="487"/>
      <c r="D584" s="486"/>
      <c r="E584" s="111"/>
    </row>
    <row r="585" spans="2:5">
      <c r="B585" s="486"/>
      <c r="C585" s="487"/>
      <c r="D585" s="486"/>
      <c r="E585" s="111"/>
    </row>
    <row r="586" spans="2:5">
      <c r="B586" s="486"/>
      <c r="C586" s="487"/>
      <c r="D586" s="486"/>
      <c r="E586" s="111"/>
    </row>
    <row r="587" spans="2:5">
      <c r="B587" s="486"/>
      <c r="C587" s="487"/>
      <c r="D587" s="486"/>
      <c r="E587" s="111"/>
    </row>
    <row r="588" spans="2:5">
      <c r="B588" s="486"/>
      <c r="C588" s="487"/>
      <c r="D588" s="486"/>
      <c r="E588" s="111"/>
    </row>
    <row r="589" spans="2:5">
      <c r="B589" s="486"/>
      <c r="C589" s="487"/>
      <c r="D589" s="486"/>
      <c r="E589" s="111"/>
    </row>
    <row r="590" spans="2:5">
      <c r="B590" s="486"/>
      <c r="C590" s="487"/>
      <c r="D590" s="486"/>
      <c r="E590" s="111"/>
    </row>
    <row r="591" spans="2:5">
      <c r="B591" s="486"/>
      <c r="C591" s="487"/>
      <c r="D591" s="486"/>
      <c r="E591" s="111"/>
    </row>
    <row r="592" spans="2:5">
      <c r="B592" s="486"/>
      <c r="C592" s="487"/>
      <c r="D592" s="486"/>
      <c r="E592" s="111"/>
    </row>
    <row r="593" spans="2:5">
      <c r="B593" s="486"/>
      <c r="C593" s="487"/>
      <c r="D593" s="486"/>
      <c r="E593" s="111"/>
    </row>
    <row r="594" spans="2:5">
      <c r="B594" s="486"/>
      <c r="C594" s="487"/>
      <c r="D594" s="486"/>
      <c r="E594" s="111"/>
    </row>
    <row r="595" spans="2:5">
      <c r="B595" s="486"/>
      <c r="C595" s="487"/>
      <c r="D595" s="486"/>
      <c r="E595" s="111"/>
    </row>
    <row r="596" spans="2:5">
      <c r="B596" s="486"/>
      <c r="C596" s="487"/>
      <c r="D596" s="486"/>
      <c r="E596" s="111"/>
    </row>
    <row r="597" spans="2:5">
      <c r="B597" s="486"/>
      <c r="C597" s="487"/>
      <c r="D597" s="486"/>
      <c r="E597" s="111"/>
    </row>
    <row r="598" spans="2:5">
      <c r="B598" s="486"/>
      <c r="C598" s="487"/>
      <c r="D598" s="486"/>
      <c r="E598" s="111"/>
    </row>
    <row r="599" spans="2:5">
      <c r="B599" s="486"/>
      <c r="C599" s="487"/>
      <c r="D599" s="486"/>
      <c r="E599" s="111"/>
    </row>
    <row r="600" spans="2:5">
      <c r="B600" s="486"/>
      <c r="C600" s="487"/>
      <c r="D600" s="486"/>
      <c r="E600" s="111"/>
    </row>
    <row r="601" spans="2:5">
      <c r="B601" s="486"/>
      <c r="C601" s="487"/>
      <c r="D601" s="486"/>
      <c r="E601" s="111"/>
    </row>
    <row r="602" spans="2:5">
      <c r="B602" s="486"/>
      <c r="C602" s="487"/>
      <c r="D602" s="486"/>
      <c r="E602" s="111"/>
    </row>
    <row r="603" spans="2:5">
      <c r="B603" s="486"/>
      <c r="C603" s="487"/>
      <c r="D603" s="486"/>
      <c r="E603" s="111"/>
    </row>
    <row r="604" spans="2:5">
      <c r="B604" s="486"/>
      <c r="C604" s="487"/>
      <c r="D604" s="486"/>
      <c r="E604" s="111"/>
    </row>
    <row r="605" spans="2:5">
      <c r="B605" s="486"/>
      <c r="C605" s="487"/>
      <c r="D605" s="486"/>
      <c r="E605" s="111"/>
    </row>
    <row r="606" spans="2:5">
      <c r="B606" s="486"/>
      <c r="C606" s="487"/>
      <c r="D606" s="486"/>
      <c r="E606" s="111"/>
    </row>
    <row r="607" spans="2:5">
      <c r="B607" s="486"/>
      <c r="C607" s="487"/>
      <c r="D607" s="486"/>
      <c r="E607" s="111"/>
    </row>
    <row r="608" spans="2:5">
      <c r="B608" s="486"/>
      <c r="C608" s="487"/>
      <c r="D608" s="486"/>
      <c r="E608" s="111"/>
    </row>
    <row r="609" spans="2:5">
      <c r="B609" s="486"/>
      <c r="C609" s="487"/>
      <c r="D609" s="486"/>
      <c r="E609" s="111"/>
    </row>
    <row r="610" spans="2:5">
      <c r="B610" s="486"/>
      <c r="C610" s="487"/>
      <c r="D610" s="486"/>
      <c r="E610" s="111"/>
    </row>
    <row r="611" spans="2:5">
      <c r="B611" s="486"/>
      <c r="C611" s="487"/>
      <c r="D611" s="486"/>
      <c r="E611" s="111"/>
    </row>
    <row r="612" spans="2:5">
      <c r="B612" s="486"/>
      <c r="C612" s="487"/>
      <c r="D612" s="486"/>
      <c r="E612" s="111"/>
    </row>
    <row r="613" spans="2:5">
      <c r="B613" s="486"/>
      <c r="C613" s="487"/>
      <c r="D613" s="486"/>
      <c r="E613" s="111"/>
    </row>
    <row r="614" spans="2:5">
      <c r="B614" s="486"/>
      <c r="C614" s="487"/>
      <c r="D614" s="486"/>
      <c r="E614" s="111"/>
    </row>
    <row r="615" spans="2:5">
      <c r="B615" s="486"/>
      <c r="C615" s="487"/>
      <c r="D615" s="486"/>
      <c r="E615" s="111"/>
    </row>
    <row r="616" spans="2:5">
      <c r="B616" s="486"/>
      <c r="C616" s="487"/>
      <c r="D616" s="486"/>
      <c r="E616" s="111"/>
    </row>
    <row r="617" spans="2:5">
      <c r="B617" s="486"/>
      <c r="C617" s="487"/>
      <c r="D617" s="486"/>
      <c r="E617" s="111"/>
    </row>
    <row r="618" spans="2:5">
      <c r="B618" s="486"/>
      <c r="C618" s="487"/>
      <c r="D618" s="486"/>
      <c r="E618" s="111"/>
    </row>
    <row r="619" spans="2:5">
      <c r="B619" s="486"/>
      <c r="C619" s="487"/>
      <c r="D619" s="486"/>
      <c r="E619" s="111"/>
    </row>
    <row r="620" spans="2:5">
      <c r="B620" s="486"/>
      <c r="C620" s="487"/>
      <c r="D620" s="486"/>
      <c r="E620" s="111"/>
    </row>
    <row r="621" spans="2:5">
      <c r="B621" s="486"/>
      <c r="C621" s="487"/>
      <c r="D621" s="486"/>
      <c r="E621" s="111"/>
    </row>
    <row r="622" spans="2:5">
      <c r="B622" s="486"/>
      <c r="C622" s="487"/>
      <c r="D622" s="486"/>
      <c r="E622" s="111"/>
    </row>
    <row r="623" spans="2:5">
      <c r="B623" s="486"/>
      <c r="C623" s="487"/>
      <c r="D623" s="486"/>
      <c r="E623" s="111"/>
    </row>
    <row r="624" spans="2:5">
      <c r="B624" s="486"/>
      <c r="C624" s="487"/>
      <c r="D624" s="486"/>
      <c r="E624" s="111"/>
    </row>
    <row r="625" spans="2:5">
      <c r="B625" s="486"/>
      <c r="C625" s="487"/>
      <c r="D625" s="486"/>
      <c r="E625" s="111"/>
    </row>
    <row r="626" spans="2:5">
      <c r="B626" s="486"/>
      <c r="C626" s="487"/>
      <c r="D626" s="486"/>
      <c r="E626" s="111"/>
    </row>
    <row r="627" spans="2:5">
      <c r="B627" s="486"/>
      <c r="C627" s="487"/>
      <c r="D627" s="486"/>
      <c r="E627" s="111"/>
    </row>
    <row r="628" spans="2:5">
      <c r="B628" s="486"/>
      <c r="C628" s="487"/>
      <c r="D628" s="486"/>
      <c r="E628" s="111"/>
    </row>
    <row r="629" spans="2:5">
      <c r="B629" s="486"/>
      <c r="C629" s="487"/>
      <c r="D629" s="486"/>
      <c r="E629" s="111"/>
    </row>
    <row r="630" spans="2:5">
      <c r="B630" s="486"/>
      <c r="C630" s="487"/>
      <c r="D630" s="486"/>
      <c r="E630" s="111"/>
    </row>
    <row r="631" spans="2:5">
      <c r="B631" s="486"/>
      <c r="C631" s="487"/>
      <c r="D631" s="486"/>
      <c r="E631" s="111"/>
    </row>
    <row r="632" spans="2:5">
      <c r="B632" s="486"/>
      <c r="C632" s="487"/>
      <c r="D632" s="486"/>
      <c r="E632" s="111"/>
    </row>
    <row r="633" spans="2:5">
      <c r="B633" s="486"/>
      <c r="C633" s="487"/>
      <c r="D633" s="486"/>
      <c r="E633" s="111"/>
    </row>
    <row r="634" spans="2:5">
      <c r="B634" s="486"/>
      <c r="C634" s="487"/>
      <c r="D634" s="486"/>
      <c r="E634" s="111"/>
    </row>
    <row r="635" spans="2:5">
      <c r="B635" s="486"/>
      <c r="C635" s="487"/>
      <c r="D635" s="486"/>
      <c r="E635" s="111"/>
    </row>
    <row r="636" spans="2:5">
      <c r="B636" s="486"/>
      <c r="C636" s="487"/>
      <c r="D636" s="486"/>
      <c r="E636" s="111"/>
    </row>
    <row r="637" spans="2:5">
      <c r="B637" s="486"/>
      <c r="C637" s="487"/>
      <c r="D637" s="486"/>
      <c r="E637" s="111"/>
    </row>
    <row r="638" spans="2:5">
      <c r="B638" s="486"/>
      <c r="C638" s="487"/>
      <c r="D638" s="486"/>
      <c r="E638" s="111"/>
    </row>
    <row r="639" spans="2:5">
      <c r="B639" s="486"/>
      <c r="C639" s="487"/>
      <c r="D639" s="486"/>
      <c r="E639" s="111"/>
    </row>
    <row r="640" spans="2:5">
      <c r="B640" s="486"/>
      <c r="C640" s="487"/>
      <c r="D640" s="486"/>
      <c r="E640" s="111"/>
    </row>
    <row r="641" spans="2:5">
      <c r="B641" s="486"/>
      <c r="C641" s="487"/>
      <c r="D641" s="486"/>
      <c r="E641" s="111"/>
    </row>
    <row r="642" spans="2:5">
      <c r="B642" s="486"/>
      <c r="C642" s="487"/>
      <c r="D642" s="486"/>
      <c r="E642" s="111"/>
    </row>
    <row r="643" spans="2:5">
      <c r="B643" s="486"/>
      <c r="C643" s="487"/>
      <c r="D643" s="486"/>
      <c r="E643" s="111"/>
    </row>
    <row r="644" spans="2:5">
      <c r="B644" s="486"/>
      <c r="C644" s="487"/>
      <c r="D644" s="486"/>
      <c r="E644" s="111"/>
    </row>
    <row r="645" spans="2:5">
      <c r="B645" s="486"/>
      <c r="C645" s="487"/>
      <c r="D645" s="486"/>
      <c r="E645" s="111"/>
    </row>
    <row r="646" spans="2:5">
      <c r="B646" s="486"/>
      <c r="C646" s="487"/>
      <c r="D646" s="486"/>
      <c r="E646" s="111"/>
    </row>
    <row r="647" spans="2:5">
      <c r="B647" s="486"/>
      <c r="C647" s="487"/>
      <c r="D647" s="486"/>
      <c r="E647" s="111"/>
    </row>
    <row r="648" spans="2:5">
      <c r="B648" s="486"/>
      <c r="C648" s="487"/>
      <c r="D648" s="486"/>
      <c r="E648" s="111"/>
    </row>
    <row r="649" spans="2:5">
      <c r="B649" s="486"/>
      <c r="C649" s="487"/>
      <c r="D649" s="486"/>
      <c r="E649" s="111"/>
    </row>
    <row r="650" spans="2:5">
      <c r="B650" s="486"/>
      <c r="C650" s="487"/>
      <c r="D650" s="486"/>
      <c r="E650" s="111"/>
    </row>
    <row r="651" spans="2:5">
      <c r="B651" s="486"/>
      <c r="C651" s="487"/>
      <c r="D651" s="486"/>
      <c r="E651" s="111"/>
    </row>
    <row r="652" spans="2:5">
      <c r="B652" s="486"/>
      <c r="C652" s="487"/>
      <c r="D652" s="486"/>
      <c r="E652" s="111"/>
    </row>
    <row r="653" spans="2:5">
      <c r="B653" s="486"/>
      <c r="C653" s="487"/>
      <c r="D653" s="486"/>
      <c r="E653" s="111"/>
    </row>
    <row r="654" spans="2:5">
      <c r="B654" s="486"/>
      <c r="C654" s="487"/>
      <c r="D654" s="486"/>
      <c r="E654" s="111"/>
    </row>
    <row r="655" spans="2:5">
      <c r="B655" s="486"/>
      <c r="C655" s="487"/>
      <c r="D655" s="486"/>
      <c r="E655" s="111"/>
    </row>
    <row r="656" spans="2:5">
      <c r="B656" s="486"/>
      <c r="C656" s="487"/>
      <c r="D656" s="486"/>
      <c r="E656" s="111"/>
    </row>
    <row r="657" spans="2:5">
      <c r="B657" s="486"/>
      <c r="C657" s="487"/>
      <c r="D657" s="486"/>
      <c r="E657" s="111"/>
    </row>
    <row r="658" spans="2:5">
      <c r="B658" s="486"/>
      <c r="C658" s="487"/>
      <c r="D658" s="486"/>
      <c r="E658" s="111"/>
    </row>
    <row r="659" spans="2:5">
      <c r="B659" s="486"/>
      <c r="C659" s="487"/>
      <c r="D659" s="486"/>
      <c r="E659" s="111"/>
    </row>
    <row r="660" spans="2:5">
      <c r="B660" s="486"/>
      <c r="C660" s="487"/>
      <c r="D660" s="486"/>
      <c r="E660" s="111"/>
    </row>
    <row r="661" spans="2:5">
      <c r="B661" s="486"/>
      <c r="C661" s="487"/>
      <c r="D661" s="486"/>
      <c r="E661" s="111"/>
    </row>
    <row r="662" spans="2:5">
      <c r="B662" s="486"/>
      <c r="C662" s="487"/>
      <c r="D662" s="486"/>
      <c r="E662" s="111"/>
    </row>
    <row r="663" spans="2:5">
      <c r="B663" s="486"/>
      <c r="C663" s="487"/>
      <c r="D663" s="486"/>
      <c r="E663" s="111"/>
    </row>
    <row r="664" spans="2:5">
      <c r="B664" s="486"/>
      <c r="C664" s="487"/>
      <c r="D664" s="486"/>
      <c r="E664" s="111"/>
    </row>
    <row r="665" spans="2:5">
      <c r="B665" s="486"/>
      <c r="C665" s="487"/>
      <c r="D665" s="486"/>
      <c r="E665" s="111"/>
    </row>
    <row r="666" spans="2:5">
      <c r="B666" s="486"/>
      <c r="C666" s="487"/>
      <c r="D666" s="486"/>
      <c r="E666" s="111"/>
    </row>
    <row r="667" spans="2:5">
      <c r="B667" s="486"/>
      <c r="C667" s="487"/>
      <c r="D667" s="486"/>
      <c r="E667" s="111"/>
    </row>
    <row r="668" spans="2:5">
      <c r="B668" s="486"/>
      <c r="C668" s="487"/>
      <c r="D668" s="486"/>
      <c r="E668" s="111"/>
    </row>
    <row r="669" spans="2:5">
      <c r="B669" s="486"/>
      <c r="C669" s="487"/>
      <c r="D669" s="486"/>
      <c r="E669" s="111"/>
    </row>
    <row r="670" spans="2:5">
      <c r="B670" s="486"/>
      <c r="C670" s="487"/>
      <c r="D670" s="486"/>
      <c r="E670" s="111"/>
    </row>
    <row r="671" spans="2:5">
      <c r="B671" s="486"/>
      <c r="C671" s="487"/>
      <c r="D671" s="486"/>
      <c r="E671" s="111"/>
    </row>
    <row r="672" spans="2:5">
      <c r="B672" s="486"/>
      <c r="C672" s="487"/>
      <c r="D672" s="486"/>
      <c r="E672" s="111"/>
    </row>
    <row r="673" spans="2:5">
      <c r="B673" s="486"/>
      <c r="C673" s="487"/>
      <c r="D673" s="486"/>
      <c r="E673" s="111"/>
    </row>
    <row r="674" spans="2:5">
      <c r="B674" s="486"/>
      <c r="C674" s="487"/>
      <c r="D674" s="486"/>
      <c r="E674" s="111"/>
    </row>
    <row r="675" spans="2:5">
      <c r="B675" s="486"/>
      <c r="C675" s="487"/>
      <c r="D675" s="486"/>
      <c r="E675" s="111"/>
    </row>
    <row r="676" spans="2:5">
      <c r="B676" s="486"/>
      <c r="C676" s="487"/>
      <c r="D676" s="486"/>
      <c r="E676" s="111"/>
    </row>
    <row r="677" spans="2:5">
      <c r="B677" s="486"/>
      <c r="C677" s="487"/>
      <c r="D677" s="486"/>
      <c r="E677" s="111"/>
    </row>
    <row r="678" spans="2:5">
      <c r="B678" s="486"/>
      <c r="C678" s="487"/>
      <c r="D678" s="486"/>
      <c r="E678" s="111"/>
    </row>
    <row r="679" spans="2:5">
      <c r="B679" s="486"/>
      <c r="C679" s="487"/>
      <c r="D679" s="486"/>
      <c r="E679" s="111"/>
    </row>
    <row r="680" spans="2:5">
      <c r="B680" s="486"/>
      <c r="C680" s="487"/>
      <c r="D680" s="486"/>
      <c r="E680" s="111"/>
    </row>
    <row r="681" spans="2:5">
      <c r="B681" s="486"/>
      <c r="C681" s="487"/>
      <c r="D681" s="486"/>
      <c r="E681" s="111"/>
    </row>
    <row r="682" spans="2:5">
      <c r="B682" s="486"/>
      <c r="C682" s="487"/>
      <c r="D682" s="486"/>
      <c r="E682" s="111"/>
    </row>
    <row r="683" spans="2:5">
      <c r="B683" s="486"/>
      <c r="C683" s="487"/>
      <c r="D683" s="486"/>
      <c r="E683" s="111"/>
    </row>
    <row r="684" spans="2:5">
      <c r="B684" s="486"/>
      <c r="C684" s="487"/>
      <c r="D684" s="486"/>
      <c r="E684" s="111"/>
    </row>
    <row r="685" spans="2:5">
      <c r="B685" s="486"/>
      <c r="C685" s="487"/>
      <c r="D685" s="486"/>
      <c r="E685" s="111"/>
    </row>
    <row r="686" spans="2:5">
      <c r="B686" s="486"/>
      <c r="C686" s="487"/>
      <c r="D686" s="486"/>
      <c r="E686" s="111"/>
    </row>
    <row r="687" spans="2:5">
      <c r="B687" s="486"/>
      <c r="C687" s="487"/>
      <c r="D687" s="486"/>
      <c r="E687" s="111"/>
    </row>
    <row r="688" spans="2:5">
      <c r="B688" s="486"/>
      <c r="C688" s="487"/>
      <c r="D688" s="486"/>
      <c r="E688" s="111"/>
    </row>
    <row r="689" spans="2:5">
      <c r="B689" s="486"/>
      <c r="C689" s="487"/>
      <c r="D689" s="486"/>
      <c r="E689" s="111"/>
    </row>
    <row r="690" spans="2:5">
      <c r="B690" s="486"/>
      <c r="C690" s="487"/>
      <c r="D690" s="486"/>
      <c r="E690" s="111"/>
    </row>
    <row r="691" spans="2:5">
      <c r="B691" s="486"/>
      <c r="C691" s="487"/>
      <c r="D691" s="486"/>
      <c r="E691" s="111"/>
    </row>
    <row r="692" spans="2:5">
      <c r="B692" s="486"/>
      <c r="C692" s="487"/>
      <c r="D692" s="486"/>
      <c r="E692" s="111"/>
    </row>
    <row r="693" spans="2:5">
      <c r="B693" s="486"/>
      <c r="C693" s="487"/>
      <c r="D693" s="486"/>
      <c r="E693" s="111"/>
    </row>
    <row r="694" spans="2:5">
      <c r="B694" s="486"/>
      <c r="C694" s="487"/>
      <c r="D694" s="486"/>
      <c r="E694" s="111"/>
    </row>
    <row r="695" spans="2:5">
      <c r="B695" s="486"/>
      <c r="C695" s="487"/>
      <c r="D695" s="486"/>
      <c r="E695" s="111"/>
    </row>
    <row r="696" spans="2:5">
      <c r="B696" s="486"/>
      <c r="C696" s="487"/>
      <c r="D696" s="486"/>
      <c r="E696" s="111"/>
    </row>
    <row r="697" spans="2:5">
      <c r="B697" s="486"/>
      <c r="C697" s="487"/>
      <c r="D697" s="486"/>
      <c r="E697" s="111"/>
    </row>
    <row r="698" spans="2:5">
      <c r="B698" s="486"/>
      <c r="C698" s="487"/>
      <c r="D698" s="486"/>
      <c r="E698" s="111"/>
    </row>
    <row r="699" spans="2:5">
      <c r="B699" s="486"/>
      <c r="C699" s="487"/>
      <c r="D699" s="486"/>
      <c r="E699" s="111"/>
    </row>
    <row r="700" spans="2:5">
      <c r="B700" s="486"/>
      <c r="C700" s="487"/>
      <c r="D700" s="486"/>
      <c r="E700" s="111"/>
    </row>
    <row r="701" spans="2:5">
      <c r="B701" s="486"/>
      <c r="C701" s="487"/>
      <c r="D701" s="486"/>
      <c r="E701" s="111"/>
    </row>
    <row r="702" spans="2:5">
      <c r="B702" s="486"/>
      <c r="C702" s="487"/>
      <c r="D702" s="486"/>
      <c r="E702" s="111"/>
    </row>
    <row r="703" spans="2:5">
      <c r="B703" s="486"/>
      <c r="C703" s="487"/>
      <c r="D703" s="486"/>
      <c r="E703" s="111"/>
    </row>
    <row r="704" spans="2:5">
      <c r="B704" s="486"/>
      <c r="C704" s="487"/>
      <c r="D704" s="486"/>
      <c r="E704" s="111"/>
    </row>
    <row r="705" spans="2:5">
      <c r="B705" s="486"/>
      <c r="C705" s="487"/>
      <c r="D705" s="486"/>
      <c r="E705" s="111"/>
    </row>
    <row r="706" spans="2:5">
      <c r="B706" s="486"/>
      <c r="C706" s="487"/>
      <c r="D706" s="486"/>
      <c r="E706" s="111"/>
    </row>
    <row r="707" spans="2:5">
      <c r="B707" s="486"/>
      <c r="C707" s="487"/>
      <c r="D707" s="486"/>
      <c r="E707" s="111"/>
    </row>
    <row r="708" spans="2:5">
      <c r="B708" s="486"/>
      <c r="C708" s="487"/>
      <c r="D708" s="486"/>
      <c r="E708" s="111"/>
    </row>
    <row r="709" spans="2:5">
      <c r="B709" s="486"/>
      <c r="C709" s="487"/>
      <c r="D709" s="486"/>
      <c r="E709" s="111"/>
    </row>
    <row r="710" spans="2:5">
      <c r="B710" s="486"/>
      <c r="C710" s="487"/>
      <c r="D710" s="486"/>
      <c r="E710" s="111"/>
    </row>
    <row r="711" spans="2:5">
      <c r="B711" s="486"/>
      <c r="C711" s="487"/>
      <c r="D711" s="486"/>
      <c r="E711" s="111"/>
    </row>
    <row r="712" spans="2:5">
      <c r="B712" s="486"/>
      <c r="C712" s="487"/>
      <c r="D712" s="486"/>
      <c r="E712" s="111"/>
    </row>
    <row r="713" spans="2:5">
      <c r="B713" s="486"/>
      <c r="C713" s="487"/>
      <c r="D713" s="486"/>
      <c r="E713" s="111"/>
    </row>
    <row r="714" spans="2:5">
      <c r="B714" s="486"/>
      <c r="C714" s="487"/>
      <c r="D714" s="486"/>
      <c r="E714" s="111"/>
    </row>
    <row r="715" spans="2:5">
      <c r="B715" s="486"/>
      <c r="C715" s="487"/>
      <c r="D715" s="486"/>
      <c r="E715" s="111"/>
    </row>
    <row r="716" spans="2:5">
      <c r="B716" s="486"/>
      <c r="C716" s="487"/>
      <c r="D716" s="486"/>
      <c r="E716" s="111"/>
    </row>
    <row r="717" spans="2:5">
      <c r="B717" s="486"/>
      <c r="C717" s="487"/>
      <c r="D717" s="486"/>
      <c r="E717" s="111"/>
    </row>
    <row r="718" spans="2:5">
      <c r="B718" s="486"/>
      <c r="C718" s="487"/>
      <c r="D718" s="486"/>
      <c r="E718" s="111"/>
    </row>
    <row r="719" spans="2:5">
      <c r="B719" s="486"/>
      <c r="C719" s="487"/>
      <c r="D719" s="486"/>
      <c r="E719" s="111"/>
    </row>
    <row r="720" spans="2:5">
      <c r="B720" s="486"/>
      <c r="C720" s="487"/>
      <c r="D720" s="486"/>
      <c r="E720" s="111"/>
    </row>
    <row r="721" spans="2:5">
      <c r="B721" s="486"/>
      <c r="C721" s="487"/>
      <c r="D721" s="486"/>
      <c r="E721" s="111"/>
    </row>
    <row r="722" spans="2:5">
      <c r="B722" s="486"/>
      <c r="C722" s="487"/>
      <c r="D722" s="486"/>
      <c r="E722" s="111"/>
    </row>
    <row r="723" spans="2:5">
      <c r="B723" s="486"/>
      <c r="C723" s="487"/>
      <c r="D723" s="486"/>
      <c r="E723" s="111"/>
    </row>
    <row r="724" spans="2:5">
      <c r="B724" s="486"/>
      <c r="C724" s="487"/>
      <c r="D724" s="486"/>
      <c r="E724" s="111"/>
    </row>
    <row r="725" spans="2:5">
      <c r="B725" s="486"/>
      <c r="C725" s="487"/>
      <c r="D725" s="486"/>
      <c r="E725" s="111"/>
    </row>
    <row r="726" spans="2:5">
      <c r="B726" s="486"/>
      <c r="C726" s="487"/>
      <c r="D726" s="486"/>
      <c r="E726" s="111"/>
    </row>
    <row r="727" spans="2:5">
      <c r="B727" s="486"/>
      <c r="C727" s="487"/>
      <c r="D727" s="486"/>
      <c r="E727" s="111"/>
    </row>
    <row r="728" spans="2:5">
      <c r="B728" s="486"/>
      <c r="C728" s="487"/>
      <c r="D728" s="486"/>
      <c r="E728" s="111"/>
    </row>
    <row r="729" spans="2:5">
      <c r="B729" s="486"/>
      <c r="C729" s="487"/>
      <c r="D729" s="486"/>
      <c r="E729" s="111"/>
    </row>
    <row r="730" spans="2:5">
      <c r="B730" s="486"/>
      <c r="C730" s="487"/>
      <c r="D730" s="486"/>
      <c r="E730" s="111"/>
    </row>
    <row r="731" spans="2:5">
      <c r="B731" s="486"/>
      <c r="C731" s="487"/>
      <c r="D731" s="486"/>
      <c r="E731" s="111"/>
    </row>
    <row r="732" spans="2:5">
      <c r="B732" s="486"/>
      <c r="C732" s="487"/>
      <c r="D732" s="486"/>
      <c r="E732" s="111"/>
    </row>
    <row r="733" spans="2:5">
      <c r="B733" s="486"/>
      <c r="C733" s="487"/>
      <c r="D733" s="486"/>
      <c r="E733" s="111"/>
    </row>
    <row r="734" spans="2:5">
      <c r="B734" s="486"/>
      <c r="C734" s="487"/>
      <c r="D734" s="486"/>
      <c r="E734" s="111"/>
    </row>
    <row r="735" spans="2:5">
      <c r="B735" s="486"/>
      <c r="C735" s="487"/>
      <c r="D735" s="486"/>
      <c r="E735" s="111"/>
    </row>
    <row r="736" spans="2:5">
      <c r="B736" s="486"/>
      <c r="C736" s="487"/>
      <c r="D736" s="486"/>
      <c r="E736" s="111"/>
    </row>
    <row r="737" spans="2:5">
      <c r="B737" s="486"/>
      <c r="C737" s="487"/>
      <c r="D737" s="486"/>
      <c r="E737" s="111"/>
    </row>
    <row r="738" spans="2:5">
      <c r="B738" s="486"/>
      <c r="C738" s="487"/>
      <c r="D738" s="486"/>
      <c r="E738" s="111"/>
    </row>
    <row r="739" spans="2:5">
      <c r="B739" s="486"/>
      <c r="C739" s="487"/>
      <c r="D739" s="486"/>
      <c r="E739" s="111"/>
    </row>
    <row r="740" spans="2:5">
      <c r="B740" s="486"/>
      <c r="C740" s="487"/>
      <c r="D740" s="486"/>
      <c r="E740" s="111"/>
    </row>
    <row r="741" spans="2:5">
      <c r="B741" s="486"/>
      <c r="C741" s="487"/>
      <c r="D741" s="486"/>
      <c r="E741" s="111"/>
    </row>
    <row r="742" spans="2:5">
      <c r="B742" s="486"/>
      <c r="C742" s="487"/>
      <c r="D742" s="486"/>
      <c r="E742" s="111"/>
    </row>
    <row r="743" spans="2:5">
      <c r="B743" s="486"/>
      <c r="C743" s="487"/>
      <c r="D743" s="486"/>
      <c r="E743" s="111"/>
    </row>
    <row r="744" spans="2:5">
      <c r="B744" s="486"/>
      <c r="C744" s="487"/>
      <c r="D744" s="486"/>
      <c r="E744" s="111"/>
    </row>
    <row r="745" spans="2:5">
      <c r="B745" s="486"/>
      <c r="C745" s="487"/>
      <c r="D745" s="486"/>
      <c r="E745" s="111"/>
    </row>
    <row r="746" spans="2:5">
      <c r="B746" s="486"/>
      <c r="C746" s="487"/>
      <c r="D746" s="486"/>
      <c r="E746" s="111"/>
    </row>
    <row r="747" spans="2:5">
      <c r="B747" s="486"/>
      <c r="C747" s="487"/>
      <c r="D747" s="486"/>
      <c r="E747" s="111"/>
    </row>
    <row r="748" spans="2:5">
      <c r="B748" s="486"/>
      <c r="C748" s="487"/>
      <c r="D748" s="486"/>
      <c r="E748" s="111"/>
    </row>
    <row r="749" spans="2:5">
      <c r="B749" s="486"/>
      <c r="C749" s="487"/>
      <c r="D749" s="486"/>
      <c r="E749" s="111"/>
    </row>
    <row r="750" spans="2:5">
      <c r="B750" s="486"/>
      <c r="C750" s="487"/>
      <c r="D750" s="486"/>
      <c r="E750" s="111"/>
    </row>
    <row r="751" spans="2:5">
      <c r="B751" s="486"/>
      <c r="C751" s="487"/>
      <c r="D751" s="486"/>
      <c r="E751" s="111"/>
    </row>
    <row r="752" spans="2:5">
      <c r="B752" s="486"/>
      <c r="C752" s="487"/>
      <c r="D752" s="486"/>
      <c r="E752" s="111"/>
    </row>
    <row r="753" spans="2:5">
      <c r="B753" s="486"/>
      <c r="C753" s="487"/>
      <c r="D753" s="486"/>
      <c r="E753" s="111"/>
    </row>
    <row r="754" spans="2:5">
      <c r="B754" s="486"/>
      <c r="C754" s="487"/>
      <c r="D754" s="486"/>
      <c r="E754" s="111"/>
    </row>
    <row r="755" spans="2:5">
      <c r="B755" s="486"/>
      <c r="C755" s="487"/>
      <c r="D755" s="486"/>
      <c r="E755" s="111"/>
    </row>
    <row r="756" spans="2:5">
      <c r="B756" s="486"/>
      <c r="C756" s="487"/>
      <c r="D756" s="486"/>
      <c r="E756" s="111"/>
    </row>
    <row r="757" spans="2:5">
      <c r="B757" s="486"/>
      <c r="C757" s="487"/>
      <c r="D757" s="486"/>
      <c r="E757" s="111"/>
    </row>
    <row r="758" spans="2:5">
      <c r="B758" s="486"/>
      <c r="C758" s="487"/>
      <c r="D758" s="486"/>
      <c r="E758" s="111"/>
    </row>
    <row r="759" spans="2:5">
      <c r="B759" s="486"/>
      <c r="C759" s="487"/>
      <c r="D759" s="486"/>
      <c r="E759" s="111"/>
    </row>
    <row r="760" spans="2:5">
      <c r="B760" s="486"/>
      <c r="C760" s="487"/>
      <c r="D760" s="486"/>
      <c r="E760" s="111"/>
    </row>
    <row r="761" spans="2:5">
      <c r="B761" s="486"/>
      <c r="C761" s="487"/>
      <c r="D761" s="486"/>
      <c r="E761" s="111"/>
    </row>
    <row r="762" spans="2:5">
      <c r="B762" s="486"/>
      <c r="C762" s="487"/>
      <c r="D762" s="486"/>
      <c r="E762" s="111"/>
    </row>
    <row r="763" spans="2:5">
      <c r="B763" s="486"/>
      <c r="C763" s="487"/>
      <c r="D763" s="486"/>
      <c r="E763" s="111"/>
    </row>
    <row r="764" spans="2:5">
      <c r="B764" s="486"/>
      <c r="C764" s="487"/>
      <c r="D764" s="486"/>
      <c r="E764" s="111"/>
    </row>
    <row r="765" spans="2:5">
      <c r="B765" s="486"/>
      <c r="C765" s="487"/>
      <c r="D765" s="486"/>
      <c r="E765" s="111"/>
    </row>
    <row r="766" spans="2:5">
      <c r="B766" s="486"/>
      <c r="C766" s="487"/>
      <c r="D766" s="486"/>
      <c r="E766" s="111"/>
    </row>
    <row r="767" spans="2:5">
      <c r="B767" s="486"/>
      <c r="C767" s="487"/>
      <c r="D767" s="486"/>
      <c r="E767" s="111"/>
    </row>
    <row r="768" spans="2:5">
      <c r="B768" s="486"/>
      <c r="C768" s="487"/>
      <c r="D768" s="486"/>
      <c r="E768" s="111"/>
    </row>
    <row r="769" spans="2:5">
      <c r="B769" s="486"/>
      <c r="C769" s="487"/>
      <c r="D769" s="486"/>
      <c r="E769" s="111"/>
    </row>
    <row r="770" spans="2:5">
      <c r="B770" s="486"/>
      <c r="C770" s="487"/>
      <c r="D770" s="486"/>
      <c r="E770" s="111"/>
    </row>
    <row r="771" spans="2:5">
      <c r="B771" s="486"/>
      <c r="C771" s="487"/>
      <c r="D771" s="486"/>
      <c r="E771" s="111"/>
    </row>
    <row r="772" spans="2:5">
      <c r="B772" s="486"/>
      <c r="C772" s="487"/>
      <c r="D772" s="486"/>
      <c r="E772" s="111"/>
    </row>
    <row r="773" spans="2:5">
      <c r="B773" s="486"/>
      <c r="C773" s="487"/>
      <c r="D773" s="486"/>
      <c r="E773" s="111"/>
    </row>
    <row r="774" spans="2:5">
      <c r="B774" s="486"/>
      <c r="C774" s="487"/>
      <c r="D774" s="486"/>
      <c r="E774" s="111"/>
    </row>
    <row r="775" spans="2:5">
      <c r="B775" s="486"/>
      <c r="C775" s="487"/>
      <c r="D775" s="486"/>
      <c r="E775" s="111"/>
    </row>
    <row r="776" spans="2:5">
      <c r="B776" s="486"/>
      <c r="C776" s="487"/>
      <c r="D776" s="486"/>
      <c r="E776" s="111"/>
    </row>
    <row r="777" spans="2:5">
      <c r="B777" s="486"/>
      <c r="C777" s="487"/>
      <c r="D777" s="486"/>
      <c r="E777" s="111"/>
    </row>
    <row r="778" spans="2:5">
      <c r="B778" s="486"/>
      <c r="C778" s="487"/>
      <c r="D778" s="486"/>
      <c r="E778" s="111"/>
    </row>
    <row r="779" spans="2:5">
      <c r="B779" s="486"/>
      <c r="C779" s="487"/>
      <c r="D779" s="486"/>
      <c r="E779" s="111"/>
    </row>
    <row r="780" spans="2:5">
      <c r="B780" s="486"/>
      <c r="C780" s="487"/>
      <c r="D780" s="486"/>
      <c r="E780" s="111"/>
    </row>
    <row r="781" spans="2:5">
      <c r="B781" s="486"/>
      <c r="C781" s="487"/>
      <c r="D781" s="486"/>
      <c r="E781" s="111"/>
    </row>
    <row r="782" spans="2:5">
      <c r="B782" s="486"/>
      <c r="C782" s="487"/>
      <c r="D782" s="486"/>
      <c r="E782" s="111"/>
    </row>
    <row r="783" spans="2:5">
      <c r="B783" s="486"/>
      <c r="C783" s="487"/>
      <c r="D783" s="486"/>
      <c r="E783" s="111"/>
    </row>
    <row r="784" spans="2:5">
      <c r="B784" s="486"/>
      <c r="C784" s="487"/>
      <c r="D784" s="486"/>
      <c r="E784" s="111"/>
    </row>
    <row r="785" spans="2:5">
      <c r="B785" s="486"/>
      <c r="C785" s="487"/>
      <c r="D785" s="486"/>
      <c r="E785" s="111"/>
    </row>
    <row r="786" spans="2:5">
      <c r="B786" s="486"/>
      <c r="C786" s="487"/>
      <c r="D786" s="486"/>
      <c r="E786" s="111"/>
    </row>
    <row r="787" spans="2:5">
      <c r="B787" s="486"/>
      <c r="C787" s="487"/>
      <c r="D787" s="486"/>
      <c r="E787" s="111"/>
    </row>
    <row r="788" spans="2:5">
      <c r="B788" s="486"/>
      <c r="C788" s="487"/>
      <c r="D788" s="486"/>
      <c r="E788" s="111"/>
    </row>
    <row r="789" spans="2:5">
      <c r="B789" s="486"/>
      <c r="C789" s="487"/>
      <c r="D789" s="486"/>
      <c r="E789" s="111"/>
    </row>
    <row r="790" spans="2:5">
      <c r="B790" s="486"/>
      <c r="C790" s="487"/>
      <c r="D790" s="486"/>
      <c r="E790" s="111"/>
    </row>
    <row r="791" spans="2:5">
      <c r="B791" s="486"/>
      <c r="C791" s="487"/>
      <c r="D791" s="486"/>
      <c r="E791" s="111"/>
    </row>
    <row r="792" spans="2:5">
      <c r="B792" s="486"/>
      <c r="C792" s="487"/>
      <c r="D792" s="486"/>
      <c r="E792" s="111"/>
    </row>
    <row r="793" spans="2:5">
      <c r="B793" s="486"/>
      <c r="C793" s="487"/>
      <c r="D793" s="486"/>
      <c r="E793" s="111"/>
    </row>
    <row r="794" spans="2:5">
      <c r="B794" s="486"/>
      <c r="C794" s="487"/>
      <c r="D794" s="486"/>
      <c r="E794" s="69"/>
    </row>
    <row r="795" spans="2:5">
      <c r="B795" s="486"/>
      <c r="C795" s="487"/>
      <c r="D795" s="486"/>
      <c r="E795" s="69"/>
    </row>
    <row r="796" spans="2:5">
      <c r="B796" s="486"/>
      <c r="C796" s="487"/>
      <c r="D796" s="486"/>
      <c r="E796" s="69"/>
    </row>
    <row r="797" spans="2:5">
      <c r="B797" s="486"/>
      <c r="C797" s="487"/>
      <c r="D797" s="486"/>
      <c r="E797" s="69"/>
    </row>
    <row r="798" spans="2:5">
      <c r="B798" s="486"/>
      <c r="C798" s="487"/>
      <c r="D798" s="486"/>
      <c r="E798" s="69"/>
    </row>
    <row r="799" spans="2:5">
      <c r="B799" s="486"/>
      <c r="C799" s="487"/>
      <c r="D799" s="486"/>
      <c r="E799" s="69"/>
    </row>
    <row r="800" spans="2:5">
      <c r="B800" s="486"/>
      <c r="C800" s="487"/>
      <c r="D800" s="486"/>
      <c r="E800" s="69"/>
    </row>
    <row r="801" spans="2:5">
      <c r="B801" s="486"/>
      <c r="C801" s="487"/>
      <c r="D801" s="486"/>
      <c r="E801" s="69"/>
    </row>
    <row r="802" spans="2:5">
      <c r="B802" s="486"/>
      <c r="C802" s="487"/>
      <c r="D802" s="486"/>
      <c r="E802" s="69"/>
    </row>
    <row r="803" spans="2:5">
      <c r="B803" s="486"/>
      <c r="C803" s="487"/>
      <c r="D803" s="486"/>
      <c r="E803" s="69"/>
    </row>
    <row r="804" spans="2:5">
      <c r="B804" s="486"/>
      <c r="C804" s="487"/>
      <c r="D804" s="486"/>
      <c r="E804" s="69"/>
    </row>
    <row r="805" spans="2:5">
      <c r="B805" s="486"/>
      <c r="C805" s="487"/>
      <c r="D805" s="486"/>
      <c r="E805" s="69"/>
    </row>
    <row r="806" spans="2:5">
      <c r="B806" s="486"/>
      <c r="C806" s="487"/>
      <c r="D806" s="486"/>
      <c r="E806" s="69"/>
    </row>
    <row r="807" spans="2:5">
      <c r="B807" s="486"/>
      <c r="C807" s="487"/>
      <c r="D807" s="486"/>
      <c r="E807" s="69"/>
    </row>
    <row r="808" spans="2:5">
      <c r="B808" s="486"/>
      <c r="C808" s="487"/>
      <c r="D808" s="486"/>
      <c r="E808" s="69"/>
    </row>
    <row r="809" spans="2:5">
      <c r="B809" s="486"/>
      <c r="C809" s="487"/>
      <c r="D809" s="486"/>
      <c r="E809" s="69"/>
    </row>
    <row r="810" spans="2:5">
      <c r="B810" s="486"/>
      <c r="C810" s="487"/>
      <c r="D810" s="486"/>
      <c r="E810" s="69"/>
    </row>
    <row r="811" spans="2:5">
      <c r="B811" s="486"/>
      <c r="C811" s="487"/>
      <c r="D811" s="486"/>
      <c r="E811" s="69"/>
    </row>
    <row r="812" spans="2:5">
      <c r="B812" s="486"/>
      <c r="C812" s="487"/>
      <c r="D812" s="486"/>
      <c r="E812" s="69"/>
    </row>
    <row r="813" spans="2:5">
      <c r="B813" s="486"/>
      <c r="C813" s="487"/>
      <c r="D813" s="486"/>
      <c r="E813" s="69"/>
    </row>
    <row r="814" spans="2:5">
      <c r="B814" s="486"/>
      <c r="C814" s="487"/>
      <c r="D814" s="486"/>
      <c r="E814" s="69"/>
    </row>
    <row r="815" spans="2:5">
      <c r="B815" s="486"/>
      <c r="C815" s="487"/>
      <c r="D815" s="486"/>
      <c r="E815" s="69"/>
    </row>
    <row r="816" spans="2:5">
      <c r="B816" s="486"/>
      <c r="C816" s="487"/>
      <c r="D816" s="486"/>
      <c r="E816" s="69"/>
    </row>
    <row r="817" spans="2:5">
      <c r="B817" s="486"/>
      <c r="C817" s="487"/>
      <c r="D817" s="486"/>
      <c r="E817" s="69"/>
    </row>
    <row r="818" spans="2:5">
      <c r="B818" s="486"/>
      <c r="C818" s="487"/>
      <c r="D818" s="486"/>
      <c r="E818" s="69"/>
    </row>
    <row r="819" spans="2:5">
      <c r="B819" s="486"/>
      <c r="C819" s="487"/>
      <c r="D819" s="486"/>
      <c r="E819" s="69"/>
    </row>
    <row r="820" spans="2:5">
      <c r="B820" s="486"/>
      <c r="C820" s="487"/>
      <c r="D820" s="486"/>
      <c r="E820" s="69"/>
    </row>
    <row r="821" spans="2:5">
      <c r="B821" s="486"/>
      <c r="C821" s="487"/>
      <c r="D821" s="486"/>
      <c r="E821" s="69"/>
    </row>
    <row r="822" spans="2:5">
      <c r="B822" s="486"/>
      <c r="C822" s="487"/>
      <c r="D822" s="486"/>
      <c r="E822" s="69"/>
    </row>
    <row r="823" spans="2:5">
      <c r="B823" s="486"/>
      <c r="C823" s="487"/>
      <c r="D823" s="486"/>
      <c r="E823" s="69"/>
    </row>
    <row r="824" spans="2:5">
      <c r="B824" s="486"/>
      <c r="C824" s="487"/>
      <c r="D824" s="486"/>
      <c r="E824" s="69"/>
    </row>
    <row r="825" spans="2:5">
      <c r="B825" s="486"/>
      <c r="C825" s="487"/>
      <c r="D825" s="486"/>
      <c r="E825" s="69"/>
    </row>
    <row r="826" spans="2:5">
      <c r="B826" s="486"/>
      <c r="C826" s="487"/>
      <c r="D826" s="486"/>
      <c r="E826" s="69"/>
    </row>
    <row r="827" spans="2:5">
      <c r="B827" s="486"/>
      <c r="C827" s="487"/>
      <c r="D827" s="486"/>
      <c r="E827" s="69"/>
    </row>
    <row r="828" spans="2:5">
      <c r="B828" s="486"/>
      <c r="C828" s="487"/>
      <c r="D828" s="486"/>
      <c r="E828" s="69"/>
    </row>
    <row r="829" spans="2:5">
      <c r="B829" s="486"/>
      <c r="C829" s="487"/>
      <c r="D829" s="486"/>
      <c r="E829" s="69"/>
    </row>
    <row r="830" spans="2:5">
      <c r="B830" s="486"/>
      <c r="C830" s="487"/>
      <c r="D830" s="486"/>
      <c r="E830" s="69"/>
    </row>
    <row r="831" spans="2:5">
      <c r="B831" s="486"/>
      <c r="C831" s="487"/>
      <c r="D831" s="486"/>
      <c r="E831" s="69"/>
    </row>
    <row r="832" spans="2:5">
      <c r="B832" s="486"/>
      <c r="C832" s="487"/>
      <c r="D832" s="486"/>
      <c r="E832" s="69"/>
    </row>
    <row r="833" spans="2:5">
      <c r="B833" s="486"/>
      <c r="C833" s="487"/>
      <c r="D833" s="486"/>
      <c r="E833" s="69"/>
    </row>
    <row r="834" spans="2:5">
      <c r="B834" s="486"/>
      <c r="C834" s="487"/>
      <c r="D834" s="486"/>
      <c r="E834" s="69"/>
    </row>
    <row r="835" spans="2:5">
      <c r="B835" s="486"/>
      <c r="C835" s="487"/>
      <c r="D835" s="486"/>
      <c r="E835" s="69"/>
    </row>
    <row r="836" spans="2:5">
      <c r="B836" s="486"/>
      <c r="C836" s="487"/>
      <c r="D836" s="486"/>
      <c r="E836" s="69"/>
    </row>
    <row r="837" spans="2:5">
      <c r="B837" s="486"/>
      <c r="C837" s="487"/>
      <c r="D837" s="486"/>
      <c r="E837" s="69"/>
    </row>
    <row r="838" spans="2:5">
      <c r="B838" s="486"/>
      <c r="C838" s="487"/>
      <c r="D838" s="486"/>
      <c r="E838" s="69"/>
    </row>
    <row r="839" spans="2:5">
      <c r="B839" s="486"/>
      <c r="C839" s="487"/>
      <c r="D839" s="486"/>
      <c r="E839" s="69"/>
    </row>
    <row r="840" spans="2:5">
      <c r="B840" s="486"/>
      <c r="C840" s="487"/>
      <c r="D840" s="486"/>
      <c r="E840" s="69"/>
    </row>
    <row r="841" spans="2:5">
      <c r="B841" s="486"/>
      <c r="C841" s="487"/>
      <c r="D841" s="486"/>
      <c r="E841" s="69"/>
    </row>
    <row r="842" spans="2:5">
      <c r="B842" s="486"/>
      <c r="C842" s="487"/>
      <c r="D842" s="486"/>
      <c r="E842" s="69"/>
    </row>
    <row r="843" spans="2:5">
      <c r="B843" s="486"/>
      <c r="C843" s="487"/>
      <c r="D843" s="486"/>
      <c r="E843" s="69"/>
    </row>
    <row r="844" spans="2:5">
      <c r="B844" s="486"/>
      <c r="C844" s="487"/>
      <c r="D844" s="486"/>
      <c r="E844" s="69"/>
    </row>
    <row r="845" spans="2:5">
      <c r="B845" s="486"/>
      <c r="C845" s="487"/>
      <c r="D845" s="486"/>
      <c r="E845" s="69"/>
    </row>
    <row r="846" spans="2:5">
      <c r="B846" s="486"/>
      <c r="C846" s="487"/>
      <c r="D846" s="486"/>
      <c r="E846" s="69"/>
    </row>
    <row r="847" spans="2:5">
      <c r="B847" s="486"/>
      <c r="C847" s="487"/>
      <c r="D847" s="486"/>
      <c r="E847" s="69"/>
    </row>
    <row r="848" spans="2:5">
      <c r="B848" s="486"/>
      <c r="C848" s="487"/>
      <c r="D848" s="486"/>
      <c r="E848" s="69"/>
    </row>
    <row r="849" spans="2:5">
      <c r="B849" s="486"/>
      <c r="C849" s="487"/>
      <c r="D849" s="486"/>
      <c r="E849" s="69"/>
    </row>
    <row r="850" spans="2:5">
      <c r="B850" s="486"/>
      <c r="C850" s="487"/>
      <c r="D850" s="486"/>
      <c r="E850" s="69"/>
    </row>
    <row r="851" spans="2:5">
      <c r="B851" s="486"/>
      <c r="C851" s="487"/>
      <c r="D851" s="486"/>
      <c r="E851" s="69"/>
    </row>
    <row r="852" spans="2:5">
      <c r="B852" s="486"/>
      <c r="C852" s="487"/>
      <c r="D852" s="486"/>
      <c r="E852" s="69"/>
    </row>
    <row r="853" spans="2:5">
      <c r="B853" s="486"/>
      <c r="C853" s="487"/>
      <c r="D853" s="486"/>
      <c r="E853" s="69"/>
    </row>
    <row r="854" spans="2:5">
      <c r="B854" s="486"/>
      <c r="C854" s="487"/>
      <c r="D854" s="486"/>
      <c r="E854" s="69"/>
    </row>
    <row r="855" spans="2:5">
      <c r="B855" s="486"/>
      <c r="C855" s="487"/>
      <c r="D855" s="486"/>
      <c r="E855" s="69"/>
    </row>
    <row r="856" spans="2:5">
      <c r="B856" s="486"/>
      <c r="C856" s="487"/>
      <c r="D856" s="486"/>
      <c r="E856" s="69"/>
    </row>
    <row r="857" spans="2:5">
      <c r="B857" s="486"/>
      <c r="C857" s="487"/>
      <c r="D857" s="486"/>
      <c r="E857" s="69"/>
    </row>
    <row r="858" spans="2:5">
      <c r="B858" s="486"/>
      <c r="C858" s="487"/>
      <c r="D858" s="486"/>
      <c r="E858" s="69"/>
    </row>
    <row r="859" spans="2:5">
      <c r="B859" s="486"/>
      <c r="C859" s="487"/>
      <c r="D859" s="486"/>
      <c r="E859" s="69"/>
    </row>
    <row r="860" spans="2:5">
      <c r="B860" s="486"/>
      <c r="C860" s="487"/>
      <c r="D860" s="486"/>
      <c r="E860" s="69"/>
    </row>
    <row r="861" spans="2:5">
      <c r="B861" s="486"/>
      <c r="C861" s="487"/>
      <c r="D861" s="486"/>
      <c r="E861" s="69"/>
    </row>
    <row r="862" spans="2:5">
      <c r="B862" s="486"/>
      <c r="C862" s="487"/>
      <c r="D862" s="486"/>
      <c r="E862" s="69"/>
    </row>
    <row r="863" spans="2:5">
      <c r="B863" s="486"/>
      <c r="C863" s="487"/>
      <c r="D863" s="486"/>
      <c r="E863" s="69"/>
    </row>
    <row r="864" spans="2:5">
      <c r="B864" s="486"/>
      <c r="C864" s="487"/>
      <c r="D864" s="486"/>
      <c r="E864" s="69"/>
    </row>
    <row r="865" spans="2:5">
      <c r="B865" s="486"/>
      <c r="C865" s="487"/>
      <c r="D865" s="486"/>
      <c r="E865" s="69"/>
    </row>
    <row r="866" spans="2:5">
      <c r="B866" s="486"/>
      <c r="C866" s="487"/>
      <c r="D866" s="486"/>
      <c r="E866" s="69"/>
    </row>
    <row r="867" spans="2:5">
      <c r="B867" s="486"/>
      <c r="C867" s="487"/>
      <c r="D867" s="486"/>
      <c r="E867" s="69"/>
    </row>
    <row r="868" spans="2:5">
      <c r="B868" s="486"/>
      <c r="C868" s="487"/>
      <c r="D868" s="486"/>
      <c r="E868" s="69"/>
    </row>
    <row r="869" spans="2:5">
      <c r="B869" s="486"/>
      <c r="C869" s="487"/>
      <c r="D869" s="486"/>
      <c r="E869" s="69"/>
    </row>
    <row r="870" spans="2:5">
      <c r="B870" s="486"/>
      <c r="C870" s="487"/>
      <c r="D870" s="486"/>
      <c r="E870" s="69"/>
    </row>
    <row r="871" spans="2:5">
      <c r="B871" s="486"/>
      <c r="C871" s="487"/>
      <c r="D871" s="486"/>
      <c r="E871" s="69"/>
    </row>
    <row r="872" spans="2:5">
      <c r="B872" s="486"/>
      <c r="C872" s="487"/>
      <c r="D872" s="486"/>
      <c r="E872" s="69"/>
    </row>
    <row r="873" spans="2:5">
      <c r="B873" s="486"/>
      <c r="C873" s="487"/>
      <c r="D873" s="486"/>
      <c r="E873" s="69"/>
    </row>
    <row r="874" spans="2:5">
      <c r="B874" s="486"/>
      <c r="C874" s="487"/>
      <c r="D874" s="486"/>
      <c r="E874" s="69"/>
    </row>
    <row r="875" spans="2:5">
      <c r="B875" s="486"/>
      <c r="C875" s="487"/>
      <c r="D875" s="486"/>
      <c r="E875" s="69"/>
    </row>
    <row r="876" spans="2:5">
      <c r="B876" s="486"/>
      <c r="C876" s="487"/>
      <c r="D876" s="486"/>
      <c r="E876" s="69"/>
    </row>
    <row r="877" spans="2:5">
      <c r="B877" s="486"/>
      <c r="C877" s="487"/>
      <c r="D877" s="486"/>
      <c r="E877" s="69"/>
    </row>
    <row r="878" spans="2:5">
      <c r="B878" s="486"/>
      <c r="C878" s="487"/>
      <c r="D878" s="486"/>
      <c r="E878" s="69"/>
    </row>
    <row r="879" spans="2:5">
      <c r="B879" s="486"/>
      <c r="C879" s="487"/>
      <c r="D879" s="486"/>
      <c r="E879" s="69"/>
    </row>
    <row r="880" spans="2:5">
      <c r="B880" s="486"/>
      <c r="C880" s="487"/>
      <c r="D880" s="486"/>
      <c r="E880" s="69"/>
    </row>
    <row r="881" spans="2:5">
      <c r="B881" s="486"/>
      <c r="C881" s="487"/>
      <c r="D881" s="486"/>
      <c r="E881" s="69"/>
    </row>
    <row r="882" spans="2:5">
      <c r="B882" s="486"/>
      <c r="C882" s="487"/>
      <c r="D882" s="486"/>
      <c r="E882" s="69"/>
    </row>
    <row r="883" spans="2:5">
      <c r="B883" s="486"/>
      <c r="C883" s="487"/>
      <c r="D883" s="486"/>
      <c r="E883" s="69"/>
    </row>
    <row r="884" spans="2:5">
      <c r="B884" s="486"/>
      <c r="C884" s="487"/>
      <c r="D884" s="486"/>
      <c r="E884" s="69"/>
    </row>
    <row r="885" spans="2:5">
      <c r="B885" s="486"/>
      <c r="C885" s="487"/>
      <c r="D885" s="486"/>
      <c r="E885" s="69"/>
    </row>
    <row r="886" spans="2:5">
      <c r="B886" s="486"/>
      <c r="C886" s="487"/>
      <c r="D886" s="486"/>
      <c r="E886" s="69"/>
    </row>
    <row r="887" spans="2:5">
      <c r="B887" s="486"/>
      <c r="C887" s="487"/>
      <c r="D887" s="486"/>
      <c r="E887" s="69"/>
    </row>
    <row r="888" spans="2:5">
      <c r="B888" s="486"/>
      <c r="C888" s="487"/>
      <c r="D888" s="486"/>
      <c r="E888" s="69"/>
    </row>
    <row r="889" spans="2:5">
      <c r="B889" s="486"/>
      <c r="C889" s="487"/>
      <c r="D889" s="486"/>
      <c r="E889" s="69"/>
    </row>
    <row r="890" spans="2:5">
      <c r="B890" s="486"/>
      <c r="C890" s="487"/>
      <c r="D890" s="486"/>
      <c r="E890" s="69"/>
    </row>
    <row r="891" spans="2:5">
      <c r="B891" s="486"/>
      <c r="C891" s="487"/>
      <c r="D891" s="486"/>
      <c r="E891" s="69"/>
    </row>
    <row r="892" spans="2:5">
      <c r="B892" s="486"/>
      <c r="C892" s="487"/>
      <c r="D892" s="486"/>
      <c r="E892" s="69"/>
    </row>
    <row r="893" spans="2:5">
      <c r="B893" s="486"/>
      <c r="C893" s="487"/>
      <c r="D893" s="486"/>
      <c r="E893" s="69"/>
    </row>
    <row r="894" spans="2:5">
      <c r="B894" s="486"/>
      <c r="C894" s="487"/>
      <c r="D894" s="486"/>
      <c r="E894" s="69"/>
    </row>
    <row r="895" spans="2:5">
      <c r="B895" s="486"/>
      <c r="C895" s="487"/>
      <c r="D895" s="486"/>
      <c r="E895" s="69"/>
    </row>
    <row r="896" spans="2:5">
      <c r="B896" s="486"/>
      <c r="C896" s="487"/>
      <c r="D896" s="486"/>
      <c r="E896" s="69"/>
    </row>
    <row r="897" spans="2:5">
      <c r="B897" s="486"/>
      <c r="C897" s="487"/>
      <c r="D897" s="486"/>
      <c r="E897" s="69"/>
    </row>
    <row r="898" spans="2:5">
      <c r="B898" s="486"/>
      <c r="C898" s="487"/>
      <c r="D898" s="486"/>
      <c r="E898" s="69"/>
    </row>
    <row r="899" spans="2:5">
      <c r="B899" s="486"/>
      <c r="C899" s="487"/>
      <c r="D899" s="486"/>
      <c r="E899" s="69"/>
    </row>
    <row r="900" spans="2:5">
      <c r="B900" s="486"/>
      <c r="C900" s="487"/>
      <c r="D900" s="486"/>
      <c r="E900" s="69"/>
    </row>
    <row r="901" spans="2:5">
      <c r="B901" s="486"/>
      <c r="C901" s="487"/>
      <c r="D901" s="486"/>
      <c r="E901" s="69"/>
    </row>
    <row r="902" spans="2:5">
      <c r="B902" s="486"/>
      <c r="C902" s="487"/>
      <c r="D902" s="486"/>
      <c r="E902" s="69"/>
    </row>
    <row r="903" spans="2:5">
      <c r="B903" s="486"/>
      <c r="C903" s="487"/>
      <c r="D903" s="486"/>
      <c r="E903" s="69"/>
    </row>
    <row r="904" spans="2:5">
      <c r="B904" s="486"/>
      <c r="C904" s="487"/>
      <c r="D904" s="486"/>
      <c r="E904" s="69"/>
    </row>
    <row r="905" spans="2:5">
      <c r="B905" s="486"/>
      <c r="C905" s="487"/>
      <c r="D905" s="486"/>
      <c r="E905" s="69"/>
    </row>
    <row r="906" spans="2:5">
      <c r="B906" s="486"/>
      <c r="C906" s="487"/>
      <c r="D906" s="486"/>
      <c r="E906" s="69"/>
    </row>
    <row r="907" spans="2:5">
      <c r="B907" s="486"/>
      <c r="C907" s="487"/>
      <c r="D907" s="486"/>
      <c r="E907" s="69"/>
    </row>
    <row r="908" spans="2:5">
      <c r="B908" s="486"/>
      <c r="C908" s="487"/>
      <c r="D908" s="486"/>
      <c r="E908" s="69"/>
    </row>
    <row r="909" spans="2:5">
      <c r="B909" s="486"/>
      <c r="C909" s="487"/>
      <c r="D909" s="486"/>
      <c r="E909" s="69"/>
    </row>
    <row r="910" spans="2:5">
      <c r="B910" s="486"/>
      <c r="C910" s="487"/>
      <c r="D910" s="486"/>
      <c r="E910" s="69"/>
    </row>
    <row r="911" spans="2:5">
      <c r="B911" s="486"/>
      <c r="C911" s="487"/>
      <c r="D911" s="486"/>
      <c r="E911" s="69"/>
    </row>
    <row r="912" spans="2:5">
      <c r="B912" s="486"/>
      <c r="C912" s="487"/>
      <c r="D912" s="486"/>
      <c r="E912" s="69"/>
    </row>
    <row r="913" spans="2:5">
      <c r="B913" s="486"/>
      <c r="C913" s="487"/>
      <c r="D913" s="486"/>
      <c r="E913" s="69"/>
    </row>
    <row r="914" spans="2:5">
      <c r="B914" s="486"/>
      <c r="C914" s="487"/>
      <c r="D914" s="486"/>
      <c r="E914" s="69"/>
    </row>
    <row r="915" spans="2:5">
      <c r="B915" s="486"/>
      <c r="C915" s="487"/>
      <c r="D915" s="486"/>
      <c r="E915" s="69"/>
    </row>
    <row r="916" spans="2:5">
      <c r="B916" s="486"/>
      <c r="C916" s="487"/>
      <c r="D916" s="486"/>
      <c r="E916" s="69"/>
    </row>
    <row r="917" spans="2:5">
      <c r="B917" s="486"/>
      <c r="C917" s="487"/>
      <c r="D917" s="486"/>
      <c r="E917" s="69"/>
    </row>
    <row r="918" spans="2:5">
      <c r="B918" s="486"/>
      <c r="C918" s="487"/>
      <c r="D918" s="486"/>
      <c r="E918" s="69"/>
    </row>
    <row r="919" spans="2:5">
      <c r="B919" s="486"/>
      <c r="C919" s="487"/>
      <c r="D919" s="486"/>
      <c r="E919" s="69"/>
    </row>
    <row r="920" spans="2:5">
      <c r="B920" s="486"/>
      <c r="C920" s="487"/>
      <c r="D920" s="486"/>
      <c r="E920" s="69"/>
    </row>
    <row r="921" spans="2:5">
      <c r="B921" s="486"/>
      <c r="C921" s="487"/>
      <c r="D921" s="486"/>
      <c r="E921" s="69"/>
    </row>
    <row r="922" spans="2:5">
      <c r="B922" s="486"/>
      <c r="C922" s="487"/>
      <c r="D922" s="486"/>
      <c r="E922" s="69"/>
    </row>
    <row r="923" spans="2:5">
      <c r="B923" s="486"/>
      <c r="C923" s="487"/>
      <c r="D923" s="486"/>
      <c r="E923" s="69"/>
    </row>
    <row r="924" spans="2:5">
      <c r="B924" s="486"/>
      <c r="C924" s="487"/>
      <c r="D924" s="486"/>
      <c r="E924" s="69"/>
    </row>
    <row r="925" spans="2:5">
      <c r="B925" s="486"/>
      <c r="C925" s="487"/>
      <c r="D925" s="486"/>
      <c r="E925" s="69"/>
    </row>
    <row r="926" spans="2:5">
      <c r="B926" s="486"/>
      <c r="C926" s="487"/>
      <c r="D926" s="486"/>
      <c r="E926" s="69"/>
    </row>
    <row r="927" spans="2:5">
      <c r="B927" s="486"/>
      <c r="C927" s="487"/>
      <c r="D927" s="486"/>
      <c r="E927" s="69"/>
    </row>
    <row r="928" spans="2:5">
      <c r="B928" s="486"/>
      <c r="C928" s="487"/>
      <c r="D928" s="486"/>
      <c r="E928" s="69"/>
    </row>
    <row r="929" spans="2:5">
      <c r="B929" s="486"/>
      <c r="C929" s="487"/>
      <c r="D929" s="486"/>
      <c r="E929" s="69"/>
    </row>
    <row r="930" spans="2:5">
      <c r="B930" s="486"/>
      <c r="C930" s="487"/>
      <c r="D930" s="486"/>
      <c r="E930" s="69"/>
    </row>
    <row r="931" spans="2:5">
      <c r="B931" s="486"/>
      <c r="C931" s="487"/>
      <c r="D931" s="486"/>
      <c r="E931" s="69"/>
    </row>
    <row r="932" spans="2:5">
      <c r="B932" s="486"/>
      <c r="C932" s="487"/>
      <c r="D932" s="486"/>
      <c r="E932" s="69"/>
    </row>
    <row r="933" spans="2:5">
      <c r="B933" s="486"/>
      <c r="C933" s="487"/>
      <c r="D933" s="486"/>
      <c r="E933" s="69"/>
    </row>
    <row r="934" spans="2:5">
      <c r="B934" s="486"/>
      <c r="C934" s="487"/>
      <c r="D934" s="486"/>
      <c r="E934" s="69"/>
    </row>
    <row r="935" spans="2:5">
      <c r="B935" s="486"/>
      <c r="C935" s="487"/>
      <c r="D935" s="486"/>
      <c r="E935" s="69"/>
    </row>
    <row r="936" spans="2:5">
      <c r="B936" s="486"/>
      <c r="C936" s="487"/>
      <c r="D936" s="486"/>
      <c r="E936" s="69"/>
    </row>
    <row r="937" spans="2:5">
      <c r="B937" s="486"/>
      <c r="C937" s="487"/>
      <c r="D937" s="486"/>
      <c r="E937" s="69"/>
    </row>
    <row r="938" spans="2:5">
      <c r="B938" s="486"/>
      <c r="C938" s="487"/>
      <c r="D938" s="486"/>
      <c r="E938" s="69"/>
    </row>
    <row r="939" spans="2:5">
      <c r="B939" s="486"/>
      <c r="C939" s="487"/>
      <c r="D939" s="486"/>
      <c r="E939" s="69"/>
    </row>
    <row r="940" spans="2:5">
      <c r="B940" s="486"/>
      <c r="C940" s="487"/>
      <c r="D940" s="486"/>
      <c r="E940" s="69"/>
    </row>
    <row r="941" spans="2:5">
      <c r="B941" s="486"/>
      <c r="C941" s="487"/>
      <c r="D941" s="486"/>
      <c r="E941" s="69"/>
    </row>
    <row r="942" spans="2:5">
      <c r="B942" s="486"/>
      <c r="C942" s="487"/>
      <c r="D942" s="486"/>
      <c r="E942" s="69"/>
    </row>
    <row r="943" spans="2:5">
      <c r="B943" s="486"/>
      <c r="C943" s="487"/>
      <c r="D943" s="486"/>
      <c r="E943" s="69"/>
    </row>
    <row r="944" spans="2:5">
      <c r="B944" s="486"/>
      <c r="C944" s="487"/>
      <c r="D944" s="486"/>
      <c r="E944" s="69"/>
    </row>
    <row r="945" spans="2:5">
      <c r="B945" s="486"/>
      <c r="C945" s="487"/>
      <c r="D945" s="486"/>
      <c r="E945" s="69"/>
    </row>
    <row r="946" spans="2:5">
      <c r="B946" s="486"/>
      <c r="C946" s="487"/>
      <c r="D946" s="486"/>
      <c r="E946" s="69"/>
    </row>
    <row r="947" spans="2:5">
      <c r="B947" s="486"/>
      <c r="C947" s="487"/>
      <c r="D947" s="486"/>
      <c r="E947" s="69"/>
    </row>
    <row r="948" spans="2:5">
      <c r="B948" s="486"/>
      <c r="C948" s="487"/>
      <c r="D948" s="486"/>
      <c r="E948" s="69"/>
    </row>
    <row r="949" spans="2:5">
      <c r="B949" s="486"/>
      <c r="C949" s="487"/>
      <c r="D949" s="486"/>
      <c r="E949" s="69"/>
    </row>
    <row r="950" spans="2:5">
      <c r="B950" s="486"/>
      <c r="C950" s="487"/>
      <c r="D950" s="486"/>
      <c r="E950" s="69"/>
    </row>
    <row r="951" spans="2:5">
      <c r="B951" s="486"/>
      <c r="C951" s="487"/>
      <c r="D951" s="486"/>
      <c r="E951" s="69"/>
    </row>
    <row r="952" spans="2:5">
      <c r="B952" s="486"/>
      <c r="C952" s="487"/>
      <c r="D952" s="486"/>
      <c r="E952" s="69"/>
    </row>
    <row r="953" spans="2:5">
      <c r="B953" s="486"/>
      <c r="C953" s="487"/>
      <c r="D953" s="486"/>
      <c r="E953" s="69"/>
    </row>
    <row r="954" spans="2:5">
      <c r="B954" s="486"/>
      <c r="C954" s="487"/>
      <c r="D954" s="486"/>
      <c r="E954" s="69"/>
    </row>
    <row r="955" spans="2:5">
      <c r="B955" s="486"/>
      <c r="C955" s="487"/>
      <c r="D955" s="486"/>
      <c r="E955" s="69"/>
    </row>
    <row r="956" spans="2:5">
      <c r="B956" s="486"/>
      <c r="C956" s="487"/>
      <c r="D956" s="486"/>
      <c r="E956" s="69"/>
    </row>
    <row r="957" spans="2:5">
      <c r="B957" s="486"/>
      <c r="C957" s="487"/>
      <c r="D957" s="486"/>
      <c r="E957" s="69"/>
    </row>
    <row r="958" spans="2:5">
      <c r="B958" s="486"/>
      <c r="C958" s="487"/>
      <c r="D958" s="486"/>
      <c r="E958" s="69"/>
    </row>
    <row r="959" spans="2:5">
      <c r="B959" s="486"/>
      <c r="C959" s="487"/>
      <c r="D959" s="486"/>
      <c r="E959" s="69"/>
    </row>
    <row r="960" spans="2:5">
      <c r="B960" s="486"/>
      <c r="C960" s="487"/>
      <c r="D960" s="486"/>
      <c r="E960" s="69"/>
    </row>
    <row r="961" spans="2:5">
      <c r="B961" s="486"/>
      <c r="C961" s="487"/>
      <c r="D961" s="486"/>
      <c r="E961" s="69"/>
    </row>
    <row r="962" spans="2:5">
      <c r="B962" s="486"/>
      <c r="C962" s="487"/>
      <c r="D962" s="486"/>
      <c r="E962" s="69"/>
    </row>
    <row r="963" spans="2:5">
      <c r="B963" s="486"/>
      <c r="C963" s="487"/>
      <c r="D963" s="486"/>
      <c r="E963" s="69"/>
    </row>
    <row r="964" spans="2:5">
      <c r="B964" s="486"/>
      <c r="C964" s="487"/>
      <c r="D964" s="486"/>
      <c r="E964" s="69"/>
    </row>
    <row r="965" spans="2:5">
      <c r="B965" s="486"/>
      <c r="C965" s="487"/>
      <c r="D965" s="486"/>
      <c r="E965" s="69"/>
    </row>
    <row r="966" spans="2:5">
      <c r="B966" s="486"/>
      <c r="C966" s="487"/>
      <c r="D966" s="486"/>
      <c r="E966" s="69"/>
    </row>
    <row r="967" spans="2:5">
      <c r="B967" s="486"/>
      <c r="C967" s="487"/>
      <c r="D967" s="486"/>
      <c r="E967" s="69"/>
    </row>
    <row r="968" spans="2:5">
      <c r="B968" s="486"/>
      <c r="C968" s="487"/>
      <c r="D968" s="486"/>
      <c r="E968" s="69"/>
    </row>
    <row r="969" spans="2:5">
      <c r="B969" s="486"/>
      <c r="C969" s="487"/>
      <c r="D969" s="486"/>
      <c r="E969" s="69"/>
    </row>
    <row r="970" spans="2:5">
      <c r="B970" s="486"/>
      <c r="C970" s="487"/>
      <c r="D970" s="486"/>
      <c r="E970" s="69"/>
    </row>
    <row r="971" spans="2:5">
      <c r="B971" s="486"/>
      <c r="C971" s="487"/>
      <c r="D971" s="486"/>
      <c r="E971" s="69"/>
    </row>
    <row r="972" spans="2:5">
      <c r="B972" s="486"/>
      <c r="C972" s="487"/>
      <c r="D972" s="486"/>
      <c r="E972" s="69"/>
    </row>
    <row r="973" spans="2:5">
      <c r="B973" s="486"/>
      <c r="C973" s="487"/>
      <c r="D973" s="486"/>
      <c r="E973" s="69"/>
    </row>
    <row r="974" spans="2:5">
      <c r="B974" s="486"/>
      <c r="C974" s="487"/>
      <c r="D974" s="486"/>
      <c r="E974" s="69"/>
    </row>
    <row r="975" spans="2:5">
      <c r="B975" s="486"/>
      <c r="C975" s="487"/>
      <c r="D975" s="486"/>
      <c r="E975" s="69"/>
    </row>
    <row r="976" spans="2:5">
      <c r="B976" s="486"/>
      <c r="C976" s="487"/>
      <c r="D976" s="486"/>
      <c r="E976" s="69"/>
    </row>
    <row r="977" spans="2:5">
      <c r="B977" s="486"/>
      <c r="C977" s="487"/>
      <c r="D977" s="486"/>
      <c r="E977" s="69"/>
    </row>
    <row r="978" spans="2:5">
      <c r="B978" s="486"/>
      <c r="C978" s="487"/>
      <c r="D978" s="486"/>
      <c r="E978" s="69"/>
    </row>
    <row r="979" spans="2:5">
      <c r="B979" s="486"/>
      <c r="C979" s="487"/>
      <c r="D979" s="486"/>
      <c r="E979" s="69"/>
    </row>
    <row r="980" spans="2:5">
      <c r="B980" s="486"/>
      <c r="C980" s="487"/>
      <c r="D980" s="486"/>
      <c r="E980" s="69"/>
    </row>
    <row r="981" spans="2:5">
      <c r="B981" s="486"/>
      <c r="C981" s="487"/>
      <c r="D981" s="486"/>
      <c r="E981" s="69"/>
    </row>
    <row r="982" spans="2:5">
      <c r="B982" s="486"/>
      <c r="C982" s="487"/>
      <c r="D982" s="486"/>
      <c r="E982" s="69"/>
    </row>
    <row r="983" spans="2:5">
      <c r="B983" s="486"/>
      <c r="C983" s="487"/>
      <c r="D983" s="486"/>
      <c r="E983" s="69"/>
    </row>
    <row r="984" spans="2:5">
      <c r="B984" s="486"/>
      <c r="C984" s="487"/>
      <c r="D984" s="486"/>
      <c r="E984" s="69"/>
    </row>
    <row r="985" spans="2:5">
      <c r="B985" s="486"/>
      <c r="C985" s="487"/>
      <c r="D985" s="486"/>
      <c r="E985" s="69"/>
    </row>
    <row r="986" spans="2:5">
      <c r="B986" s="486"/>
      <c r="C986" s="487"/>
      <c r="D986" s="486"/>
      <c r="E986" s="69"/>
    </row>
    <row r="987" spans="2:5">
      <c r="B987" s="486"/>
      <c r="C987" s="487"/>
      <c r="D987" s="486"/>
      <c r="E987" s="69"/>
    </row>
    <row r="988" spans="2:5">
      <c r="B988" s="486"/>
      <c r="C988" s="487"/>
      <c r="D988" s="486"/>
      <c r="E988" s="69"/>
    </row>
    <row r="989" spans="2:5">
      <c r="B989" s="486"/>
      <c r="C989" s="487"/>
      <c r="D989" s="486"/>
      <c r="E989" s="69"/>
    </row>
    <row r="990" spans="2:5">
      <c r="B990" s="486"/>
      <c r="C990" s="487"/>
      <c r="D990" s="486"/>
      <c r="E990" s="69"/>
    </row>
    <row r="991" spans="2:5">
      <c r="B991" s="486"/>
      <c r="C991" s="487"/>
      <c r="D991" s="486"/>
      <c r="E991" s="69"/>
    </row>
    <row r="992" spans="2:5">
      <c r="B992" s="486"/>
      <c r="C992" s="487"/>
      <c r="D992" s="486"/>
      <c r="E992" s="69"/>
    </row>
    <row r="993" spans="2:5">
      <c r="B993" s="486"/>
      <c r="C993" s="487"/>
      <c r="D993" s="486"/>
      <c r="E993" s="69"/>
    </row>
    <row r="994" spans="2:5">
      <c r="B994" s="486"/>
      <c r="C994" s="487"/>
      <c r="D994" s="486"/>
      <c r="E994" s="69"/>
    </row>
    <row r="995" spans="2:5">
      <c r="B995" s="486"/>
      <c r="C995" s="487"/>
      <c r="D995" s="486"/>
      <c r="E995" s="69"/>
    </row>
    <row r="996" spans="2:5">
      <c r="B996" s="486"/>
      <c r="C996" s="487"/>
      <c r="D996" s="486"/>
      <c r="E996" s="69"/>
    </row>
    <row r="997" spans="2:5">
      <c r="B997" s="486"/>
      <c r="C997" s="487"/>
      <c r="D997" s="486"/>
      <c r="E997" s="69"/>
    </row>
    <row r="998" spans="2:5">
      <c r="B998" s="486"/>
      <c r="C998" s="487"/>
      <c r="D998" s="486"/>
      <c r="E998" s="69"/>
    </row>
    <row r="999" spans="2:5">
      <c r="B999" s="486"/>
      <c r="C999" s="487"/>
      <c r="D999" s="486"/>
      <c r="E999" s="69"/>
    </row>
    <row r="1000" spans="2:5">
      <c r="B1000" s="486"/>
      <c r="C1000" s="487"/>
      <c r="D1000" s="486"/>
      <c r="E1000" s="69"/>
    </row>
    <row r="1001" spans="2:5">
      <c r="B1001" s="486"/>
      <c r="C1001" s="487"/>
      <c r="D1001" s="486"/>
      <c r="E1001" s="69"/>
    </row>
    <row r="1002" spans="2:5">
      <c r="B1002" s="486"/>
      <c r="C1002" s="487"/>
      <c r="D1002" s="486"/>
      <c r="E1002" s="69"/>
    </row>
    <row r="1003" spans="2:5">
      <c r="B1003" s="486"/>
      <c r="C1003" s="487"/>
      <c r="D1003" s="486"/>
      <c r="E1003" s="69"/>
    </row>
    <row r="1004" spans="2:5">
      <c r="B1004" s="486"/>
      <c r="C1004" s="487"/>
      <c r="D1004" s="486"/>
      <c r="E1004" s="69"/>
    </row>
    <row r="1005" spans="2:5">
      <c r="B1005" s="486"/>
      <c r="C1005" s="487"/>
      <c r="D1005" s="486"/>
      <c r="E1005" s="69"/>
    </row>
    <row r="1006" spans="2:5">
      <c r="B1006" s="486"/>
      <c r="C1006" s="487"/>
      <c r="D1006" s="486"/>
      <c r="E1006" s="69"/>
    </row>
    <row r="1007" spans="2:5">
      <c r="B1007" s="486"/>
      <c r="C1007" s="487"/>
      <c r="D1007" s="486"/>
      <c r="E1007" s="69"/>
    </row>
    <row r="1008" spans="2:5">
      <c r="B1008" s="486"/>
      <c r="C1008" s="487"/>
      <c r="D1008" s="486"/>
      <c r="E1008" s="69"/>
    </row>
    <row r="1009" spans="2:5">
      <c r="B1009" s="486"/>
      <c r="C1009" s="487"/>
      <c r="D1009" s="486"/>
      <c r="E1009" s="69"/>
    </row>
    <row r="1010" spans="2:5">
      <c r="B1010" s="486"/>
      <c r="C1010" s="487"/>
      <c r="D1010" s="486"/>
      <c r="E1010" s="69"/>
    </row>
    <row r="1011" spans="2:5">
      <c r="B1011" s="486"/>
      <c r="C1011" s="487"/>
      <c r="D1011" s="486"/>
      <c r="E1011" s="69"/>
    </row>
    <row r="1012" spans="2:5">
      <c r="B1012" s="486"/>
      <c r="C1012" s="487"/>
      <c r="D1012" s="486"/>
      <c r="E1012" s="69"/>
    </row>
    <row r="1013" spans="2:5">
      <c r="B1013" s="486"/>
      <c r="C1013" s="487"/>
      <c r="D1013" s="486"/>
      <c r="E1013" s="69"/>
    </row>
    <row r="1014" spans="2:5">
      <c r="B1014" s="486"/>
      <c r="C1014" s="487"/>
      <c r="D1014" s="486"/>
      <c r="E1014" s="69"/>
    </row>
    <row r="1015" spans="2:5">
      <c r="B1015" s="486"/>
      <c r="C1015" s="487"/>
      <c r="D1015" s="486"/>
      <c r="E1015" s="69"/>
    </row>
    <row r="1016" spans="2:5">
      <c r="B1016" s="486"/>
      <c r="C1016" s="487"/>
      <c r="D1016" s="486"/>
      <c r="E1016" s="69"/>
    </row>
    <row r="1017" spans="2:5">
      <c r="B1017" s="486"/>
      <c r="C1017" s="487"/>
      <c r="D1017" s="486"/>
      <c r="E1017" s="69"/>
    </row>
    <row r="1018" spans="2:5">
      <c r="B1018" s="486"/>
      <c r="C1018" s="487"/>
      <c r="D1018" s="486"/>
      <c r="E1018" s="69"/>
    </row>
    <row r="1019" spans="2:5">
      <c r="B1019" s="486"/>
      <c r="C1019" s="487"/>
      <c r="D1019" s="486"/>
      <c r="E1019" s="69"/>
    </row>
    <row r="1020" spans="2:5">
      <c r="B1020" s="486"/>
      <c r="C1020" s="487"/>
      <c r="D1020" s="486"/>
      <c r="E1020" s="69"/>
    </row>
    <row r="1021" spans="2:5">
      <c r="B1021" s="486"/>
      <c r="C1021" s="487"/>
      <c r="D1021" s="486"/>
      <c r="E1021" s="69"/>
    </row>
    <row r="1022" spans="2:5">
      <c r="B1022" s="486"/>
      <c r="C1022" s="487"/>
      <c r="D1022" s="486"/>
      <c r="E1022" s="69"/>
    </row>
    <row r="1023" spans="2:5">
      <c r="B1023" s="486"/>
      <c r="C1023" s="487"/>
      <c r="D1023" s="486"/>
      <c r="E1023" s="69"/>
    </row>
    <row r="1024" spans="2:5">
      <c r="B1024" s="486"/>
      <c r="C1024" s="487"/>
      <c r="D1024" s="486"/>
      <c r="E1024" s="69"/>
    </row>
    <row r="1025" spans="2:5">
      <c r="B1025" s="486"/>
      <c r="C1025" s="487"/>
      <c r="D1025" s="486"/>
      <c r="E1025" s="69"/>
    </row>
    <row r="1026" spans="2:5">
      <c r="B1026" s="486"/>
      <c r="C1026" s="487"/>
      <c r="D1026" s="486"/>
      <c r="E1026" s="69"/>
    </row>
    <row r="1027" spans="2:5">
      <c r="B1027" s="486"/>
      <c r="C1027" s="487"/>
      <c r="D1027" s="486"/>
      <c r="E1027" s="69"/>
    </row>
    <row r="1028" spans="2:5">
      <c r="B1028" s="486"/>
      <c r="C1028" s="487"/>
      <c r="D1028" s="486"/>
      <c r="E1028" s="69"/>
    </row>
    <row r="1029" spans="2:5">
      <c r="B1029" s="486"/>
      <c r="C1029" s="487"/>
      <c r="D1029" s="486"/>
      <c r="E1029" s="69"/>
    </row>
    <row r="1030" spans="2:5">
      <c r="B1030" s="486"/>
      <c r="C1030" s="487"/>
      <c r="D1030" s="486"/>
      <c r="E1030" s="69"/>
    </row>
    <row r="1031" spans="2:5">
      <c r="B1031" s="486"/>
      <c r="C1031" s="487"/>
      <c r="D1031" s="486"/>
      <c r="E1031" s="69"/>
    </row>
    <row r="1032" spans="2:5">
      <c r="B1032" s="486"/>
      <c r="C1032" s="487"/>
      <c r="D1032" s="486"/>
      <c r="E1032" s="69"/>
    </row>
    <row r="1033" spans="2:5">
      <c r="B1033" s="486"/>
      <c r="C1033" s="487"/>
      <c r="D1033" s="486"/>
      <c r="E1033" s="69"/>
    </row>
    <row r="1034" spans="2:5">
      <c r="B1034" s="486"/>
      <c r="C1034" s="487"/>
      <c r="D1034" s="486"/>
      <c r="E1034" s="69"/>
    </row>
    <row r="1035" spans="2:5">
      <c r="B1035" s="486"/>
      <c r="C1035" s="487"/>
      <c r="D1035" s="486"/>
      <c r="E1035" s="69"/>
    </row>
    <row r="1036" spans="2:5">
      <c r="B1036" s="486"/>
      <c r="C1036" s="487"/>
      <c r="D1036" s="486"/>
      <c r="E1036" s="69"/>
    </row>
    <row r="1037" spans="2:5">
      <c r="B1037" s="486"/>
      <c r="C1037" s="487"/>
      <c r="D1037" s="486"/>
      <c r="E1037" s="69"/>
    </row>
    <row r="1038" spans="2:5">
      <c r="B1038" s="486"/>
      <c r="C1038" s="487"/>
      <c r="D1038" s="486"/>
      <c r="E1038" s="69"/>
    </row>
    <row r="1039" spans="2:5">
      <c r="B1039" s="486"/>
      <c r="C1039" s="487"/>
      <c r="D1039" s="486"/>
      <c r="E1039" s="69"/>
    </row>
    <row r="1040" spans="2:5">
      <c r="B1040" s="486"/>
      <c r="C1040" s="487"/>
      <c r="D1040" s="486"/>
      <c r="E1040" s="69"/>
    </row>
    <row r="1041" spans="2:5">
      <c r="B1041" s="486"/>
      <c r="C1041" s="487"/>
      <c r="D1041" s="486"/>
      <c r="E1041" s="69"/>
    </row>
    <row r="1042" spans="2:5">
      <c r="B1042" s="486"/>
      <c r="C1042" s="487"/>
      <c r="D1042" s="486"/>
      <c r="E1042" s="69"/>
    </row>
    <row r="1043" spans="2:5">
      <c r="B1043" s="486"/>
      <c r="C1043" s="487"/>
      <c r="D1043" s="486"/>
      <c r="E1043" s="69"/>
    </row>
    <row r="1044" spans="2:5">
      <c r="B1044" s="486"/>
      <c r="C1044" s="487"/>
      <c r="D1044" s="486"/>
      <c r="E1044" s="69"/>
    </row>
    <row r="1045" spans="2:5">
      <c r="B1045" s="486"/>
      <c r="C1045" s="487"/>
      <c r="D1045" s="486"/>
      <c r="E1045" s="69"/>
    </row>
    <row r="1046" spans="2:5">
      <c r="B1046" s="486"/>
      <c r="C1046" s="487"/>
      <c r="D1046" s="486"/>
      <c r="E1046" s="69"/>
    </row>
    <row r="1047" spans="2:5">
      <c r="B1047" s="486"/>
      <c r="C1047" s="487"/>
      <c r="D1047" s="486"/>
      <c r="E1047" s="69"/>
    </row>
    <row r="1048" spans="2:5">
      <c r="B1048" s="486"/>
      <c r="C1048" s="487"/>
      <c r="D1048" s="486"/>
      <c r="E1048" s="69"/>
    </row>
    <row r="1049" spans="2:5">
      <c r="B1049" s="486"/>
      <c r="C1049" s="487"/>
      <c r="D1049" s="486"/>
      <c r="E1049" s="69"/>
    </row>
    <row r="1050" spans="2:5">
      <c r="B1050" s="486"/>
      <c r="C1050" s="487"/>
      <c r="D1050" s="486"/>
      <c r="E1050" s="69"/>
    </row>
    <row r="1051" spans="2:5">
      <c r="B1051" s="486"/>
      <c r="C1051" s="487"/>
      <c r="D1051" s="486"/>
      <c r="E1051" s="69"/>
    </row>
    <row r="1052" spans="2:5">
      <c r="B1052" s="486"/>
      <c r="C1052" s="487"/>
      <c r="D1052" s="486"/>
      <c r="E1052" s="69"/>
    </row>
    <row r="1053" spans="2:5">
      <c r="B1053" s="486"/>
      <c r="C1053" s="487"/>
      <c r="D1053" s="486"/>
      <c r="E1053" s="69"/>
    </row>
    <row r="1054" spans="2:5">
      <c r="B1054" s="486"/>
      <c r="C1054" s="487"/>
      <c r="D1054" s="486"/>
      <c r="E1054" s="69"/>
    </row>
    <row r="1055" spans="2:5">
      <c r="B1055" s="486"/>
      <c r="C1055" s="487"/>
      <c r="D1055" s="486"/>
      <c r="E1055" s="69"/>
    </row>
    <row r="1056" spans="2:5">
      <c r="B1056" s="486"/>
      <c r="C1056" s="487"/>
      <c r="D1056" s="486"/>
      <c r="E1056" s="69"/>
    </row>
    <row r="1057" spans="2:5">
      <c r="B1057" s="486"/>
      <c r="C1057" s="487"/>
      <c r="D1057" s="486"/>
      <c r="E1057" s="69"/>
    </row>
    <row r="1058" spans="2:5">
      <c r="B1058" s="486"/>
      <c r="C1058" s="487"/>
      <c r="D1058" s="486"/>
      <c r="E1058" s="69"/>
    </row>
    <row r="1059" spans="2:5">
      <c r="B1059" s="486"/>
      <c r="C1059" s="487"/>
      <c r="D1059" s="486"/>
      <c r="E1059" s="69"/>
    </row>
    <row r="1060" spans="2:5">
      <c r="B1060" s="486"/>
      <c r="C1060" s="487"/>
      <c r="D1060" s="486"/>
      <c r="E1060" s="69"/>
    </row>
    <row r="1061" spans="2:5">
      <c r="B1061" s="486"/>
      <c r="C1061" s="487"/>
      <c r="D1061" s="486"/>
      <c r="E1061" s="69"/>
    </row>
    <row r="1062" spans="2:5">
      <c r="B1062" s="486"/>
      <c r="C1062" s="487"/>
      <c r="D1062" s="486"/>
      <c r="E1062" s="69"/>
    </row>
    <row r="1063" spans="2:5">
      <c r="B1063" s="486"/>
      <c r="C1063" s="487"/>
      <c r="D1063" s="486"/>
      <c r="E1063" s="69"/>
    </row>
    <row r="1064" spans="2:5">
      <c r="B1064" s="486"/>
      <c r="C1064" s="487"/>
      <c r="D1064" s="486"/>
      <c r="E1064" s="69"/>
    </row>
    <row r="1065" spans="2:5">
      <c r="B1065" s="486"/>
      <c r="C1065" s="487"/>
      <c r="D1065" s="486"/>
      <c r="E1065" s="69"/>
    </row>
    <row r="1066" spans="2:5">
      <c r="B1066" s="486"/>
      <c r="C1066" s="487"/>
      <c r="D1066" s="486"/>
      <c r="E1066" s="69"/>
    </row>
    <row r="1067" spans="2:5">
      <c r="B1067" s="486"/>
      <c r="C1067" s="487"/>
      <c r="D1067" s="486"/>
      <c r="E1067" s="69"/>
    </row>
    <row r="1068" spans="2:5">
      <c r="B1068" s="486"/>
      <c r="C1068" s="487"/>
      <c r="D1068" s="486"/>
      <c r="E1068" s="69"/>
    </row>
    <row r="1069" spans="2:5">
      <c r="B1069" s="486"/>
      <c r="C1069" s="487"/>
      <c r="D1069" s="486"/>
      <c r="E1069" s="69"/>
    </row>
    <row r="1070" spans="2:5">
      <c r="B1070" s="486"/>
      <c r="C1070" s="487"/>
      <c r="D1070" s="486"/>
      <c r="E1070" s="69"/>
    </row>
    <row r="1071" spans="2:5">
      <c r="B1071" s="486"/>
      <c r="C1071" s="487"/>
      <c r="D1071" s="486"/>
      <c r="E1071" s="69"/>
    </row>
    <row r="1072" spans="2:5">
      <c r="B1072" s="486"/>
      <c r="C1072" s="487"/>
      <c r="D1072" s="486"/>
      <c r="E1072" s="69"/>
    </row>
    <row r="1073" spans="2:5">
      <c r="B1073" s="486"/>
      <c r="C1073" s="487"/>
      <c r="D1073" s="486"/>
      <c r="E1073" s="69"/>
    </row>
    <row r="1074" spans="2:5">
      <c r="B1074" s="486"/>
      <c r="C1074" s="487"/>
      <c r="D1074" s="486"/>
      <c r="E1074" s="69"/>
    </row>
    <row r="1075" spans="2:5">
      <c r="B1075" s="486"/>
      <c r="C1075" s="487"/>
      <c r="D1075" s="486"/>
      <c r="E1075" s="69"/>
    </row>
    <row r="1076" spans="2:5">
      <c r="B1076" s="486"/>
      <c r="C1076" s="487"/>
      <c r="D1076" s="486"/>
      <c r="E1076" s="69"/>
    </row>
    <row r="1077" spans="2:5">
      <c r="B1077" s="486"/>
      <c r="C1077" s="487"/>
      <c r="D1077" s="486"/>
      <c r="E1077" s="69"/>
    </row>
    <row r="1078" spans="2:5">
      <c r="B1078" s="486"/>
      <c r="C1078" s="487"/>
      <c r="D1078" s="486"/>
      <c r="E1078" s="69"/>
    </row>
    <row r="1079" spans="2:5">
      <c r="B1079" s="486"/>
      <c r="C1079" s="487"/>
      <c r="D1079" s="486"/>
      <c r="E1079" s="69"/>
    </row>
    <row r="1080" spans="2:5">
      <c r="B1080" s="486"/>
      <c r="C1080" s="487"/>
      <c r="D1080" s="486"/>
      <c r="E1080" s="69"/>
    </row>
    <row r="1081" spans="2:5">
      <c r="B1081" s="486"/>
      <c r="C1081" s="487"/>
      <c r="D1081" s="486"/>
      <c r="E1081" s="69"/>
    </row>
    <row r="1082" spans="2:5">
      <c r="B1082" s="486"/>
      <c r="C1082" s="487"/>
      <c r="D1082" s="486"/>
      <c r="E1082" s="69"/>
    </row>
    <row r="1083" spans="2:5">
      <c r="B1083" s="486"/>
      <c r="C1083" s="487"/>
      <c r="D1083" s="486"/>
      <c r="E1083" s="69"/>
    </row>
    <row r="1084" spans="2:5">
      <c r="B1084" s="486"/>
      <c r="C1084" s="487"/>
      <c r="D1084" s="486"/>
      <c r="E1084" s="69"/>
    </row>
    <row r="1085" spans="2:5">
      <c r="B1085" s="486"/>
      <c r="C1085" s="487"/>
      <c r="D1085" s="486"/>
      <c r="E1085" s="69"/>
    </row>
    <row r="1086" spans="2:5">
      <c r="B1086" s="486"/>
      <c r="C1086" s="487"/>
      <c r="D1086" s="486"/>
      <c r="E1086" s="69"/>
    </row>
    <row r="1087" spans="2:5">
      <c r="B1087" s="486"/>
      <c r="C1087" s="487"/>
      <c r="D1087" s="486"/>
      <c r="E1087" s="69"/>
    </row>
    <row r="1088" spans="2:5">
      <c r="B1088" s="486"/>
      <c r="C1088" s="487"/>
      <c r="D1088" s="486"/>
      <c r="E1088" s="69"/>
    </row>
    <row r="1089" spans="2:5">
      <c r="B1089" s="486"/>
      <c r="C1089" s="487"/>
      <c r="D1089" s="486"/>
      <c r="E1089" s="69"/>
    </row>
    <row r="1090" spans="2:5">
      <c r="B1090" s="486"/>
      <c r="C1090" s="487"/>
      <c r="D1090" s="486"/>
      <c r="E1090" s="69"/>
    </row>
    <row r="1091" spans="2:5">
      <c r="B1091" s="486"/>
      <c r="C1091" s="487"/>
      <c r="D1091" s="486"/>
      <c r="E1091" s="69"/>
    </row>
    <row r="1092" spans="2:5">
      <c r="B1092" s="486"/>
      <c r="C1092" s="487"/>
      <c r="D1092" s="486"/>
      <c r="E1092" s="69"/>
    </row>
    <row r="1093" spans="2:5">
      <c r="B1093" s="486"/>
      <c r="C1093" s="487"/>
      <c r="D1093" s="486"/>
      <c r="E1093" s="69"/>
    </row>
    <row r="1094" spans="2:5">
      <c r="B1094" s="486"/>
      <c r="C1094" s="487"/>
      <c r="D1094" s="486"/>
      <c r="E1094" s="69"/>
    </row>
    <row r="1095" spans="2:5">
      <c r="B1095" s="486"/>
      <c r="C1095" s="487"/>
      <c r="D1095" s="486"/>
      <c r="E1095" s="69"/>
    </row>
    <row r="1096" spans="2:5">
      <c r="B1096" s="486"/>
      <c r="C1096" s="487"/>
      <c r="D1096" s="486"/>
      <c r="E1096" s="69"/>
    </row>
    <row r="1097" spans="2:5">
      <c r="B1097" s="486"/>
      <c r="C1097" s="487"/>
      <c r="D1097" s="486"/>
      <c r="E1097" s="69"/>
    </row>
    <row r="1098" spans="2:5">
      <c r="B1098" s="486"/>
      <c r="C1098" s="487"/>
      <c r="D1098" s="486"/>
      <c r="E1098" s="69"/>
    </row>
    <row r="1099" spans="2:5">
      <c r="B1099" s="486"/>
      <c r="C1099" s="487"/>
      <c r="D1099" s="486"/>
      <c r="E1099" s="69"/>
    </row>
    <row r="1100" spans="2:5">
      <c r="B1100" s="486"/>
      <c r="C1100" s="487"/>
      <c r="D1100" s="486"/>
      <c r="E1100" s="69"/>
    </row>
    <row r="1101" spans="2:5">
      <c r="B1101" s="486"/>
      <c r="C1101" s="487"/>
      <c r="D1101" s="486"/>
      <c r="E1101" s="69"/>
    </row>
    <row r="1102" spans="2:5">
      <c r="B1102" s="486"/>
      <c r="C1102" s="487"/>
      <c r="D1102" s="486"/>
      <c r="E1102" s="69"/>
    </row>
    <row r="1103" spans="2:5">
      <c r="B1103" s="486"/>
      <c r="C1103" s="487"/>
      <c r="D1103" s="486"/>
      <c r="E1103" s="69"/>
    </row>
    <row r="1104" spans="2:5">
      <c r="B1104" s="486"/>
      <c r="C1104" s="487"/>
      <c r="D1104" s="486"/>
      <c r="E1104" s="69"/>
    </row>
    <row r="1105" spans="2:5">
      <c r="B1105" s="486"/>
      <c r="C1105" s="487"/>
      <c r="D1105" s="486"/>
      <c r="E1105" s="69"/>
    </row>
    <row r="1106" spans="2:5">
      <c r="B1106" s="486"/>
      <c r="C1106" s="487"/>
      <c r="D1106" s="486"/>
      <c r="E1106" s="69"/>
    </row>
    <row r="1107" spans="2:5">
      <c r="B1107" s="486"/>
      <c r="C1107" s="487"/>
      <c r="D1107" s="486"/>
      <c r="E1107" s="69"/>
    </row>
    <row r="1108" spans="2:5">
      <c r="B1108" s="486"/>
      <c r="C1108" s="487"/>
      <c r="D1108" s="486"/>
      <c r="E1108" s="69"/>
    </row>
    <row r="1109" spans="2:5">
      <c r="B1109" s="486"/>
      <c r="C1109" s="487"/>
      <c r="D1109" s="486"/>
      <c r="E1109" s="69"/>
    </row>
    <row r="1110" spans="2:5">
      <c r="B1110" s="486"/>
      <c r="C1110" s="487"/>
      <c r="D1110" s="486"/>
      <c r="E1110" s="69"/>
    </row>
    <row r="1111" spans="2:5">
      <c r="B1111" s="486"/>
      <c r="C1111" s="487"/>
      <c r="D1111" s="486"/>
      <c r="E1111" s="69"/>
    </row>
    <row r="1112" spans="2:5">
      <c r="B1112" s="486"/>
      <c r="C1112" s="487"/>
      <c r="D1112" s="486"/>
      <c r="E1112" s="69"/>
    </row>
    <row r="1113" spans="2:5">
      <c r="B1113" s="486"/>
      <c r="C1113" s="487"/>
      <c r="D1113" s="486"/>
      <c r="E1113" s="69"/>
    </row>
    <row r="1114" spans="2:5">
      <c r="B1114" s="486"/>
      <c r="C1114" s="487"/>
      <c r="D1114" s="486"/>
      <c r="E1114" s="69"/>
    </row>
    <row r="1115" spans="2:5">
      <c r="B1115" s="486"/>
      <c r="C1115" s="487"/>
      <c r="D1115" s="486"/>
      <c r="E1115" s="69"/>
    </row>
    <row r="1116" spans="2:5">
      <c r="B1116" s="486"/>
      <c r="C1116" s="487"/>
      <c r="D1116" s="486"/>
      <c r="E1116" s="69"/>
    </row>
    <row r="1117" spans="2:5">
      <c r="B1117" s="486"/>
      <c r="C1117" s="487"/>
      <c r="D1117" s="486"/>
      <c r="E1117" s="69"/>
    </row>
    <row r="1118" spans="2:5">
      <c r="B1118" s="486"/>
      <c r="C1118" s="487"/>
      <c r="D1118" s="486"/>
      <c r="E1118" s="69"/>
    </row>
    <row r="1119" spans="2:5">
      <c r="B1119" s="486"/>
      <c r="C1119" s="487"/>
      <c r="D1119" s="486"/>
      <c r="E1119" s="69"/>
    </row>
    <row r="1120" spans="2:5">
      <c r="B1120" s="486"/>
      <c r="C1120" s="487"/>
      <c r="D1120" s="486"/>
      <c r="E1120" s="69"/>
    </row>
    <row r="1121" spans="2:5">
      <c r="B1121" s="486"/>
      <c r="C1121" s="487"/>
      <c r="D1121" s="486"/>
      <c r="E1121" s="69"/>
    </row>
    <row r="1122" spans="2:5">
      <c r="B1122" s="486"/>
      <c r="C1122" s="487"/>
      <c r="D1122" s="486"/>
      <c r="E1122" s="69"/>
    </row>
    <row r="1123" spans="2:5">
      <c r="B1123" s="486"/>
      <c r="C1123" s="487"/>
      <c r="D1123" s="486"/>
      <c r="E1123" s="69"/>
    </row>
    <row r="1124" spans="2:5">
      <c r="B1124" s="486"/>
      <c r="C1124" s="487"/>
      <c r="D1124" s="486"/>
      <c r="E1124" s="69"/>
    </row>
    <row r="1125" spans="2:5">
      <c r="B1125" s="486"/>
      <c r="C1125" s="487"/>
      <c r="D1125" s="486"/>
      <c r="E1125" s="69"/>
    </row>
    <row r="1126" spans="2:5">
      <c r="B1126" s="486"/>
      <c r="C1126" s="487"/>
      <c r="D1126" s="486"/>
      <c r="E1126" s="69"/>
    </row>
    <row r="1127" spans="2:5">
      <c r="B1127" s="486"/>
      <c r="C1127" s="487"/>
      <c r="D1127" s="486"/>
      <c r="E1127" s="69"/>
    </row>
    <row r="1128" spans="2:5">
      <c r="B1128" s="486"/>
      <c r="C1128" s="487"/>
      <c r="D1128" s="486"/>
      <c r="E1128" s="69"/>
    </row>
    <row r="1129" spans="2:5">
      <c r="B1129" s="486"/>
      <c r="C1129" s="487"/>
      <c r="D1129" s="486"/>
      <c r="E1129" s="69"/>
    </row>
    <row r="1130" spans="2:5">
      <c r="B1130" s="486"/>
      <c r="C1130" s="487"/>
      <c r="D1130" s="486"/>
      <c r="E1130" s="69"/>
    </row>
    <row r="1131" spans="2:5">
      <c r="B1131" s="486"/>
      <c r="C1131" s="487"/>
      <c r="D1131" s="486"/>
      <c r="E1131" s="69"/>
    </row>
    <row r="1132" spans="2:5">
      <c r="B1132" s="486"/>
      <c r="C1132" s="487"/>
      <c r="D1132" s="486"/>
      <c r="E1132" s="69"/>
    </row>
    <row r="1133" spans="2:5">
      <c r="B1133" s="486"/>
      <c r="C1133" s="487"/>
      <c r="D1133" s="486"/>
      <c r="E1133" s="69"/>
    </row>
    <row r="1134" spans="2:5">
      <c r="B1134" s="486"/>
      <c r="C1134" s="487"/>
      <c r="D1134" s="486"/>
      <c r="E1134" s="69"/>
    </row>
    <row r="1135" spans="2:5">
      <c r="B1135" s="486"/>
      <c r="C1135" s="487"/>
      <c r="D1135" s="486"/>
      <c r="E1135" s="69"/>
    </row>
    <row r="1136" spans="2:5">
      <c r="B1136" s="486"/>
      <c r="C1136" s="487"/>
      <c r="D1136" s="486"/>
      <c r="E1136" s="69"/>
    </row>
    <row r="1137" spans="2:5">
      <c r="B1137" s="486"/>
      <c r="C1137" s="487"/>
      <c r="D1137" s="486"/>
      <c r="E1137" s="69"/>
    </row>
    <row r="1138" spans="2:5">
      <c r="B1138" s="486"/>
      <c r="C1138" s="487"/>
      <c r="D1138" s="486"/>
      <c r="E1138" s="69"/>
    </row>
    <row r="1139" spans="2:5">
      <c r="B1139" s="486"/>
      <c r="C1139" s="487"/>
      <c r="D1139" s="486"/>
      <c r="E1139" s="69"/>
    </row>
    <row r="1140" spans="2:5">
      <c r="B1140" s="486"/>
      <c r="C1140" s="487"/>
      <c r="D1140" s="486"/>
      <c r="E1140" s="69"/>
    </row>
    <row r="1141" spans="2:5">
      <c r="B1141" s="486"/>
      <c r="C1141" s="487"/>
      <c r="D1141" s="486"/>
      <c r="E1141" s="69"/>
    </row>
    <row r="1142" spans="2:5">
      <c r="B1142" s="486"/>
      <c r="C1142" s="487"/>
      <c r="D1142" s="486"/>
      <c r="E1142" s="69"/>
    </row>
    <row r="1143" spans="2:5">
      <c r="B1143" s="486"/>
      <c r="C1143" s="487"/>
      <c r="D1143" s="486"/>
      <c r="E1143" s="69"/>
    </row>
    <row r="1144" spans="2:5">
      <c r="B1144" s="486"/>
      <c r="C1144" s="487"/>
      <c r="D1144" s="486"/>
      <c r="E1144" s="69"/>
    </row>
    <row r="1145" spans="2:5">
      <c r="B1145" s="486"/>
      <c r="C1145" s="487"/>
      <c r="D1145" s="486"/>
      <c r="E1145" s="69"/>
    </row>
    <row r="1146" spans="2:5">
      <c r="B1146" s="486"/>
      <c r="C1146" s="487"/>
      <c r="D1146" s="486"/>
      <c r="E1146" s="69"/>
    </row>
    <row r="1147" spans="2:5">
      <c r="B1147" s="486"/>
      <c r="C1147" s="487"/>
      <c r="D1147" s="486"/>
      <c r="E1147" s="69"/>
    </row>
    <row r="1148" spans="2:5">
      <c r="B1148" s="486"/>
      <c r="C1148" s="487"/>
      <c r="D1148" s="486"/>
      <c r="E1148" s="69"/>
    </row>
    <row r="1149" spans="2:5">
      <c r="B1149" s="486"/>
      <c r="C1149" s="487"/>
      <c r="D1149" s="486"/>
      <c r="E1149" s="69"/>
    </row>
    <row r="1150" spans="2:5">
      <c r="B1150" s="486"/>
      <c r="C1150" s="487"/>
      <c r="D1150" s="486"/>
      <c r="E1150" s="69"/>
    </row>
    <row r="1151" spans="2:5">
      <c r="B1151" s="486"/>
      <c r="C1151" s="487"/>
      <c r="D1151" s="486"/>
      <c r="E1151" s="69"/>
    </row>
    <row r="1152" spans="2:5">
      <c r="B1152" s="486"/>
      <c r="C1152" s="487"/>
      <c r="D1152" s="486"/>
      <c r="E1152" s="69"/>
    </row>
    <row r="1153" spans="2:5">
      <c r="B1153" s="486"/>
      <c r="C1153" s="487"/>
      <c r="D1153" s="486"/>
      <c r="E1153" s="69"/>
    </row>
    <row r="1154" spans="2:5">
      <c r="B1154" s="486"/>
      <c r="C1154" s="487"/>
      <c r="D1154" s="486"/>
      <c r="E1154" s="69"/>
    </row>
    <row r="1155" spans="2:5">
      <c r="B1155" s="486"/>
      <c r="C1155" s="487"/>
      <c r="D1155" s="486"/>
      <c r="E1155" s="69"/>
    </row>
    <row r="1156" spans="2:5">
      <c r="B1156" s="486"/>
      <c r="C1156" s="487"/>
      <c r="D1156" s="486"/>
      <c r="E1156" s="69"/>
    </row>
    <row r="1157" spans="2:5">
      <c r="B1157" s="486"/>
      <c r="C1157" s="487"/>
      <c r="D1157" s="486"/>
      <c r="E1157" s="69"/>
    </row>
    <row r="1158" spans="2:5">
      <c r="B1158" s="486"/>
      <c r="C1158" s="487"/>
      <c r="D1158" s="486"/>
      <c r="E1158" s="69"/>
    </row>
    <row r="1159" spans="2:5">
      <c r="B1159" s="486"/>
      <c r="C1159" s="487"/>
      <c r="D1159" s="486"/>
      <c r="E1159" s="69"/>
    </row>
    <row r="1160" spans="2:5">
      <c r="B1160" s="486"/>
      <c r="C1160" s="487"/>
      <c r="D1160" s="486"/>
      <c r="E1160" s="69"/>
    </row>
    <row r="1161" spans="2:5">
      <c r="B1161" s="486"/>
      <c r="C1161" s="487"/>
      <c r="D1161" s="486"/>
      <c r="E1161" s="69"/>
    </row>
    <row r="1162" spans="2:5">
      <c r="B1162" s="486"/>
      <c r="C1162" s="487"/>
      <c r="D1162" s="486"/>
      <c r="E1162" s="69"/>
    </row>
    <row r="1163" spans="2:5">
      <c r="B1163" s="486"/>
      <c r="C1163" s="487"/>
      <c r="D1163" s="486"/>
      <c r="E1163" s="69"/>
    </row>
    <row r="1164" spans="2:5">
      <c r="B1164" s="486"/>
      <c r="C1164" s="487"/>
      <c r="D1164" s="486"/>
      <c r="E1164" s="69"/>
    </row>
    <row r="1165" spans="2:5">
      <c r="B1165" s="486"/>
      <c r="C1165" s="487"/>
      <c r="D1165" s="486"/>
      <c r="E1165" s="69"/>
    </row>
    <row r="1166" spans="2:5">
      <c r="B1166" s="486"/>
      <c r="C1166" s="487"/>
      <c r="D1166" s="486"/>
      <c r="E1166" s="69"/>
    </row>
    <row r="1167" spans="2:5">
      <c r="B1167" s="486"/>
      <c r="C1167" s="487"/>
      <c r="D1167" s="486"/>
      <c r="E1167" s="69"/>
    </row>
    <row r="1168" spans="2:5">
      <c r="B1168" s="486"/>
      <c r="C1168" s="487"/>
      <c r="D1168" s="486"/>
      <c r="E1168" s="69"/>
    </row>
    <row r="1169" spans="2:5">
      <c r="B1169" s="486"/>
      <c r="C1169" s="487"/>
      <c r="D1169" s="486"/>
      <c r="E1169" s="69"/>
    </row>
    <row r="1170" spans="2:5">
      <c r="B1170" s="486"/>
      <c r="C1170" s="487"/>
      <c r="D1170" s="486"/>
      <c r="E1170" s="69"/>
    </row>
    <row r="1171" spans="2:5">
      <c r="B1171" s="486"/>
      <c r="C1171" s="487"/>
      <c r="D1171" s="486"/>
      <c r="E1171" s="69"/>
    </row>
    <row r="1172" spans="2:5">
      <c r="B1172" s="486"/>
      <c r="C1172" s="487"/>
      <c r="D1172" s="486"/>
      <c r="E1172" s="69"/>
    </row>
    <row r="1173" spans="2:5">
      <c r="B1173" s="486"/>
      <c r="C1173" s="487"/>
      <c r="D1173" s="486"/>
      <c r="E1173" s="69"/>
    </row>
    <row r="1174" spans="2:5">
      <c r="B1174" s="486"/>
      <c r="C1174" s="487"/>
      <c r="D1174" s="486"/>
      <c r="E1174" s="69"/>
    </row>
    <row r="1175" spans="2:5">
      <c r="B1175" s="486"/>
      <c r="C1175" s="487"/>
      <c r="D1175" s="486"/>
      <c r="E1175" s="69"/>
    </row>
    <row r="1176" spans="2:5">
      <c r="B1176" s="486"/>
      <c r="C1176" s="487"/>
      <c r="D1176" s="486"/>
      <c r="E1176" s="69"/>
    </row>
    <row r="1177" spans="2:5">
      <c r="B1177" s="486"/>
      <c r="C1177" s="487"/>
      <c r="D1177" s="486"/>
      <c r="E1177" s="69"/>
    </row>
    <row r="1178" spans="2:5">
      <c r="B1178" s="486"/>
      <c r="C1178" s="487"/>
      <c r="D1178" s="486"/>
      <c r="E1178" s="69"/>
    </row>
    <row r="1179" spans="2:5">
      <c r="B1179" s="486"/>
      <c r="C1179" s="487"/>
      <c r="D1179" s="486"/>
      <c r="E1179" s="69"/>
    </row>
    <row r="1180" spans="2:5">
      <c r="B1180" s="486"/>
      <c r="C1180" s="487"/>
      <c r="D1180" s="486"/>
      <c r="E1180" s="69"/>
    </row>
    <row r="1181" spans="2:5">
      <c r="B1181" s="486"/>
      <c r="C1181" s="487"/>
      <c r="D1181" s="486"/>
      <c r="E1181" s="69"/>
    </row>
    <row r="1182" spans="2:5">
      <c r="B1182" s="486"/>
      <c r="C1182" s="487"/>
      <c r="D1182" s="486"/>
      <c r="E1182" s="69"/>
    </row>
    <row r="1183" spans="2:5">
      <c r="B1183" s="486"/>
      <c r="C1183" s="487"/>
      <c r="D1183" s="486"/>
      <c r="E1183" s="69"/>
    </row>
    <row r="1184" spans="2:5">
      <c r="B1184" s="486"/>
      <c r="C1184" s="487"/>
      <c r="D1184" s="486"/>
      <c r="E1184" s="69"/>
    </row>
    <row r="1185" spans="2:5">
      <c r="B1185" s="486"/>
      <c r="C1185" s="487"/>
      <c r="D1185" s="486"/>
      <c r="E1185" s="69"/>
    </row>
    <row r="1186" spans="2:5">
      <c r="B1186" s="486"/>
      <c r="C1186" s="487"/>
      <c r="D1186" s="486"/>
      <c r="E1186" s="69"/>
    </row>
    <row r="1187" spans="2:5">
      <c r="B1187" s="486"/>
      <c r="C1187" s="487"/>
      <c r="D1187" s="486"/>
      <c r="E1187" s="69"/>
    </row>
    <row r="1188" spans="2:5">
      <c r="B1188" s="486"/>
      <c r="C1188" s="487"/>
      <c r="D1188" s="486"/>
      <c r="E1188" s="69"/>
    </row>
    <row r="1189" spans="2:5">
      <c r="B1189" s="486"/>
      <c r="C1189" s="487"/>
      <c r="D1189" s="486"/>
      <c r="E1189" s="69"/>
    </row>
    <row r="1190" spans="2:5">
      <c r="B1190" s="486"/>
      <c r="C1190" s="487"/>
      <c r="D1190" s="486"/>
      <c r="E1190" s="69"/>
    </row>
    <row r="1191" spans="2:5">
      <c r="B1191" s="486"/>
      <c r="C1191" s="487"/>
      <c r="D1191" s="486"/>
      <c r="E1191" s="69"/>
    </row>
    <row r="1192" spans="2:5">
      <c r="B1192" s="486"/>
      <c r="C1192" s="487"/>
      <c r="D1192" s="486"/>
      <c r="E1192" s="69"/>
    </row>
    <row r="1193" spans="2:5">
      <c r="B1193" s="486"/>
      <c r="C1193" s="487"/>
      <c r="D1193" s="486"/>
      <c r="E1193" s="69"/>
    </row>
    <row r="1194" spans="2:5">
      <c r="B1194" s="486"/>
      <c r="C1194" s="487"/>
      <c r="D1194" s="486"/>
      <c r="E1194" s="69"/>
    </row>
    <row r="1195" spans="2:5">
      <c r="B1195" s="486"/>
      <c r="C1195" s="487"/>
      <c r="D1195" s="486"/>
      <c r="E1195" s="69"/>
    </row>
    <row r="1196" spans="2:5">
      <c r="B1196" s="486"/>
      <c r="C1196" s="487"/>
      <c r="D1196" s="486"/>
      <c r="E1196" s="69"/>
    </row>
    <row r="1197" spans="2:5">
      <c r="B1197" s="486"/>
      <c r="C1197" s="487"/>
      <c r="D1197" s="486"/>
      <c r="E1197" s="69"/>
    </row>
    <row r="1198" spans="2:5">
      <c r="B1198" s="486"/>
      <c r="C1198" s="487"/>
      <c r="D1198" s="486"/>
      <c r="E1198" s="69"/>
    </row>
    <row r="1199" spans="2:5">
      <c r="B1199" s="486"/>
      <c r="C1199" s="487"/>
      <c r="D1199" s="486"/>
      <c r="E1199" s="69"/>
    </row>
    <row r="1200" spans="2:5">
      <c r="B1200" s="486"/>
      <c r="C1200" s="487"/>
      <c r="D1200" s="486"/>
      <c r="E1200" s="69"/>
    </row>
    <row r="1201" spans="2:5">
      <c r="B1201" s="486"/>
      <c r="C1201" s="487"/>
      <c r="D1201" s="486"/>
      <c r="E1201" s="69"/>
    </row>
    <row r="1202" spans="2:5">
      <c r="B1202" s="486"/>
      <c r="C1202" s="487"/>
      <c r="D1202" s="486"/>
      <c r="E1202" s="69"/>
    </row>
    <row r="1203" spans="2:5">
      <c r="B1203" s="486"/>
      <c r="C1203" s="487"/>
      <c r="D1203" s="486"/>
      <c r="E1203" s="69"/>
    </row>
    <row r="1204" spans="2:5">
      <c r="B1204" s="486"/>
      <c r="C1204" s="487"/>
      <c r="D1204" s="486"/>
      <c r="E1204" s="69"/>
    </row>
    <row r="1205" spans="2:5">
      <c r="B1205" s="486"/>
      <c r="C1205" s="487"/>
      <c r="D1205" s="486"/>
      <c r="E1205" s="69"/>
    </row>
    <row r="1206" spans="2:5">
      <c r="B1206" s="486"/>
      <c r="C1206" s="487"/>
      <c r="D1206" s="486"/>
      <c r="E1206" s="69"/>
    </row>
    <row r="1207" spans="2:5">
      <c r="B1207" s="486"/>
      <c r="C1207" s="487"/>
      <c r="D1207" s="486"/>
      <c r="E1207" s="69"/>
    </row>
    <row r="1208" spans="2:5">
      <c r="B1208" s="486"/>
      <c r="C1208" s="487"/>
      <c r="D1208" s="486"/>
      <c r="E1208" s="69"/>
    </row>
    <row r="1209" spans="2:5">
      <c r="B1209" s="486"/>
      <c r="C1209" s="487"/>
      <c r="D1209" s="486"/>
      <c r="E1209" s="69"/>
    </row>
    <row r="1210" spans="2:5">
      <c r="B1210" s="486"/>
      <c r="C1210" s="487"/>
      <c r="D1210" s="486"/>
      <c r="E1210" s="69"/>
    </row>
    <row r="1211" spans="2:5">
      <c r="B1211" s="486"/>
      <c r="C1211" s="487"/>
      <c r="D1211" s="486"/>
      <c r="E1211" s="69"/>
    </row>
    <row r="1212" spans="2:5">
      <c r="B1212" s="486"/>
      <c r="C1212" s="487"/>
      <c r="D1212" s="486"/>
      <c r="E1212" s="69"/>
    </row>
    <row r="1213" spans="2:5">
      <c r="B1213" s="486"/>
      <c r="C1213" s="487"/>
      <c r="D1213" s="486"/>
      <c r="E1213" s="69"/>
    </row>
    <row r="1214" spans="2:5">
      <c r="B1214" s="486"/>
      <c r="C1214" s="487"/>
      <c r="D1214" s="486"/>
      <c r="E1214" s="69"/>
    </row>
    <row r="1215" spans="2:5">
      <c r="B1215" s="486"/>
      <c r="C1215" s="487"/>
      <c r="D1215" s="486"/>
      <c r="E1215" s="69"/>
    </row>
    <row r="1216" spans="2:5">
      <c r="B1216" s="486"/>
      <c r="C1216" s="487"/>
      <c r="D1216" s="486"/>
      <c r="E1216" s="69"/>
    </row>
    <row r="1217" spans="2:5">
      <c r="B1217" s="486"/>
      <c r="C1217" s="487"/>
      <c r="D1217" s="486"/>
      <c r="E1217" s="69"/>
    </row>
    <row r="1218" spans="2:5">
      <c r="B1218" s="486"/>
      <c r="C1218" s="487"/>
      <c r="D1218" s="486"/>
      <c r="E1218" s="69"/>
    </row>
    <row r="1219" spans="2:5">
      <c r="B1219" s="486"/>
      <c r="C1219" s="487"/>
      <c r="D1219" s="486"/>
      <c r="E1219" s="69"/>
    </row>
    <row r="1220" spans="2:5">
      <c r="B1220" s="486"/>
      <c r="C1220" s="487"/>
      <c r="D1220" s="486"/>
      <c r="E1220" s="69"/>
    </row>
    <row r="1221" spans="2:5">
      <c r="B1221" s="486"/>
      <c r="C1221" s="487"/>
      <c r="D1221" s="486"/>
      <c r="E1221" s="69"/>
    </row>
    <row r="1222" spans="2:5">
      <c r="B1222" s="486"/>
      <c r="C1222" s="487"/>
      <c r="D1222" s="486"/>
      <c r="E1222" s="69"/>
    </row>
    <row r="1223" spans="2:5">
      <c r="B1223" s="486"/>
      <c r="C1223" s="487"/>
      <c r="D1223" s="486"/>
      <c r="E1223" s="69"/>
    </row>
    <row r="1224" spans="2:5">
      <c r="B1224" s="486"/>
      <c r="C1224" s="487"/>
      <c r="D1224" s="486"/>
      <c r="E1224" s="69"/>
    </row>
    <row r="1225" spans="2:5">
      <c r="B1225" s="486"/>
      <c r="C1225" s="487"/>
      <c r="D1225" s="486"/>
      <c r="E1225" s="69"/>
    </row>
    <row r="1226" spans="2:5">
      <c r="B1226" s="486"/>
      <c r="C1226" s="487"/>
      <c r="D1226" s="486"/>
      <c r="E1226" s="69"/>
    </row>
    <row r="1227" spans="2:5">
      <c r="B1227" s="486"/>
      <c r="C1227" s="487"/>
      <c r="D1227" s="486"/>
      <c r="E1227" s="69"/>
    </row>
    <row r="1228" spans="2:5">
      <c r="B1228" s="486"/>
      <c r="C1228" s="487"/>
      <c r="D1228" s="486"/>
      <c r="E1228" s="69"/>
    </row>
    <row r="1229" spans="2:5">
      <c r="B1229" s="486"/>
      <c r="C1229" s="487"/>
      <c r="D1229" s="486"/>
      <c r="E1229" s="69"/>
    </row>
    <row r="1230" spans="2:5">
      <c r="B1230" s="486"/>
      <c r="C1230" s="487"/>
      <c r="D1230" s="486"/>
      <c r="E1230" s="69"/>
    </row>
    <row r="1231" spans="2:5">
      <c r="B1231" s="486"/>
      <c r="C1231" s="487"/>
      <c r="D1231" s="486"/>
      <c r="E1231" s="69"/>
    </row>
    <row r="1232" spans="2:5">
      <c r="B1232" s="486"/>
      <c r="C1232" s="487"/>
      <c r="D1232" s="486"/>
      <c r="E1232" s="69"/>
    </row>
    <row r="1233" spans="2:5">
      <c r="B1233" s="486"/>
      <c r="C1233" s="487"/>
      <c r="D1233" s="486"/>
      <c r="E1233" s="69"/>
    </row>
    <row r="1234" spans="2:5">
      <c r="B1234" s="486"/>
      <c r="C1234" s="487"/>
      <c r="D1234" s="486"/>
      <c r="E1234" s="69"/>
    </row>
    <row r="1235" spans="2:5">
      <c r="B1235" s="486"/>
      <c r="C1235" s="487"/>
      <c r="D1235" s="486"/>
      <c r="E1235" s="69"/>
    </row>
    <row r="1236" spans="2:5">
      <c r="B1236" s="486"/>
      <c r="C1236" s="487"/>
      <c r="D1236" s="486"/>
      <c r="E1236" s="69"/>
    </row>
    <row r="1237" spans="2:5">
      <c r="B1237" s="486"/>
      <c r="C1237" s="487"/>
      <c r="D1237" s="486"/>
      <c r="E1237" s="69"/>
    </row>
    <row r="1238" spans="2:5">
      <c r="B1238" s="486"/>
      <c r="C1238" s="487"/>
      <c r="D1238" s="486"/>
      <c r="E1238" s="69"/>
    </row>
    <row r="1239" spans="2:5">
      <c r="B1239" s="486"/>
      <c r="C1239" s="487"/>
      <c r="D1239" s="486"/>
      <c r="E1239" s="69"/>
    </row>
    <row r="1240" spans="2:5">
      <c r="B1240" s="486"/>
      <c r="C1240" s="487"/>
      <c r="D1240" s="486"/>
      <c r="E1240" s="69"/>
    </row>
    <row r="1241" spans="2:5">
      <c r="B1241" s="486"/>
      <c r="C1241" s="487"/>
      <c r="D1241" s="486"/>
      <c r="E1241" s="69"/>
    </row>
    <row r="1242" spans="2:5">
      <c r="B1242" s="486"/>
      <c r="C1242" s="487"/>
      <c r="D1242" s="486"/>
      <c r="E1242" s="69"/>
    </row>
    <row r="1243" spans="2:5">
      <c r="B1243" s="486"/>
      <c r="C1243" s="487"/>
      <c r="D1243" s="486"/>
      <c r="E1243" s="69"/>
    </row>
    <row r="1244" spans="2:5">
      <c r="B1244" s="486"/>
      <c r="C1244" s="487"/>
      <c r="D1244" s="486"/>
      <c r="E1244" s="69"/>
    </row>
    <row r="1245" spans="2:5">
      <c r="B1245" s="486"/>
      <c r="C1245" s="487"/>
      <c r="D1245" s="486"/>
      <c r="E1245" s="69"/>
    </row>
    <row r="1246" spans="2:5">
      <c r="B1246" s="486"/>
      <c r="C1246" s="487"/>
      <c r="D1246" s="486"/>
      <c r="E1246" s="69"/>
    </row>
    <row r="1247" spans="2:5">
      <c r="B1247" s="486"/>
      <c r="C1247" s="487"/>
      <c r="D1247" s="486"/>
      <c r="E1247" s="69"/>
    </row>
    <row r="1248" spans="2:5">
      <c r="B1248" s="486"/>
      <c r="C1248" s="487"/>
      <c r="D1248" s="486"/>
      <c r="E1248" s="69"/>
    </row>
    <row r="1249" spans="2:5">
      <c r="B1249" s="486"/>
      <c r="C1249" s="487"/>
      <c r="D1249" s="486"/>
      <c r="E1249" s="69"/>
    </row>
    <row r="1250" spans="2:5">
      <c r="B1250" s="486"/>
      <c r="C1250" s="487"/>
      <c r="D1250" s="486"/>
      <c r="E1250" s="69"/>
    </row>
    <row r="1251" spans="2:5">
      <c r="B1251" s="486"/>
      <c r="C1251" s="487"/>
      <c r="D1251" s="486"/>
      <c r="E1251" s="69"/>
    </row>
    <row r="1252" spans="2:5">
      <c r="B1252" s="486"/>
      <c r="C1252" s="487"/>
      <c r="D1252" s="486"/>
      <c r="E1252" s="69"/>
    </row>
    <row r="1253" spans="2:5">
      <c r="B1253" s="486"/>
      <c r="C1253" s="487"/>
      <c r="D1253" s="486"/>
      <c r="E1253" s="69"/>
    </row>
    <row r="1254" spans="2:5">
      <c r="B1254" s="486"/>
      <c r="C1254" s="487"/>
      <c r="D1254" s="486"/>
      <c r="E1254" s="69"/>
    </row>
    <row r="1255" spans="2:5">
      <c r="B1255" s="486"/>
      <c r="C1255" s="487"/>
      <c r="D1255" s="486"/>
      <c r="E1255" s="69"/>
    </row>
    <row r="1256" spans="2:5">
      <c r="B1256" s="486"/>
      <c r="C1256" s="487"/>
      <c r="D1256" s="486"/>
      <c r="E1256" s="69"/>
    </row>
    <row r="1257" spans="2:5">
      <c r="B1257" s="486"/>
      <c r="C1257" s="487"/>
      <c r="D1257" s="486"/>
      <c r="E1257" s="69"/>
    </row>
    <row r="1258" spans="2:5">
      <c r="B1258" s="486"/>
      <c r="C1258" s="487"/>
      <c r="D1258" s="486"/>
      <c r="E1258" s="69"/>
    </row>
    <row r="1259" spans="2:5">
      <c r="B1259" s="486"/>
      <c r="C1259" s="487"/>
      <c r="D1259" s="486"/>
      <c r="E1259" s="69"/>
    </row>
    <row r="1260" spans="2:5">
      <c r="B1260" s="486"/>
      <c r="C1260" s="487"/>
      <c r="D1260" s="486"/>
      <c r="E1260" s="69"/>
    </row>
    <row r="1261" spans="2:5">
      <c r="B1261" s="486"/>
      <c r="C1261" s="487"/>
      <c r="D1261" s="486"/>
      <c r="E1261" s="69"/>
    </row>
    <row r="1262" spans="2:5">
      <c r="B1262" s="486"/>
      <c r="C1262" s="487"/>
      <c r="D1262" s="486"/>
      <c r="E1262" s="69"/>
    </row>
    <row r="1263" spans="2:5">
      <c r="B1263" s="486"/>
      <c r="C1263" s="487"/>
      <c r="D1263" s="486"/>
      <c r="E1263" s="69"/>
    </row>
    <row r="1264" spans="2:5">
      <c r="B1264" s="486"/>
      <c r="C1264" s="487"/>
      <c r="D1264" s="486"/>
      <c r="E1264" s="69"/>
    </row>
    <row r="1265" spans="2:5">
      <c r="B1265" s="486"/>
      <c r="C1265" s="487"/>
      <c r="D1265" s="486"/>
      <c r="E1265" s="69"/>
    </row>
    <row r="1266" spans="2:5">
      <c r="B1266" s="486"/>
      <c r="C1266" s="487"/>
      <c r="D1266" s="486"/>
      <c r="E1266" s="69"/>
    </row>
    <row r="1267" spans="2:5">
      <c r="B1267" s="486"/>
      <c r="C1267" s="487"/>
      <c r="D1267" s="486"/>
      <c r="E1267" s="69"/>
    </row>
    <row r="1268" spans="2:5">
      <c r="B1268" s="486"/>
      <c r="C1268" s="487"/>
      <c r="D1268" s="486"/>
      <c r="E1268" s="69"/>
    </row>
    <row r="1269" spans="2:5">
      <c r="B1269" s="486"/>
      <c r="C1269" s="487"/>
      <c r="D1269" s="486"/>
      <c r="E1269" s="69"/>
    </row>
    <row r="1270" spans="2:5">
      <c r="B1270" s="486"/>
      <c r="C1270" s="487"/>
      <c r="D1270" s="486"/>
      <c r="E1270" s="69"/>
    </row>
    <row r="1271" spans="2:5">
      <c r="B1271" s="486"/>
      <c r="C1271" s="487"/>
      <c r="D1271" s="486"/>
      <c r="E1271" s="69"/>
    </row>
    <row r="1272" spans="2:5">
      <c r="B1272" s="486"/>
      <c r="C1272" s="487"/>
      <c r="D1272" s="486"/>
      <c r="E1272" s="69"/>
    </row>
    <row r="1273" spans="2:5">
      <c r="B1273" s="486"/>
      <c r="C1273" s="487"/>
      <c r="D1273" s="486"/>
      <c r="E1273" s="69"/>
    </row>
    <row r="1274" spans="2:5">
      <c r="B1274" s="486"/>
      <c r="C1274" s="487"/>
      <c r="D1274" s="486"/>
      <c r="E1274" s="69"/>
    </row>
    <row r="1275" spans="2:5">
      <c r="B1275" s="486"/>
      <c r="C1275" s="487"/>
      <c r="D1275" s="486"/>
      <c r="E1275" s="69"/>
    </row>
    <row r="1276" spans="2:5">
      <c r="B1276" s="486"/>
      <c r="C1276" s="487"/>
      <c r="D1276" s="486"/>
      <c r="E1276" s="69"/>
    </row>
    <row r="1277" spans="2:5">
      <c r="B1277" s="486"/>
      <c r="C1277" s="487"/>
      <c r="D1277" s="486"/>
      <c r="E1277" s="69"/>
    </row>
    <row r="1278" spans="2:5">
      <c r="B1278" s="486"/>
      <c r="C1278" s="487"/>
      <c r="D1278" s="486"/>
      <c r="E1278" s="69"/>
    </row>
    <row r="1279" spans="2:5">
      <c r="B1279" s="486"/>
      <c r="C1279" s="487"/>
      <c r="D1279" s="486"/>
      <c r="E1279" s="69"/>
    </row>
    <row r="1280" spans="2:5">
      <c r="B1280" s="486"/>
      <c r="C1280" s="487"/>
      <c r="D1280" s="486"/>
      <c r="E1280" s="69"/>
    </row>
    <row r="1281" spans="2:5">
      <c r="B1281" s="486"/>
      <c r="C1281" s="487"/>
      <c r="D1281" s="486"/>
      <c r="E1281" s="69"/>
    </row>
    <row r="1282" spans="2:5">
      <c r="B1282" s="486"/>
      <c r="C1282" s="487"/>
      <c r="D1282" s="486"/>
      <c r="E1282" s="69"/>
    </row>
    <row r="1283" spans="2:5">
      <c r="B1283" s="486"/>
      <c r="C1283" s="487"/>
      <c r="D1283" s="486"/>
      <c r="E1283" s="69"/>
    </row>
    <row r="1284" spans="2:5">
      <c r="B1284" s="486"/>
      <c r="C1284" s="487"/>
      <c r="D1284" s="486"/>
      <c r="E1284" s="69"/>
    </row>
    <row r="1285" spans="2:5">
      <c r="B1285" s="486"/>
      <c r="C1285" s="487"/>
      <c r="D1285" s="486"/>
      <c r="E1285" s="69"/>
    </row>
    <row r="1286" spans="2:5">
      <c r="B1286" s="486"/>
      <c r="C1286" s="487"/>
      <c r="D1286" s="486"/>
      <c r="E1286" s="69"/>
    </row>
    <row r="1287" spans="2:5">
      <c r="B1287" s="486"/>
      <c r="C1287" s="487"/>
      <c r="D1287" s="486"/>
      <c r="E1287" s="69"/>
    </row>
    <row r="1288" spans="2:5">
      <c r="B1288" s="486"/>
      <c r="C1288" s="487"/>
      <c r="D1288" s="486"/>
      <c r="E1288" s="69"/>
    </row>
    <row r="1289" spans="2:5">
      <c r="B1289" s="486"/>
      <c r="C1289" s="487"/>
      <c r="D1289" s="486"/>
      <c r="E1289" s="69"/>
    </row>
    <row r="1290" spans="2:5">
      <c r="B1290" s="486"/>
      <c r="C1290" s="487"/>
      <c r="D1290" s="486"/>
      <c r="E1290" s="69"/>
    </row>
    <row r="1291" spans="2:5">
      <c r="B1291" s="486"/>
      <c r="C1291" s="487"/>
      <c r="D1291" s="486"/>
      <c r="E1291" s="69"/>
    </row>
    <row r="1292" spans="2:5">
      <c r="B1292" s="486"/>
      <c r="C1292" s="487"/>
      <c r="D1292" s="486"/>
      <c r="E1292" s="69"/>
    </row>
    <row r="1293" spans="2:5">
      <c r="B1293" s="486"/>
      <c r="C1293" s="487"/>
      <c r="D1293" s="486"/>
      <c r="E1293" s="69"/>
    </row>
    <row r="1294" spans="2:5">
      <c r="B1294" s="486"/>
      <c r="C1294" s="487"/>
      <c r="D1294" s="486"/>
      <c r="E1294" s="69"/>
    </row>
    <row r="1295" spans="2:5">
      <c r="B1295" s="486"/>
      <c r="C1295" s="487"/>
      <c r="D1295" s="486"/>
      <c r="E1295" s="69"/>
    </row>
    <row r="1296" spans="2:5">
      <c r="B1296" s="486"/>
      <c r="C1296" s="487"/>
      <c r="D1296" s="486"/>
      <c r="E1296" s="69"/>
    </row>
    <row r="1297" spans="2:5">
      <c r="B1297" s="486"/>
      <c r="C1297" s="487"/>
      <c r="D1297" s="486"/>
      <c r="E1297" s="69"/>
    </row>
    <row r="1298" spans="2:5">
      <c r="B1298" s="486"/>
      <c r="C1298" s="487"/>
      <c r="D1298" s="486"/>
      <c r="E1298" s="69"/>
    </row>
    <row r="1299" spans="2:5">
      <c r="B1299" s="486"/>
      <c r="C1299" s="487"/>
      <c r="D1299" s="486"/>
      <c r="E1299" s="69"/>
    </row>
    <row r="1300" spans="2:5">
      <c r="B1300" s="486"/>
      <c r="C1300" s="487"/>
      <c r="D1300" s="486"/>
      <c r="E1300" s="69"/>
    </row>
    <row r="1301" spans="2:5">
      <c r="B1301" s="486"/>
      <c r="C1301" s="487"/>
      <c r="D1301" s="486"/>
      <c r="E1301" s="69"/>
    </row>
    <row r="1302" spans="2:5">
      <c r="B1302" s="486"/>
      <c r="C1302" s="487"/>
      <c r="D1302" s="486"/>
      <c r="E1302" s="69"/>
    </row>
    <row r="1303" spans="2:5">
      <c r="B1303" s="486"/>
      <c r="C1303" s="487"/>
      <c r="D1303" s="486"/>
      <c r="E1303" s="69"/>
    </row>
    <row r="1304" spans="2:5">
      <c r="B1304" s="486"/>
      <c r="C1304" s="487"/>
      <c r="D1304" s="486"/>
      <c r="E1304" s="69"/>
    </row>
    <row r="1305" spans="2:5">
      <c r="B1305" s="486"/>
      <c r="C1305" s="487"/>
      <c r="D1305" s="486"/>
      <c r="E1305" s="69"/>
    </row>
    <row r="1306" spans="2:5">
      <c r="B1306" s="486"/>
      <c r="C1306" s="487"/>
      <c r="D1306" s="486"/>
      <c r="E1306" s="69"/>
    </row>
    <row r="1307" spans="2:5">
      <c r="B1307" s="486"/>
      <c r="C1307" s="487"/>
      <c r="D1307" s="486"/>
      <c r="E1307" s="69"/>
    </row>
    <row r="1308" spans="2:5">
      <c r="B1308" s="486"/>
      <c r="C1308" s="487"/>
      <c r="D1308" s="486"/>
      <c r="E1308" s="69"/>
    </row>
    <row r="1309" spans="2:5">
      <c r="B1309" s="486"/>
      <c r="C1309" s="487"/>
      <c r="D1309" s="486"/>
      <c r="E1309" s="69"/>
    </row>
    <row r="1310" spans="2:5">
      <c r="B1310" s="486"/>
      <c r="C1310" s="487"/>
      <c r="D1310" s="486"/>
      <c r="E1310" s="69"/>
    </row>
    <row r="1311" spans="2:5">
      <c r="B1311" s="486"/>
      <c r="C1311" s="487"/>
      <c r="D1311" s="486"/>
      <c r="E1311" s="69"/>
    </row>
    <row r="1312" spans="2:5">
      <c r="B1312" s="486"/>
      <c r="C1312" s="487"/>
      <c r="D1312" s="486"/>
      <c r="E1312" s="69"/>
    </row>
    <row r="1313" spans="2:5">
      <c r="B1313" s="486"/>
      <c r="C1313" s="487"/>
      <c r="D1313" s="486"/>
      <c r="E1313" s="69"/>
    </row>
    <row r="1314" spans="2:5">
      <c r="B1314" s="486"/>
      <c r="C1314" s="487"/>
      <c r="D1314" s="486"/>
      <c r="E1314" s="69"/>
    </row>
    <row r="1315" spans="2:5">
      <c r="B1315" s="486"/>
      <c r="C1315" s="487"/>
      <c r="D1315" s="486"/>
      <c r="E1315" s="69"/>
    </row>
    <row r="1316" spans="2:5">
      <c r="B1316" s="486"/>
      <c r="C1316" s="487"/>
      <c r="D1316" s="486"/>
      <c r="E1316" s="69"/>
    </row>
    <row r="1317" spans="2:5">
      <c r="B1317" s="486"/>
      <c r="C1317" s="487"/>
      <c r="D1317" s="486"/>
      <c r="E1317" s="69"/>
    </row>
    <row r="1318" spans="2:5">
      <c r="B1318" s="486"/>
      <c r="C1318" s="487"/>
      <c r="D1318" s="486"/>
      <c r="E1318" s="69"/>
    </row>
    <row r="1319" spans="2:5">
      <c r="B1319" s="486"/>
      <c r="C1319" s="487"/>
      <c r="D1319" s="486"/>
      <c r="E1319" s="69"/>
    </row>
    <row r="1320" spans="2:5">
      <c r="B1320" s="486"/>
      <c r="C1320" s="487"/>
      <c r="D1320" s="486"/>
      <c r="E1320" s="69"/>
    </row>
    <row r="1321" spans="2:5">
      <c r="B1321" s="486"/>
      <c r="C1321" s="487"/>
      <c r="D1321" s="486"/>
      <c r="E1321" s="69"/>
    </row>
    <row r="1322" spans="2:5">
      <c r="B1322" s="486"/>
      <c r="C1322" s="487"/>
      <c r="D1322" s="486"/>
      <c r="E1322" s="69"/>
    </row>
    <row r="1323" spans="2:5">
      <c r="B1323" s="486"/>
      <c r="C1323" s="487"/>
      <c r="D1323" s="486"/>
      <c r="E1323" s="69"/>
    </row>
    <row r="1324" spans="2:5">
      <c r="B1324" s="486"/>
      <c r="C1324" s="487"/>
      <c r="D1324" s="486"/>
      <c r="E1324" s="69"/>
    </row>
    <row r="1325" spans="2:5">
      <c r="B1325" s="486"/>
      <c r="C1325" s="487"/>
      <c r="D1325" s="486"/>
      <c r="E1325" s="69"/>
    </row>
    <row r="1326" spans="2:5">
      <c r="B1326" s="486"/>
      <c r="C1326" s="487"/>
      <c r="D1326" s="486"/>
      <c r="E1326" s="69"/>
    </row>
    <row r="1327" spans="2:5">
      <c r="B1327" s="486"/>
      <c r="C1327" s="487"/>
      <c r="D1327" s="486"/>
      <c r="E1327" s="69"/>
    </row>
    <row r="1328" spans="2:5">
      <c r="B1328" s="486"/>
      <c r="C1328" s="487"/>
      <c r="D1328" s="486"/>
      <c r="E1328" s="69"/>
    </row>
    <row r="1329" spans="2:5">
      <c r="B1329" s="486"/>
      <c r="C1329" s="487"/>
      <c r="D1329" s="486"/>
      <c r="E1329" s="69"/>
    </row>
    <row r="1330" spans="2:5">
      <c r="B1330" s="486"/>
      <c r="C1330" s="487"/>
      <c r="D1330" s="486"/>
      <c r="E1330" s="69"/>
    </row>
    <row r="1331" spans="2:5">
      <c r="B1331" s="486"/>
      <c r="C1331" s="487"/>
      <c r="D1331" s="486"/>
      <c r="E1331" s="69"/>
    </row>
    <row r="1332" spans="2:5">
      <c r="B1332" s="486"/>
      <c r="C1332" s="487"/>
      <c r="D1332" s="486"/>
      <c r="E1332" s="69"/>
    </row>
    <row r="1333" spans="2:5">
      <c r="B1333" s="486"/>
      <c r="C1333" s="487"/>
      <c r="D1333" s="486"/>
      <c r="E1333" s="69"/>
    </row>
    <row r="1334" spans="2:5">
      <c r="B1334" s="486"/>
      <c r="C1334" s="487"/>
      <c r="D1334" s="486"/>
      <c r="E1334" s="69"/>
    </row>
    <row r="1335" spans="2:5">
      <c r="B1335" s="486"/>
      <c r="C1335" s="487"/>
      <c r="D1335" s="486"/>
      <c r="E1335" s="69"/>
    </row>
    <row r="1336" spans="2:5">
      <c r="B1336" s="486"/>
      <c r="C1336" s="487"/>
      <c r="D1336" s="486"/>
      <c r="E1336" s="69"/>
    </row>
    <row r="1337" spans="2:5">
      <c r="B1337" s="486"/>
      <c r="C1337" s="487"/>
      <c r="D1337" s="486"/>
      <c r="E1337" s="69"/>
    </row>
    <row r="1338" spans="2:5">
      <c r="B1338" s="486"/>
      <c r="C1338" s="487"/>
      <c r="D1338" s="486"/>
      <c r="E1338" s="69"/>
    </row>
    <row r="1339" spans="2:5">
      <c r="B1339" s="486"/>
      <c r="C1339" s="487"/>
      <c r="D1339" s="486"/>
      <c r="E1339" s="69"/>
    </row>
    <row r="1340" spans="2:5">
      <c r="B1340" s="486"/>
      <c r="C1340" s="487"/>
      <c r="D1340" s="486"/>
      <c r="E1340" s="69"/>
    </row>
    <row r="1341" spans="2:5">
      <c r="B1341" s="486"/>
      <c r="C1341" s="487"/>
      <c r="D1341" s="486"/>
      <c r="E1341" s="69"/>
    </row>
    <row r="1342" spans="2:5">
      <c r="B1342" s="486"/>
      <c r="C1342" s="487"/>
      <c r="D1342" s="486"/>
      <c r="E1342" s="69"/>
    </row>
    <row r="1343" spans="2:5">
      <c r="B1343" s="486"/>
      <c r="C1343" s="487"/>
      <c r="D1343" s="486"/>
      <c r="E1343" s="69"/>
    </row>
    <row r="1344" spans="2:5">
      <c r="B1344" s="486"/>
      <c r="C1344" s="487"/>
      <c r="D1344" s="486"/>
      <c r="E1344" s="69"/>
    </row>
    <row r="1345" spans="2:5">
      <c r="B1345" s="486"/>
      <c r="C1345" s="487"/>
      <c r="D1345" s="486"/>
      <c r="E1345" s="69"/>
    </row>
    <row r="1346" spans="2:5">
      <c r="B1346" s="486"/>
      <c r="C1346" s="487"/>
      <c r="D1346" s="486"/>
      <c r="E1346" s="69"/>
    </row>
    <row r="1347" spans="2:5">
      <c r="B1347" s="486"/>
      <c r="C1347" s="487"/>
      <c r="D1347" s="486"/>
      <c r="E1347" s="69"/>
    </row>
    <row r="1348" spans="2:5">
      <c r="B1348" s="486"/>
      <c r="C1348" s="487"/>
      <c r="D1348" s="486"/>
      <c r="E1348" s="69"/>
    </row>
    <row r="1349" spans="2:5">
      <c r="B1349" s="486"/>
      <c r="C1349" s="487"/>
      <c r="D1349" s="486"/>
      <c r="E1349" s="69"/>
    </row>
    <row r="1350" spans="2:5">
      <c r="B1350" s="486"/>
      <c r="C1350" s="487"/>
      <c r="D1350" s="486"/>
      <c r="E1350" s="69"/>
    </row>
    <row r="1351" spans="2:5">
      <c r="B1351" s="486"/>
      <c r="C1351" s="487"/>
      <c r="D1351" s="486"/>
      <c r="E1351" s="69"/>
    </row>
    <row r="1352" spans="2:5">
      <c r="B1352" s="486"/>
      <c r="C1352" s="487"/>
      <c r="D1352" s="486"/>
      <c r="E1352" s="69"/>
    </row>
    <row r="1353" spans="2:5">
      <c r="B1353" s="486"/>
      <c r="C1353" s="487"/>
      <c r="D1353" s="486"/>
      <c r="E1353" s="69"/>
    </row>
    <row r="1354" spans="2:5">
      <c r="B1354" s="486"/>
      <c r="C1354" s="487"/>
      <c r="D1354" s="486"/>
      <c r="E1354" s="69"/>
    </row>
    <row r="1355" spans="2:5">
      <c r="B1355" s="486"/>
      <c r="C1355" s="487"/>
      <c r="D1355" s="486"/>
      <c r="E1355" s="69"/>
    </row>
    <row r="1356" spans="2:5">
      <c r="B1356" s="486"/>
      <c r="C1356" s="487"/>
      <c r="D1356" s="486"/>
      <c r="E1356" s="69"/>
    </row>
    <row r="1357" spans="2:5">
      <c r="B1357" s="486"/>
      <c r="C1357" s="487"/>
      <c r="D1357" s="486"/>
      <c r="E1357" s="69"/>
    </row>
    <row r="1358" spans="2:5">
      <c r="B1358" s="486"/>
      <c r="C1358" s="487"/>
      <c r="D1358" s="486"/>
      <c r="E1358" s="69"/>
    </row>
    <row r="1359" spans="2:5">
      <c r="B1359" s="486"/>
      <c r="C1359" s="487"/>
      <c r="D1359" s="486"/>
      <c r="E1359" s="69"/>
    </row>
    <row r="1360" spans="2:5">
      <c r="B1360" s="486"/>
      <c r="C1360" s="487"/>
      <c r="D1360" s="486"/>
      <c r="E1360" s="69"/>
    </row>
    <row r="1361" spans="2:5">
      <c r="B1361" s="486"/>
      <c r="C1361" s="487"/>
      <c r="D1361" s="486"/>
      <c r="E1361" s="69"/>
    </row>
    <row r="1362" spans="2:5">
      <c r="B1362" s="486"/>
      <c r="C1362" s="487"/>
      <c r="D1362" s="486"/>
      <c r="E1362" s="69"/>
    </row>
    <row r="1363" spans="2:5">
      <c r="B1363" s="486"/>
      <c r="C1363" s="487"/>
      <c r="D1363" s="486"/>
      <c r="E1363" s="69"/>
    </row>
    <row r="1364" spans="2:5">
      <c r="B1364" s="486"/>
      <c r="C1364" s="487"/>
      <c r="D1364" s="486"/>
      <c r="E1364" s="69"/>
    </row>
    <row r="1365" spans="2:5">
      <c r="B1365" s="486"/>
      <c r="C1365" s="487"/>
      <c r="D1365" s="486"/>
      <c r="E1365" s="69"/>
    </row>
    <row r="1366" spans="2:5">
      <c r="B1366" s="486"/>
      <c r="C1366" s="487"/>
      <c r="D1366" s="486"/>
      <c r="E1366" s="69"/>
    </row>
    <row r="1367" spans="2:5">
      <c r="B1367" s="486"/>
      <c r="C1367" s="487"/>
      <c r="D1367" s="486"/>
      <c r="E1367" s="69"/>
    </row>
    <row r="1368" spans="2:5">
      <c r="B1368" s="486"/>
      <c r="C1368" s="487"/>
      <c r="D1368" s="486"/>
      <c r="E1368" s="69"/>
    </row>
    <row r="1369" spans="2:5">
      <c r="B1369" s="486"/>
      <c r="C1369" s="487"/>
      <c r="D1369" s="486"/>
      <c r="E1369" s="69"/>
    </row>
    <row r="1370" spans="2:5">
      <c r="B1370" s="486"/>
      <c r="C1370" s="487"/>
      <c r="D1370" s="486"/>
      <c r="E1370" s="69"/>
    </row>
    <row r="1371" spans="2:5">
      <c r="B1371" s="486"/>
      <c r="C1371" s="487"/>
      <c r="D1371" s="486"/>
      <c r="E1371" s="69"/>
    </row>
    <row r="1372" spans="2:5">
      <c r="B1372" s="486"/>
      <c r="C1372" s="487"/>
      <c r="D1372" s="486"/>
      <c r="E1372" s="69"/>
    </row>
    <row r="1373" spans="2:5">
      <c r="B1373" s="486"/>
      <c r="C1373" s="487"/>
      <c r="D1373" s="486"/>
      <c r="E1373" s="69"/>
    </row>
    <row r="1374" spans="2:5">
      <c r="B1374" s="486"/>
      <c r="C1374" s="487"/>
      <c r="D1374" s="486"/>
      <c r="E1374" s="69"/>
    </row>
    <row r="1375" spans="2:5">
      <c r="B1375" s="486"/>
      <c r="C1375" s="487"/>
      <c r="D1375" s="486"/>
      <c r="E1375" s="69"/>
    </row>
    <row r="1376" spans="2:5">
      <c r="B1376" s="486"/>
      <c r="C1376" s="487"/>
      <c r="D1376" s="486"/>
      <c r="E1376" s="69"/>
    </row>
    <row r="1377" spans="2:5">
      <c r="B1377" s="486"/>
      <c r="C1377" s="487"/>
      <c r="D1377" s="486"/>
      <c r="E1377" s="69"/>
    </row>
    <row r="1378" spans="2:5">
      <c r="B1378" s="486"/>
      <c r="C1378" s="487"/>
      <c r="D1378" s="486"/>
      <c r="E1378" s="69"/>
    </row>
    <row r="1379" spans="2:5">
      <c r="B1379" s="486"/>
      <c r="C1379" s="487"/>
      <c r="D1379" s="486"/>
      <c r="E1379" s="69"/>
    </row>
    <row r="1380" spans="2:5">
      <c r="B1380" s="486"/>
      <c r="C1380" s="487"/>
      <c r="D1380" s="486"/>
      <c r="E1380" s="69"/>
    </row>
    <row r="1381" spans="2:5">
      <c r="B1381" s="486"/>
      <c r="C1381" s="487"/>
      <c r="D1381" s="486"/>
      <c r="E1381" s="69"/>
    </row>
    <row r="1382" spans="2:5">
      <c r="B1382" s="486"/>
      <c r="C1382" s="487"/>
      <c r="D1382" s="486"/>
      <c r="E1382" s="69"/>
    </row>
    <row r="1383" spans="2:5">
      <c r="B1383" s="486"/>
      <c r="C1383" s="487"/>
      <c r="D1383" s="486"/>
      <c r="E1383" s="69"/>
    </row>
    <row r="1384" spans="2:5">
      <c r="B1384" s="486"/>
      <c r="C1384" s="487"/>
      <c r="D1384" s="486"/>
      <c r="E1384" s="69"/>
    </row>
    <row r="1385" spans="2:5">
      <c r="B1385" s="486"/>
      <c r="C1385" s="487"/>
      <c r="D1385" s="486"/>
      <c r="E1385" s="69"/>
    </row>
    <row r="1386" spans="2:5">
      <c r="B1386" s="486"/>
      <c r="C1386" s="487"/>
      <c r="D1386" s="486"/>
      <c r="E1386" s="69"/>
    </row>
    <row r="1387" spans="2:5">
      <c r="B1387" s="486"/>
      <c r="C1387" s="487"/>
      <c r="D1387" s="486"/>
      <c r="E1387" s="69"/>
    </row>
    <row r="1388" spans="2:5">
      <c r="C1388" s="501"/>
      <c r="E1388" s="69"/>
    </row>
    <row r="1389" spans="2:5">
      <c r="C1389" s="501"/>
      <c r="E1389" s="69"/>
    </row>
    <row r="1390" spans="2:5">
      <c r="C1390" s="501"/>
      <c r="E1390" s="69"/>
    </row>
    <row r="1391" spans="2:5">
      <c r="C1391" s="501"/>
      <c r="E1391" s="69"/>
    </row>
    <row r="1392" spans="2:5">
      <c r="C1392" s="501"/>
      <c r="E1392" s="69"/>
    </row>
    <row r="1393" spans="3:5">
      <c r="C1393" s="501"/>
      <c r="E1393" s="69"/>
    </row>
    <row r="1394" spans="3:5">
      <c r="C1394" s="501"/>
      <c r="E1394" s="69"/>
    </row>
    <row r="1395" spans="3:5">
      <c r="C1395" s="501"/>
      <c r="E1395" s="69"/>
    </row>
    <row r="1396" spans="3:5">
      <c r="C1396" s="501"/>
      <c r="E1396" s="69"/>
    </row>
    <row r="1397" spans="3:5">
      <c r="C1397" s="501"/>
      <c r="E1397" s="69"/>
    </row>
    <row r="1398" spans="3:5">
      <c r="C1398" s="501"/>
      <c r="E1398" s="69"/>
    </row>
    <row r="1399" spans="3:5">
      <c r="C1399" s="501"/>
      <c r="E1399" s="69"/>
    </row>
    <row r="1400" spans="3:5">
      <c r="C1400" s="501"/>
      <c r="E1400" s="69"/>
    </row>
    <row r="1401" spans="3:5">
      <c r="C1401" s="501"/>
      <c r="E1401" s="69"/>
    </row>
    <row r="1402" spans="3:5">
      <c r="C1402" s="501"/>
      <c r="E1402" s="69"/>
    </row>
    <row r="1403" spans="3:5">
      <c r="C1403" s="501"/>
      <c r="E1403" s="69"/>
    </row>
    <row r="1404" spans="3:5">
      <c r="C1404" s="501"/>
      <c r="E1404" s="69"/>
    </row>
    <row r="1405" spans="3:5">
      <c r="C1405" s="501"/>
      <c r="E1405" s="69"/>
    </row>
    <row r="1406" spans="3:5">
      <c r="C1406" s="501"/>
      <c r="E1406" s="69"/>
    </row>
    <row r="1407" spans="3:5">
      <c r="C1407" s="501"/>
      <c r="E1407" s="69"/>
    </row>
    <row r="1408" spans="3:5">
      <c r="C1408" s="501"/>
      <c r="E1408" s="69"/>
    </row>
    <row r="1409" spans="3:5">
      <c r="C1409" s="501"/>
      <c r="E1409" s="69"/>
    </row>
    <row r="1410" spans="3:5">
      <c r="C1410" s="501"/>
      <c r="E1410" s="69"/>
    </row>
    <row r="1411" spans="3:5">
      <c r="C1411" s="501"/>
      <c r="E1411" s="69"/>
    </row>
    <row r="1412" spans="3:5">
      <c r="C1412" s="501"/>
      <c r="E1412" s="69"/>
    </row>
    <row r="1413" spans="3:5">
      <c r="C1413" s="501"/>
      <c r="E1413" s="69"/>
    </row>
    <row r="1414" spans="3:5">
      <c r="C1414" s="501"/>
      <c r="E1414" s="69"/>
    </row>
    <row r="1415" spans="3:5">
      <c r="C1415" s="501"/>
      <c r="E1415" s="69"/>
    </row>
    <row r="1416" spans="3:5">
      <c r="C1416" s="501"/>
      <c r="E1416" s="69"/>
    </row>
    <row r="1417" spans="3:5">
      <c r="C1417" s="501"/>
      <c r="E1417" s="69"/>
    </row>
    <row r="1418" spans="3:5">
      <c r="C1418" s="501"/>
      <c r="E1418" s="69"/>
    </row>
    <row r="1419" spans="3:5">
      <c r="C1419" s="501"/>
      <c r="E1419" s="69"/>
    </row>
    <row r="1420" spans="3:5">
      <c r="C1420" s="501"/>
      <c r="E1420" s="69"/>
    </row>
    <row r="1421" spans="3:5">
      <c r="C1421" s="501"/>
      <c r="E1421" s="69"/>
    </row>
    <row r="1422" spans="3:5">
      <c r="C1422" s="501"/>
      <c r="E1422" s="69"/>
    </row>
    <row r="1423" spans="3:5">
      <c r="C1423" s="501"/>
      <c r="E1423" s="69"/>
    </row>
    <row r="1424" spans="3:5">
      <c r="C1424" s="501"/>
      <c r="E1424" s="69"/>
    </row>
    <row r="1425" spans="3:5">
      <c r="C1425" s="501"/>
      <c r="E1425" s="69"/>
    </row>
    <row r="1426" spans="3:5">
      <c r="C1426" s="501"/>
      <c r="E1426" s="69"/>
    </row>
    <row r="1427" spans="3:5">
      <c r="C1427" s="501"/>
      <c r="E1427" s="69"/>
    </row>
    <row r="1428" spans="3:5">
      <c r="C1428" s="501"/>
      <c r="E1428" s="69"/>
    </row>
    <row r="1429" spans="3:5">
      <c r="C1429" s="501"/>
      <c r="E1429" s="69"/>
    </row>
    <row r="1430" spans="3:5">
      <c r="C1430" s="501"/>
      <c r="E1430" s="69"/>
    </row>
    <row r="1431" spans="3:5">
      <c r="C1431" s="501"/>
      <c r="E1431" s="69"/>
    </row>
    <row r="1432" spans="3:5">
      <c r="C1432" s="501"/>
      <c r="E1432" s="69"/>
    </row>
    <row r="1433" spans="3:5">
      <c r="C1433" s="501"/>
      <c r="E1433" s="69"/>
    </row>
    <row r="1434" spans="3:5">
      <c r="C1434" s="501"/>
      <c r="E1434" s="69"/>
    </row>
    <row r="1435" spans="3:5">
      <c r="C1435" s="501"/>
      <c r="E1435" s="69"/>
    </row>
    <row r="1436" spans="3:5">
      <c r="C1436" s="501"/>
      <c r="E1436" s="69"/>
    </row>
    <row r="1437" spans="3:5">
      <c r="C1437" s="501"/>
      <c r="E1437" s="69"/>
    </row>
    <row r="1438" spans="3:5">
      <c r="C1438" s="501"/>
      <c r="E1438" s="69"/>
    </row>
    <row r="1439" spans="3:5">
      <c r="C1439" s="501"/>
      <c r="E1439" s="69"/>
    </row>
    <row r="1440" spans="3:5">
      <c r="C1440" s="501"/>
      <c r="E1440" s="69"/>
    </row>
    <row r="1441" spans="3:5">
      <c r="C1441" s="501"/>
      <c r="E1441" s="69"/>
    </row>
    <row r="1442" spans="3:5">
      <c r="C1442" s="501"/>
      <c r="E1442" s="69"/>
    </row>
    <row r="1443" spans="3:5">
      <c r="C1443" s="501"/>
      <c r="E1443" s="69"/>
    </row>
    <row r="1444" spans="3:5">
      <c r="C1444" s="501"/>
      <c r="E1444" s="69"/>
    </row>
    <row r="1445" spans="3:5">
      <c r="C1445" s="501"/>
      <c r="E1445" s="69"/>
    </row>
    <row r="1446" spans="3:5">
      <c r="C1446" s="501"/>
      <c r="E1446" s="69"/>
    </row>
    <row r="1447" spans="3:5">
      <c r="C1447" s="501"/>
      <c r="E1447" s="69"/>
    </row>
    <row r="1448" spans="3:5">
      <c r="C1448" s="501"/>
      <c r="E1448" s="69"/>
    </row>
    <row r="1449" spans="3:5">
      <c r="C1449" s="501"/>
      <c r="E1449" s="69"/>
    </row>
    <row r="1450" spans="3:5">
      <c r="C1450" s="501"/>
      <c r="E1450" s="69"/>
    </row>
    <row r="1451" spans="3:5">
      <c r="C1451" s="501"/>
      <c r="E1451" s="69"/>
    </row>
    <row r="1452" spans="3:5">
      <c r="C1452" s="501"/>
      <c r="E1452" s="69"/>
    </row>
    <row r="1453" spans="3:5">
      <c r="C1453" s="501"/>
      <c r="E1453" s="69"/>
    </row>
    <row r="1454" spans="3:5">
      <c r="C1454" s="501"/>
      <c r="E1454" s="69"/>
    </row>
    <row r="1455" spans="3:5">
      <c r="C1455" s="501"/>
      <c r="E1455" s="69"/>
    </row>
    <row r="1456" spans="3:5">
      <c r="C1456" s="501"/>
      <c r="E1456" s="69"/>
    </row>
    <row r="1457" spans="3:5">
      <c r="C1457" s="501"/>
      <c r="E1457" s="69"/>
    </row>
    <row r="1458" spans="3:5">
      <c r="C1458" s="501"/>
      <c r="E1458" s="69"/>
    </row>
    <row r="1459" spans="3:5">
      <c r="C1459" s="501"/>
      <c r="E1459" s="69"/>
    </row>
    <row r="1460" spans="3:5">
      <c r="C1460" s="501"/>
      <c r="E1460" s="69"/>
    </row>
    <row r="1461" spans="3:5">
      <c r="C1461" s="501"/>
      <c r="E1461" s="69"/>
    </row>
    <row r="1462" spans="3:5">
      <c r="C1462" s="501"/>
      <c r="E1462" s="69"/>
    </row>
    <row r="1463" spans="3:5">
      <c r="C1463" s="501"/>
      <c r="E1463" s="69"/>
    </row>
    <row r="1464" spans="3:5">
      <c r="C1464" s="501"/>
      <c r="E1464" s="69"/>
    </row>
    <row r="1465" spans="3:5">
      <c r="C1465" s="501"/>
      <c r="E1465" s="69"/>
    </row>
    <row r="1466" spans="3:5">
      <c r="C1466" s="501"/>
      <c r="E1466" s="69"/>
    </row>
    <row r="1467" spans="3:5">
      <c r="C1467" s="501"/>
      <c r="E1467" s="69"/>
    </row>
    <row r="1468" spans="3:5">
      <c r="C1468" s="501"/>
      <c r="E1468" s="69"/>
    </row>
    <row r="1469" spans="3:5">
      <c r="C1469" s="501"/>
      <c r="E1469" s="69"/>
    </row>
    <row r="1470" spans="3:5">
      <c r="C1470" s="501"/>
      <c r="E1470" s="69"/>
    </row>
    <row r="1471" spans="3:5">
      <c r="C1471" s="501"/>
      <c r="E1471" s="69"/>
    </row>
    <row r="1472" spans="3:5">
      <c r="C1472" s="501"/>
      <c r="E1472" s="69"/>
    </row>
    <row r="1473" spans="3:5">
      <c r="C1473" s="501"/>
      <c r="E1473" s="69"/>
    </row>
    <row r="1474" spans="3:5">
      <c r="C1474" s="501"/>
      <c r="E1474" s="69"/>
    </row>
    <row r="1475" spans="3:5">
      <c r="C1475" s="501"/>
      <c r="E1475" s="69"/>
    </row>
    <row r="1476" spans="3:5">
      <c r="C1476" s="501"/>
      <c r="E1476" s="69"/>
    </row>
    <row r="1477" spans="3:5">
      <c r="C1477" s="501"/>
      <c r="E1477" s="69"/>
    </row>
    <row r="1478" spans="3:5">
      <c r="C1478" s="501"/>
      <c r="E1478" s="69"/>
    </row>
    <row r="1479" spans="3:5">
      <c r="C1479" s="501"/>
      <c r="E1479" s="69"/>
    </row>
    <row r="1480" spans="3:5">
      <c r="C1480" s="501"/>
      <c r="E1480" s="69"/>
    </row>
    <row r="1481" spans="3:5">
      <c r="C1481" s="501"/>
      <c r="E1481" s="69"/>
    </row>
    <row r="1482" spans="3:5">
      <c r="C1482" s="501"/>
      <c r="E1482" s="69"/>
    </row>
    <row r="1483" spans="3:5">
      <c r="C1483" s="501"/>
      <c r="E1483" s="69"/>
    </row>
    <row r="1484" spans="3:5">
      <c r="C1484" s="501"/>
      <c r="E1484" s="69"/>
    </row>
    <row r="1485" spans="3:5">
      <c r="C1485" s="501"/>
      <c r="E1485" s="69"/>
    </row>
    <row r="1486" spans="3:5">
      <c r="C1486" s="501"/>
      <c r="E1486" s="69"/>
    </row>
    <row r="1487" spans="3:5">
      <c r="C1487" s="501"/>
      <c r="E1487" s="69"/>
    </row>
    <row r="1488" spans="3:5">
      <c r="C1488" s="501"/>
      <c r="E1488" s="69"/>
    </row>
    <row r="1489" spans="3:5">
      <c r="C1489" s="501"/>
      <c r="E1489" s="69"/>
    </row>
    <row r="1490" spans="3:5">
      <c r="C1490" s="501"/>
      <c r="E1490" s="69"/>
    </row>
    <row r="1491" spans="3:5">
      <c r="C1491" s="501"/>
      <c r="E1491" s="69"/>
    </row>
    <row r="1492" spans="3:5">
      <c r="C1492" s="499"/>
      <c r="E1492" s="69"/>
    </row>
    <row r="1493" spans="3:5">
      <c r="C1493" s="499"/>
      <c r="E1493" s="69"/>
    </row>
    <row r="1494" spans="3:5">
      <c r="C1494" s="499"/>
      <c r="E1494" s="69"/>
    </row>
    <row r="1495" spans="3:5">
      <c r="C1495" s="499"/>
      <c r="E1495" s="69"/>
    </row>
    <row r="1496" spans="3:5">
      <c r="C1496" s="499"/>
      <c r="E1496" s="69"/>
    </row>
    <row r="1497" spans="3:5">
      <c r="C1497" s="499"/>
      <c r="E1497" s="69"/>
    </row>
    <row r="1498" spans="3:5">
      <c r="C1498" s="499"/>
      <c r="E1498" s="69"/>
    </row>
    <row r="1499" spans="3:5">
      <c r="C1499" s="499"/>
      <c r="E1499" s="69"/>
    </row>
    <row r="1500" spans="3:5">
      <c r="C1500" s="499"/>
      <c r="E1500" s="69"/>
    </row>
    <row r="1501" spans="3:5">
      <c r="C1501" s="499"/>
      <c r="E1501" s="69"/>
    </row>
    <row r="1502" spans="3:5">
      <c r="C1502" s="499"/>
      <c r="E1502" s="69"/>
    </row>
    <row r="1503" spans="3:5">
      <c r="C1503" s="499"/>
      <c r="E1503" s="69"/>
    </row>
    <row r="1504" spans="3:5">
      <c r="C1504" s="499"/>
      <c r="E1504" s="69"/>
    </row>
    <row r="1505" spans="3:5">
      <c r="C1505" s="499"/>
      <c r="E1505" s="69"/>
    </row>
    <row r="1506" spans="3:5">
      <c r="C1506" s="499"/>
      <c r="E1506" s="69"/>
    </row>
    <row r="1507" spans="3:5">
      <c r="C1507" s="499"/>
      <c r="E1507" s="69"/>
    </row>
    <row r="1508" spans="3:5">
      <c r="C1508" s="499"/>
      <c r="E1508" s="69"/>
    </row>
    <row r="1509" spans="3:5">
      <c r="C1509" s="499"/>
      <c r="E1509" s="69"/>
    </row>
    <row r="1510" spans="3:5">
      <c r="C1510" s="499"/>
      <c r="E1510" s="69"/>
    </row>
    <row r="1511" spans="3:5">
      <c r="C1511" s="499"/>
      <c r="E1511" s="69"/>
    </row>
    <row r="1512" spans="3:5">
      <c r="C1512" s="499"/>
      <c r="E1512" s="69"/>
    </row>
    <row r="1513" spans="3:5">
      <c r="C1513" s="499"/>
      <c r="E1513" s="69"/>
    </row>
    <row r="1514" spans="3:5">
      <c r="C1514" s="499"/>
      <c r="E1514" s="69"/>
    </row>
    <row r="1515" spans="3:5">
      <c r="C1515" s="499"/>
      <c r="E1515" s="69"/>
    </row>
    <row r="1516" spans="3:5">
      <c r="C1516" s="499"/>
      <c r="E1516" s="69"/>
    </row>
    <row r="1517" spans="3:5">
      <c r="C1517" s="499"/>
      <c r="E1517" s="69"/>
    </row>
    <row r="1518" spans="3:5">
      <c r="C1518" s="499"/>
      <c r="E1518" s="69"/>
    </row>
    <row r="1519" spans="3:5">
      <c r="C1519" s="499"/>
      <c r="E1519" s="69"/>
    </row>
    <row r="1520" spans="3:5">
      <c r="C1520" s="499"/>
      <c r="E1520" s="69"/>
    </row>
    <row r="1521" spans="3:5">
      <c r="C1521" s="499"/>
      <c r="E1521" s="69"/>
    </row>
    <row r="1522" spans="3:5">
      <c r="C1522" s="499"/>
      <c r="E1522" s="69"/>
    </row>
    <row r="1523" spans="3:5">
      <c r="C1523" s="499"/>
      <c r="E1523" s="69"/>
    </row>
    <row r="1524" spans="3:5">
      <c r="C1524" s="499"/>
      <c r="E1524" s="69"/>
    </row>
    <row r="1525" spans="3:5">
      <c r="C1525" s="499"/>
      <c r="E1525" s="69"/>
    </row>
    <row r="1526" spans="3:5">
      <c r="C1526" s="499"/>
      <c r="E1526" s="69"/>
    </row>
    <row r="1527" spans="3:5">
      <c r="C1527" s="499"/>
      <c r="E1527" s="69"/>
    </row>
    <row r="1528" spans="3:5">
      <c r="C1528" s="499"/>
      <c r="E1528" s="69"/>
    </row>
    <row r="1529" spans="3:5">
      <c r="C1529" s="499"/>
      <c r="E1529" s="69"/>
    </row>
    <row r="1530" spans="3:5">
      <c r="C1530" s="499"/>
      <c r="E1530" s="69"/>
    </row>
    <row r="1531" spans="3:5">
      <c r="C1531" s="499"/>
      <c r="E1531" s="69"/>
    </row>
    <row r="1532" spans="3:5">
      <c r="C1532" s="499"/>
      <c r="E1532" s="69"/>
    </row>
    <row r="1533" spans="3:5">
      <c r="C1533" s="499"/>
      <c r="E1533" s="69"/>
    </row>
    <row r="1534" spans="3:5">
      <c r="C1534" s="499"/>
      <c r="E1534" s="69"/>
    </row>
    <row r="1535" spans="3:5">
      <c r="C1535" s="499"/>
      <c r="E1535" s="69"/>
    </row>
    <row r="1536" spans="3:5">
      <c r="C1536" s="499"/>
      <c r="E1536" s="69"/>
    </row>
    <row r="1537" spans="3:5">
      <c r="C1537" s="499"/>
      <c r="E1537" s="69"/>
    </row>
    <row r="1538" spans="3:5">
      <c r="C1538" s="499"/>
      <c r="E1538" s="69"/>
    </row>
    <row r="1539" spans="3:5">
      <c r="C1539" s="499"/>
      <c r="E1539" s="69"/>
    </row>
    <row r="1540" spans="3:5">
      <c r="C1540" s="499"/>
      <c r="E1540" s="69"/>
    </row>
    <row r="1541" spans="3:5">
      <c r="C1541" s="499"/>
      <c r="E1541" s="69"/>
    </row>
    <row r="1542" spans="3:5">
      <c r="C1542" s="499"/>
      <c r="E1542" s="69"/>
    </row>
    <row r="1543" spans="3:5">
      <c r="C1543" s="499"/>
      <c r="E1543" s="69"/>
    </row>
    <row r="1544" spans="3:5">
      <c r="C1544" s="499"/>
      <c r="E1544" s="69"/>
    </row>
    <row r="1545" spans="3:5">
      <c r="C1545" s="499"/>
      <c r="E1545" s="69"/>
    </row>
    <row r="1546" spans="3:5">
      <c r="C1546" s="499"/>
      <c r="E1546" s="69"/>
    </row>
    <row r="1547" spans="3:5">
      <c r="C1547" s="499"/>
      <c r="E1547" s="69"/>
    </row>
    <row r="1548" spans="3:5">
      <c r="C1548" s="499"/>
      <c r="E1548" s="69"/>
    </row>
    <row r="1549" spans="3:5">
      <c r="C1549" s="499"/>
      <c r="E1549" s="69"/>
    </row>
    <row r="1550" spans="3:5">
      <c r="C1550" s="499"/>
      <c r="E1550" s="69"/>
    </row>
    <row r="1551" spans="3:5">
      <c r="C1551" s="499"/>
      <c r="E1551" s="69"/>
    </row>
    <row r="1552" spans="3:5">
      <c r="C1552" s="499"/>
      <c r="E1552" s="69"/>
    </row>
    <row r="1553" spans="3:5">
      <c r="C1553" s="499"/>
      <c r="E1553" s="69"/>
    </row>
    <row r="1554" spans="3:5">
      <c r="C1554" s="499"/>
      <c r="E1554" s="69"/>
    </row>
    <row r="1555" spans="3:5">
      <c r="C1555" s="499"/>
      <c r="E1555" s="69"/>
    </row>
    <row r="1556" spans="3:5">
      <c r="C1556" s="499"/>
      <c r="E1556" s="69"/>
    </row>
    <row r="1557" spans="3:5">
      <c r="C1557" s="499"/>
      <c r="E1557" s="69"/>
    </row>
    <row r="1558" spans="3:5">
      <c r="C1558" s="499"/>
      <c r="E1558" s="69"/>
    </row>
    <row r="1559" spans="3:5">
      <c r="C1559" s="499"/>
      <c r="E1559" s="69"/>
    </row>
    <row r="1560" spans="3:5">
      <c r="C1560" s="499"/>
      <c r="E1560" s="69"/>
    </row>
    <row r="1561" spans="3:5">
      <c r="C1561" s="499"/>
      <c r="E1561" s="69"/>
    </row>
    <row r="1562" spans="3:5">
      <c r="C1562" s="499"/>
      <c r="E1562" s="69"/>
    </row>
    <row r="1563" spans="3:5">
      <c r="C1563" s="499"/>
      <c r="E1563" s="69"/>
    </row>
    <row r="1564" spans="3:5">
      <c r="C1564" s="499"/>
      <c r="E1564" s="69"/>
    </row>
    <row r="1565" spans="3:5">
      <c r="C1565" s="499"/>
      <c r="E1565" s="69"/>
    </row>
    <row r="1566" spans="3:5">
      <c r="C1566" s="499"/>
      <c r="E1566" s="69"/>
    </row>
    <row r="1567" spans="3:5">
      <c r="C1567" s="499"/>
      <c r="E1567" s="69"/>
    </row>
    <row r="1568" spans="3:5">
      <c r="C1568" s="499"/>
      <c r="E1568" s="69"/>
    </row>
    <row r="1569" spans="3:5">
      <c r="C1569" s="499"/>
      <c r="E1569" s="69"/>
    </row>
    <row r="1570" spans="3:5">
      <c r="C1570" s="499"/>
      <c r="E1570" s="69"/>
    </row>
    <row r="1571" spans="3:5">
      <c r="C1571" s="499"/>
      <c r="E1571" s="69"/>
    </row>
    <row r="1572" spans="3:5">
      <c r="C1572" s="499"/>
      <c r="E1572" s="69"/>
    </row>
    <row r="1573" spans="3:5">
      <c r="C1573" s="499"/>
      <c r="E1573" s="69"/>
    </row>
    <row r="1574" spans="3:5">
      <c r="C1574" s="499"/>
      <c r="E1574" s="69"/>
    </row>
    <row r="1575" spans="3:5">
      <c r="C1575" s="499"/>
      <c r="E1575" s="69"/>
    </row>
    <row r="1576" spans="3:5">
      <c r="C1576" s="499"/>
      <c r="E1576" s="69"/>
    </row>
    <row r="1577" spans="3:5">
      <c r="C1577" s="499"/>
      <c r="E1577" s="69"/>
    </row>
    <row r="1578" spans="3:5">
      <c r="C1578" s="499"/>
      <c r="E1578" s="69"/>
    </row>
    <row r="1579" spans="3:5">
      <c r="C1579" s="499"/>
      <c r="E1579" s="69"/>
    </row>
    <row r="1580" spans="3:5">
      <c r="C1580" s="499"/>
      <c r="E1580" s="69"/>
    </row>
    <row r="1581" spans="3:5">
      <c r="C1581" s="499"/>
      <c r="E1581" s="69"/>
    </row>
    <row r="1582" spans="3:5">
      <c r="C1582" s="499"/>
      <c r="E1582" s="69"/>
    </row>
    <row r="1583" spans="3:5">
      <c r="C1583" s="499"/>
      <c r="E1583" s="69"/>
    </row>
    <row r="1584" spans="3:5">
      <c r="C1584" s="499"/>
      <c r="E1584" s="69"/>
    </row>
    <row r="1585" spans="3:5">
      <c r="C1585" s="499"/>
      <c r="E1585" s="69"/>
    </row>
    <row r="1586" spans="3:5">
      <c r="C1586" s="499"/>
      <c r="E1586" s="69"/>
    </row>
    <row r="1587" spans="3:5">
      <c r="C1587" s="499"/>
      <c r="E1587" s="69"/>
    </row>
    <row r="1588" spans="3:5">
      <c r="C1588" s="499"/>
      <c r="E1588" s="69"/>
    </row>
    <row r="1589" spans="3:5">
      <c r="C1589" s="499"/>
      <c r="E1589" s="69"/>
    </row>
    <row r="1590" spans="3:5">
      <c r="C1590" s="499"/>
      <c r="E1590" s="69"/>
    </row>
    <row r="1591" spans="3:5">
      <c r="C1591" s="499"/>
      <c r="E1591" s="69"/>
    </row>
    <row r="1592" spans="3:5">
      <c r="C1592" s="499"/>
      <c r="E1592" s="69"/>
    </row>
    <row r="1593" spans="3:5">
      <c r="C1593" s="499"/>
      <c r="E1593" s="69"/>
    </row>
    <row r="1594" spans="3:5">
      <c r="C1594" s="499"/>
      <c r="E1594" s="69"/>
    </row>
    <row r="1595" spans="3:5">
      <c r="C1595" s="499"/>
      <c r="E1595" s="69"/>
    </row>
    <row r="1596" spans="3:5">
      <c r="C1596" s="499"/>
      <c r="E1596" s="69"/>
    </row>
    <row r="1597" spans="3:5">
      <c r="C1597" s="499"/>
      <c r="E1597" s="69"/>
    </row>
    <row r="1598" spans="3:5">
      <c r="C1598" s="499"/>
      <c r="E1598" s="69"/>
    </row>
    <row r="1599" spans="3:5">
      <c r="C1599" s="499"/>
      <c r="E1599" s="69"/>
    </row>
    <row r="1600" spans="3:5">
      <c r="C1600" s="499"/>
      <c r="E1600" s="69"/>
    </row>
    <row r="1601" spans="3:5">
      <c r="C1601" s="499"/>
      <c r="E1601" s="69"/>
    </row>
    <row r="1602" spans="3:5">
      <c r="C1602" s="499"/>
      <c r="E1602" s="69"/>
    </row>
    <row r="1603" spans="3:5">
      <c r="C1603" s="499"/>
      <c r="E1603" s="69"/>
    </row>
    <row r="1604" spans="3:5">
      <c r="C1604" s="499"/>
      <c r="E1604" s="69"/>
    </row>
    <row r="1605" spans="3:5">
      <c r="C1605" s="499"/>
      <c r="E1605" s="69"/>
    </row>
    <row r="1606" spans="3:5">
      <c r="C1606" s="499"/>
      <c r="E1606" s="69"/>
    </row>
    <row r="1607" spans="3:5">
      <c r="C1607" s="499"/>
      <c r="E1607" s="69"/>
    </row>
    <row r="1608" spans="3:5">
      <c r="C1608" s="499"/>
      <c r="E1608" s="69"/>
    </row>
    <row r="1609" spans="3:5">
      <c r="C1609" s="499"/>
      <c r="E1609" s="69"/>
    </row>
    <row r="1610" spans="3:5">
      <c r="C1610" s="499"/>
      <c r="E1610" s="69"/>
    </row>
    <row r="1611" spans="3:5">
      <c r="C1611" s="499"/>
      <c r="E1611" s="69"/>
    </row>
    <row r="1612" spans="3:5">
      <c r="C1612" s="499"/>
      <c r="E1612" s="69"/>
    </row>
    <row r="1613" spans="3:5">
      <c r="C1613" s="499"/>
      <c r="E1613" s="69"/>
    </row>
    <row r="1614" spans="3:5">
      <c r="C1614" s="499"/>
      <c r="E1614" s="69"/>
    </row>
    <row r="1615" spans="3:5">
      <c r="C1615" s="499"/>
      <c r="E1615" s="69"/>
    </row>
    <row r="1616" spans="3:5">
      <c r="C1616" s="499"/>
      <c r="E1616" s="69"/>
    </row>
    <row r="1617" spans="3:5">
      <c r="C1617" s="499"/>
      <c r="E1617" s="69"/>
    </row>
    <row r="1618" spans="3:5">
      <c r="C1618" s="499"/>
      <c r="E1618" s="69"/>
    </row>
    <row r="1619" spans="3:5">
      <c r="C1619" s="499"/>
      <c r="E1619" s="69"/>
    </row>
    <row r="1620" spans="3:5">
      <c r="C1620" s="499"/>
      <c r="E1620" s="69"/>
    </row>
    <row r="1621" spans="3:5">
      <c r="C1621" s="499"/>
      <c r="E1621" s="69"/>
    </row>
    <row r="1622" spans="3:5">
      <c r="C1622" s="499"/>
      <c r="E1622" s="69"/>
    </row>
    <row r="1623" spans="3:5">
      <c r="C1623" s="499"/>
      <c r="E1623" s="69"/>
    </row>
    <row r="1624" spans="3:5">
      <c r="C1624" s="499"/>
      <c r="E1624" s="69"/>
    </row>
    <row r="1625" spans="3:5">
      <c r="C1625" s="499"/>
      <c r="E1625" s="69"/>
    </row>
    <row r="1626" spans="3:5">
      <c r="C1626" s="499"/>
      <c r="E1626" s="69"/>
    </row>
    <row r="1627" spans="3:5">
      <c r="C1627" s="499"/>
      <c r="E1627" s="69"/>
    </row>
    <row r="1628" spans="3:5">
      <c r="C1628" s="499"/>
      <c r="E1628" s="69"/>
    </row>
    <row r="1629" spans="3:5">
      <c r="C1629" s="499"/>
      <c r="E1629" s="69"/>
    </row>
    <row r="1630" spans="3:5">
      <c r="C1630" s="499"/>
      <c r="E1630" s="69"/>
    </row>
    <row r="1631" spans="3:5">
      <c r="C1631" s="499"/>
      <c r="E1631" s="69"/>
    </row>
    <row r="1632" spans="3:5">
      <c r="C1632" s="499"/>
      <c r="E1632" s="69"/>
    </row>
    <row r="1633" spans="3:5">
      <c r="C1633" s="499"/>
      <c r="E1633" s="69"/>
    </row>
    <row r="1634" spans="3:5">
      <c r="C1634" s="499"/>
      <c r="E1634" s="69"/>
    </row>
    <row r="1635" spans="3:5">
      <c r="C1635" s="499"/>
      <c r="E1635" s="69"/>
    </row>
    <row r="1636" spans="3:5">
      <c r="C1636" s="499"/>
      <c r="E1636" s="69"/>
    </row>
    <row r="1637" spans="3:5">
      <c r="C1637" s="499"/>
      <c r="E1637" s="69"/>
    </row>
    <row r="1638" spans="3:5">
      <c r="C1638" s="499"/>
      <c r="E1638" s="69"/>
    </row>
    <row r="1639" spans="3:5">
      <c r="C1639" s="499"/>
      <c r="E1639" s="69"/>
    </row>
    <row r="1640" spans="3:5">
      <c r="C1640" s="499"/>
      <c r="E1640" s="69"/>
    </row>
    <row r="1641" spans="3:5">
      <c r="C1641" s="499"/>
      <c r="E1641" s="69"/>
    </row>
    <row r="1642" spans="3:5">
      <c r="C1642" s="499"/>
      <c r="E1642" s="69"/>
    </row>
    <row r="1643" spans="3:5">
      <c r="C1643" s="499"/>
      <c r="E1643" s="69"/>
    </row>
    <row r="1644" spans="3:5">
      <c r="C1644" s="499"/>
      <c r="E1644" s="69"/>
    </row>
    <row r="1645" spans="3:5">
      <c r="C1645" s="499"/>
      <c r="E1645" s="69"/>
    </row>
    <row r="1646" spans="3:5">
      <c r="C1646" s="499"/>
      <c r="E1646" s="69"/>
    </row>
    <row r="1647" spans="3:5">
      <c r="C1647" s="499"/>
      <c r="E1647" s="69"/>
    </row>
    <row r="1648" spans="3:5">
      <c r="C1648" s="499"/>
      <c r="E1648" s="69"/>
    </row>
    <row r="1649" spans="3:5">
      <c r="C1649" s="499"/>
      <c r="E1649" s="69"/>
    </row>
    <row r="1650" spans="3:5">
      <c r="C1650" s="499"/>
      <c r="E1650" s="69"/>
    </row>
    <row r="1651" spans="3:5">
      <c r="C1651" s="499"/>
      <c r="E1651" s="69"/>
    </row>
    <row r="1652" spans="3:5">
      <c r="C1652" s="499"/>
      <c r="E1652" s="69"/>
    </row>
    <row r="1653" spans="3:5">
      <c r="C1653" s="499"/>
      <c r="E1653" s="69"/>
    </row>
    <row r="1654" spans="3:5">
      <c r="C1654" s="499"/>
      <c r="E1654" s="69"/>
    </row>
    <row r="1655" spans="3:5">
      <c r="C1655" s="499"/>
      <c r="E1655" s="69"/>
    </row>
    <row r="1656" spans="3:5">
      <c r="C1656" s="499"/>
      <c r="E1656" s="69"/>
    </row>
    <row r="1657" spans="3:5">
      <c r="C1657" s="499"/>
      <c r="E1657" s="69"/>
    </row>
    <row r="1658" spans="3:5">
      <c r="C1658" s="499"/>
      <c r="E1658" s="69"/>
    </row>
    <row r="1659" spans="3:5">
      <c r="C1659" s="499"/>
      <c r="E1659" s="69"/>
    </row>
    <row r="1660" spans="3:5">
      <c r="C1660" s="499"/>
      <c r="E1660" s="69"/>
    </row>
    <row r="1661" spans="3:5">
      <c r="C1661" s="499"/>
      <c r="E1661" s="69"/>
    </row>
    <row r="1662" spans="3:5">
      <c r="C1662" s="499"/>
      <c r="E1662" s="69"/>
    </row>
    <row r="1663" spans="3:5">
      <c r="C1663" s="499"/>
      <c r="E1663" s="69"/>
    </row>
    <row r="1664" spans="3:5">
      <c r="C1664" s="499"/>
      <c r="E1664" s="69"/>
    </row>
    <row r="1665" spans="3:5">
      <c r="C1665" s="499"/>
      <c r="E1665" s="69"/>
    </row>
    <row r="1666" spans="3:5">
      <c r="C1666" s="499"/>
      <c r="E1666" s="69"/>
    </row>
    <row r="1667" spans="3:5">
      <c r="C1667" s="499"/>
      <c r="E1667" s="69"/>
    </row>
    <row r="1668" spans="3:5">
      <c r="C1668" s="499"/>
      <c r="E1668" s="69"/>
    </row>
    <row r="1669" spans="3:5">
      <c r="C1669" s="499"/>
      <c r="E1669" s="69"/>
    </row>
    <row r="1670" spans="3:5">
      <c r="C1670" s="499"/>
      <c r="E1670" s="69"/>
    </row>
    <row r="1671" spans="3:5">
      <c r="C1671" s="499"/>
      <c r="E1671" s="69"/>
    </row>
    <row r="1672" spans="3:5">
      <c r="C1672" s="499"/>
      <c r="E1672" s="69"/>
    </row>
    <row r="1673" spans="3:5">
      <c r="C1673" s="499"/>
      <c r="E1673" s="69"/>
    </row>
    <row r="1674" spans="3:5">
      <c r="C1674" s="499"/>
      <c r="E1674" s="69"/>
    </row>
    <row r="1675" spans="3:5">
      <c r="C1675" s="499"/>
      <c r="E1675" s="69"/>
    </row>
    <row r="1676" spans="3:5">
      <c r="C1676" s="499"/>
      <c r="E1676" s="69"/>
    </row>
    <row r="1677" spans="3:5">
      <c r="C1677" s="499"/>
      <c r="E1677" s="69"/>
    </row>
    <row r="1678" spans="3:5">
      <c r="C1678" s="499"/>
      <c r="E1678" s="69"/>
    </row>
    <row r="1679" spans="3:5">
      <c r="C1679" s="499"/>
      <c r="E1679" s="69"/>
    </row>
    <row r="1680" spans="3:5">
      <c r="C1680" s="499"/>
      <c r="E1680" s="69"/>
    </row>
    <row r="1681" spans="3:5">
      <c r="C1681" s="499"/>
      <c r="E1681" s="69"/>
    </row>
    <row r="1682" spans="3:5">
      <c r="C1682" s="499"/>
      <c r="E1682" s="69"/>
    </row>
    <row r="1683" spans="3:5">
      <c r="C1683" s="499"/>
      <c r="E1683" s="69"/>
    </row>
    <row r="1684" spans="3:5">
      <c r="C1684" s="499"/>
      <c r="E1684" s="69"/>
    </row>
    <row r="1685" spans="3:5">
      <c r="C1685" s="499"/>
      <c r="E1685" s="69"/>
    </row>
    <row r="1686" spans="3:5">
      <c r="C1686" s="499"/>
      <c r="E1686" s="69"/>
    </row>
    <row r="1687" spans="3:5">
      <c r="C1687" s="499"/>
      <c r="E1687" s="69"/>
    </row>
    <row r="1688" spans="3:5">
      <c r="C1688" s="499"/>
      <c r="E1688" s="69"/>
    </row>
    <row r="1689" spans="3:5">
      <c r="C1689" s="499"/>
      <c r="E1689" s="69"/>
    </row>
    <row r="1690" spans="3:5">
      <c r="C1690" s="499"/>
      <c r="E1690" s="69"/>
    </row>
    <row r="1691" spans="3:5">
      <c r="C1691" s="499"/>
      <c r="E1691" s="69"/>
    </row>
    <row r="1692" spans="3:5">
      <c r="C1692" s="499"/>
      <c r="E1692" s="69"/>
    </row>
    <row r="1693" spans="3:5">
      <c r="C1693" s="499"/>
      <c r="E1693" s="69"/>
    </row>
    <row r="1694" spans="3:5">
      <c r="C1694" s="499"/>
      <c r="E1694" s="69"/>
    </row>
    <row r="1695" spans="3:5">
      <c r="C1695" s="499"/>
      <c r="E1695" s="69"/>
    </row>
    <row r="1696" spans="3:5">
      <c r="C1696" s="499"/>
      <c r="E1696" s="69"/>
    </row>
    <row r="1697" spans="3:5">
      <c r="C1697" s="499"/>
      <c r="E1697" s="69"/>
    </row>
    <row r="1698" spans="3:5">
      <c r="C1698" s="499"/>
      <c r="E1698" s="69"/>
    </row>
    <row r="1699" spans="3:5">
      <c r="C1699" s="499"/>
      <c r="E1699" s="69"/>
    </row>
    <row r="1700" spans="3:5">
      <c r="C1700" s="499"/>
      <c r="E1700" s="69"/>
    </row>
    <row r="1701" spans="3:5">
      <c r="C1701" s="499"/>
      <c r="E1701" s="69"/>
    </row>
    <row r="1702" spans="3:5">
      <c r="C1702" s="499"/>
      <c r="E1702" s="69"/>
    </row>
    <row r="1703" spans="3:5">
      <c r="C1703" s="499"/>
      <c r="E1703" s="69"/>
    </row>
    <row r="1704" spans="3:5">
      <c r="C1704" s="499"/>
      <c r="E1704" s="69"/>
    </row>
    <row r="1705" spans="3:5">
      <c r="C1705" s="499"/>
      <c r="E1705" s="69"/>
    </row>
    <row r="1706" spans="3:5">
      <c r="C1706" s="499"/>
      <c r="E1706" s="69"/>
    </row>
    <row r="1707" spans="3:5">
      <c r="C1707" s="499"/>
      <c r="E1707" s="69"/>
    </row>
    <row r="1708" spans="3:5">
      <c r="C1708" s="499"/>
      <c r="E1708" s="69"/>
    </row>
    <row r="1709" spans="3:5">
      <c r="C1709" s="499"/>
      <c r="E1709" s="69"/>
    </row>
    <row r="1710" spans="3:5">
      <c r="C1710" s="499"/>
      <c r="E1710" s="69"/>
    </row>
    <row r="1711" spans="3:5">
      <c r="C1711" s="499"/>
      <c r="E1711" s="69"/>
    </row>
    <row r="1712" spans="3:5">
      <c r="C1712" s="499"/>
      <c r="E1712" s="69"/>
    </row>
    <row r="1713" spans="3:5">
      <c r="C1713" s="499"/>
      <c r="E1713" s="69"/>
    </row>
    <row r="1714" spans="3:5">
      <c r="C1714" s="499"/>
      <c r="E1714" s="69"/>
    </row>
    <row r="1715" spans="3:5">
      <c r="C1715" s="499"/>
      <c r="E1715" s="69"/>
    </row>
    <row r="1716" spans="3:5">
      <c r="C1716" s="499"/>
      <c r="E1716" s="69"/>
    </row>
    <row r="1717" spans="3:5">
      <c r="C1717" s="499"/>
      <c r="E1717" s="69"/>
    </row>
    <row r="1718" spans="3:5">
      <c r="C1718" s="499"/>
      <c r="E1718" s="69"/>
    </row>
    <row r="1719" spans="3:5">
      <c r="C1719" s="499"/>
      <c r="E1719" s="69"/>
    </row>
    <row r="1720" spans="3:5">
      <c r="C1720" s="499"/>
      <c r="E1720" s="69"/>
    </row>
    <row r="1721" spans="3:5">
      <c r="C1721" s="499"/>
      <c r="E1721" s="69"/>
    </row>
    <row r="1722" spans="3:5">
      <c r="C1722" s="499"/>
      <c r="E1722" s="69"/>
    </row>
    <row r="1723" spans="3:5">
      <c r="C1723" s="499"/>
      <c r="E1723" s="69"/>
    </row>
    <row r="1724" spans="3:5">
      <c r="C1724" s="499"/>
      <c r="E1724" s="69"/>
    </row>
    <row r="1725" spans="3:5">
      <c r="C1725" s="499"/>
      <c r="E1725" s="69"/>
    </row>
    <row r="1726" spans="3:5">
      <c r="C1726" s="499"/>
      <c r="E1726" s="69"/>
    </row>
    <row r="1727" spans="3:5">
      <c r="C1727" s="499"/>
      <c r="E1727" s="69"/>
    </row>
    <row r="1728" spans="3:5">
      <c r="C1728" s="499"/>
    </row>
    <row r="1729" spans="3:3">
      <c r="C1729" s="499"/>
    </row>
    <row r="1730" spans="3:3">
      <c r="C1730" s="499"/>
    </row>
    <row r="1731" spans="3:3">
      <c r="C1731" s="499"/>
    </row>
    <row r="1732" spans="3:3">
      <c r="C1732" s="499"/>
    </row>
    <row r="1733" spans="3:3">
      <c r="C1733" s="499"/>
    </row>
    <row r="1734" spans="3:3">
      <c r="C1734" s="499"/>
    </row>
    <row r="1735" spans="3:3">
      <c r="C1735" s="499"/>
    </row>
    <row r="1736" spans="3:3">
      <c r="C1736" s="499"/>
    </row>
    <row r="1737" spans="3:3">
      <c r="C1737" s="499"/>
    </row>
    <row r="1738" spans="3:3">
      <c r="C1738" s="499"/>
    </row>
    <row r="1739" spans="3:3">
      <c r="C1739" s="499"/>
    </row>
    <row r="1740" spans="3:3">
      <c r="C1740" s="499"/>
    </row>
    <row r="1741" spans="3:3">
      <c r="C1741" s="499"/>
    </row>
    <row r="1742" spans="3:3">
      <c r="C1742" s="499"/>
    </row>
    <row r="1743" spans="3:3">
      <c r="C1743" s="499"/>
    </row>
    <row r="1744" spans="3:3">
      <c r="C1744" s="499"/>
    </row>
    <row r="1745" spans="3:3">
      <c r="C1745" s="499"/>
    </row>
    <row r="1746" spans="3:3">
      <c r="C1746" s="499"/>
    </row>
    <row r="1747" spans="3:3">
      <c r="C1747" s="499"/>
    </row>
    <row r="1748" spans="3:3">
      <c r="C1748" s="499"/>
    </row>
    <row r="1749" spans="3:3">
      <c r="C1749" s="499"/>
    </row>
    <row r="1750" spans="3:3">
      <c r="C1750" s="499"/>
    </row>
    <row r="1751" spans="3:3">
      <c r="C1751" s="499"/>
    </row>
    <row r="1752" spans="3:3">
      <c r="C1752" s="499"/>
    </row>
    <row r="1753" spans="3:3">
      <c r="C1753" s="499"/>
    </row>
    <row r="1754" spans="3:3">
      <c r="C1754" s="499"/>
    </row>
    <row r="1755" spans="3:3">
      <c r="C1755" s="499"/>
    </row>
    <row r="1756" spans="3:3">
      <c r="C1756" s="499"/>
    </row>
    <row r="1757" spans="3:3">
      <c r="C1757" s="499"/>
    </row>
    <row r="1758" spans="3:3">
      <c r="C1758" s="499"/>
    </row>
    <row r="1759" spans="3:3">
      <c r="C1759" s="499"/>
    </row>
    <row r="1760" spans="3:3">
      <c r="C1760" s="499"/>
    </row>
    <row r="1761" spans="3:3">
      <c r="C1761" s="499"/>
    </row>
    <row r="1762" spans="3:3">
      <c r="C1762" s="499"/>
    </row>
    <row r="1763" spans="3:3">
      <c r="C1763" s="499"/>
    </row>
    <row r="1764" spans="3:3">
      <c r="C1764" s="499"/>
    </row>
    <row r="1765" spans="3:3">
      <c r="C1765" s="499"/>
    </row>
    <row r="1766" spans="3:3">
      <c r="C1766" s="499"/>
    </row>
    <row r="1767" spans="3:3">
      <c r="C1767" s="499"/>
    </row>
    <row r="1768" spans="3:3">
      <c r="C1768" s="499"/>
    </row>
    <row r="1769" spans="3:3">
      <c r="C1769" s="499"/>
    </row>
    <row r="1770" spans="3:3">
      <c r="C1770" s="499"/>
    </row>
    <row r="1771" spans="3:3">
      <c r="C1771" s="499"/>
    </row>
    <row r="1772" spans="3:3">
      <c r="C1772" s="499"/>
    </row>
    <row r="1773" spans="3:3">
      <c r="C1773" s="499"/>
    </row>
    <row r="1774" spans="3:3">
      <c r="C1774" s="499"/>
    </row>
    <row r="1775" spans="3:3">
      <c r="C1775" s="499"/>
    </row>
    <row r="1776" spans="3:3">
      <c r="C1776" s="499"/>
    </row>
    <row r="1777" spans="3:3">
      <c r="C1777" s="499"/>
    </row>
    <row r="1778" spans="3:3">
      <c r="C1778" s="499"/>
    </row>
    <row r="1779" spans="3:3">
      <c r="C1779" s="499"/>
    </row>
    <row r="1780" spans="3:3">
      <c r="C1780" s="499"/>
    </row>
    <row r="1781" spans="3:3">
      <c r="C1781" s="499"/>
    </row>
    <row r="1782" spans="3:3">
      <c r="C1782" s="499"/>
    </row>
    <row r="1783" spans="3:3">
      <c r="C1783" s="499"/>
    </row>
    <row r="1784" spans="3:3">
      <c r="C1784" s="499"/>
    </row>
    <row r="1785" spans="3:3">
      <c r="C1785" s="499"/>
    </row>
    <row r="1786" spans="3:3">
      <c r="C1786" s="499"/>
    </row>
    <row r="1787" spans="3:3">
      <c r="C1787" s="499"/>
    </row>
    <row r="1788" spans="3:3">
      <c r="C1788" s="499"/>
    </row>
    <row r="1789" spans="3:3">
      <c r="C1789" s="499"/>
    </row>
    <row r="1790" spans="3:3">
      <c r="C1790" s="499"/>
    </row>
    <row r="1791" spans="3:3">
      <c r="C1791" s="499"/>
    </row>
    <row r="1792" spans="3:3">
      <c r="C1792" s="499"/>
    </row>
    <row r="1793" spans="3:3">
      <c r="C1793" s="499"/>
    </row>
    <row r="1794" spans="3:3">
      <c r="C1794" s="499"/>
    </row>
    <row r="1795" spans="3:3">
      <c r="C1795" s="499"/>
    </row>
    <row r="1796" spans="3:3">
      <c r="C1796" s="499"/>
    </row>
    <row r="1797" spans="3:3">
      <c r="C1797" s="499"/>
    </row>
    <row r="1798" spans="3:3">
      <c r="C1798" s="499"/>
    </row>
    <row r="1799" spans="3:3">
      <c r="C1799" s="499"/>
    </row>
    <row r="1800" spans="3:3">
      <c r="C1800" s="499"/>
    </row>
    <row r="1801" spans="3:3">
      <c r="C1801" s="499"/>
    </row>
    <row r="1802" spans="3:3">
      <c r="C1802" s="499"/>
    </row>
    <row r="1803" spans="3:3">
      <c r="C1803" s="499"/>
    </row>
    <row r="1804" spans="3:3">
      <c r="C1804" s="499"/>
    </row>
    <row r="1805" spans="3:3">
      <c r="C1805" s="499"/>
    </row>
    <row r="1806" spans="3:3">
      <c r="C1806" s="499"/>
    </row>
    <row r="1807" spans="3:3">
      <c r="C1807" s="499"/>
    </row>
    <row r="1808" spans="3:3">
      <c r="C1808" s="499"/>
    </row>
    <row r="1809" spans="3:3">
      <c r="C1809" s="499"/>
    </row>
    <row r="1810" spans="3:3">
      <c r="C1810" s="499"/>
    </row>
    <row r="1811" spans="3:3">
      <c r="C1811" s="499"/>
    </row>
    <row r="1812" spans="3:3">
      <c r="C1812" s="499"/>
    </row>
    <row r="1813" spans="3:3">
      <c r="C1813" s="499"/>
    </row>
    <row r="1814" spans="3:3">
      <c r="C1814" s="499"/>
    </row>
    <row r="1815" spans="3:3">
      <c r="C1815" s="499"/>
    </row>
    <row r="1816" spans="3:3">
      <c r="C1816" s="499"/>
    </row>
    <row r="1817" spans="3:3">
      <c r="C1817" s="499"/>
    </row>
    <row r="1818" spans="3:3">
      <c r="C1818" s="499"/>
    </row>
    <row r="1819" spans="3:3">
      <c r="C1819" s="499"/>
    </row>
    <row r="1820" spans="3:3">
      <c r="C1820" s="499"/>
    </row>
    <row r="1821" spans="3:3">
      <c r="C1821" s="499"/>
    </row>
    <row r="1822" spans="3:3">
      <c r="C1822" s="499"/>
    </row>
    <row r="1823" spans="3:3">
      <c r="C1823" s="499"/>
    </row>
    <row r="1824" spans="3:3">
      <c r="C1824" s="499"/>
    </row>
    <row r="1825" spans="3:3">
      <c r="C1825" s="499"/>
    </row>
    <row r="1826" spans="3:3">
      <c r="C1826" s="499"/>
    </row>
    <row r="1827" spans="3:3">
      <c r="C1827" s="499"/>
    </row>
    <row r="1828" spans="3:3">
      <c r="C1828" s="499"/>
    </row>
    <row r="1829" spans="3:3">
      <c r="C1829" s="499"/>
    </row>
    <row r="1830" spans="3:3">
      <c r="C1830" s="499"/>
    </row>
    <row r="1831" spans="3:3">
      <c r="C1831" s="499"/>
    </row>
    <row r="1832" spans="3:3">
      <c r="C1832" s="499"/>
    </row>
    <row r="1833" spans="3:3">
      <c r="C1833" s="499"/>
    </row>
    <row r="1834" spans="3:3">
      <c r="C1834" s="499"/>
    </row>
    <row r="1835" spans="3:3">
      <c r="C1835" s="499"/>
    </row>
    <row r="1836" spans="3:3">
      <c r="C1836" s="499"/>
    </row>
    <row r="1837" spans="3:3">
      <c r="C1837" s="499"/>
    </row>
    <row r="1838" spans="3:3">
      <c r="C1838" s="499"/>
    </row>
    <row r="1839" spans="3:3">
      <c r="C1839" s="499"/>
    </row>
    <row r="1840" spans="3:3">
      <c r="C1840" s="499"/>
    </row>
    <row r="1841" spans="3:3">
      <c r="C1841" s="499"/>
    </row>
    <row r="1842" spans="3:3">
      <c r="C1842" s="499"/>
    </row>
    <row r="1843" spans="3:3">
      <c r="C1843" s="499"/>
    </row>
    <row r="1844" spans="3:3">
      <c r="C1844" s="499"/>
    </row>
    <row r="1845" spans="3:3">
      <c r="C1845" s="499"/>
    </row>
    <row r="1846" spans="3:3">
      <c r="C1846" s="499"/>
    </row>
    <row r="1847" spans="3:3">
      <c r="C1847" s="499"/>
    </row>
    <row r="1848" spans="3:3">
      <c r="C1848" s="499"/>
    </row>
    <row r="1849" spans="3:3">
      <c r="C1849" s="499"/>
    </row>
    <row r="1850" spans="3:3">
      <c r="C1850" s="499"/>
    </row>
    <row r="1851" spans="3:3">
      <c r="C1851" s="499"/>
    </row>
    <row r="1852" spans="3:3">
      <c r="C1852" s="499"/>
    </row>
    <row r="1853" spans="3:3">
      <c r="C1853" s="499"/>
    </row>
    <row r="1854" spans="3:3">
      <c r="C1854" s="499"/>
    </row>
    <row r="1855" spans="3:3">
      <c r="C1855" s="499"/>
    </row>
    <row r="1856" spans="3:3">
      <c r="C1856" s="499"/>
    </row>
    <row r="1857" spans="3:3">
      <c r="C1857" s="499"/>
    </row>
    <row r="1858" spans="3:3">
      <c r="C1858" s="499"/>
    </row>
    <row r="1859" spans="3:3">
      <c r="C1859" s="499"/>
    </row>
    <row r="1860" spans="3:3">
      <c r="C1860" s="499"/>
    </row>
    <row r="1861" spans="3:3">
      <c r="C1861" s="499"/>
    </row>
    <row r="1862" spans="3:3">
      <c r="C1862" s="499"/>
    </row>
    <row r="1863" spans="3:3">
      <c r="C1863" s="499"/>
    </row>
    <row r="1864" spans="3:3">
      <c r="C1864" s="499"/>
    </row>
    <row r="1865" spans="3:3">
      <c r="C1865" s="499"/>
    </row>
    <row r="1866" spans="3:3">
      <c r="C1866" s="499"/>
    </row>
    <row r="1867" spans="3:3">
      <c r="C1867" s="499"/>
    </row>
    <row r="1868" spans="3:3">
      <c r="C1868" s="499"/>
    </row>
    <row r="1869" spans="3:3">
      <c r="C1869" s="499"/>
    </row>
    <row r="1870" spans="3:3">
      <c r="C1870" s="499"/>
    </row>
    <row r="1871" spans="3:3">
      <c r="C1871" s="499"/>
    </row>
    <row r="1872" spans="3:3">
      <c r="C1872" s="499"/>
    </row>
    <row r="1873" spans="3:3">
      <c r="C1873" s="499"/>
    </row>
    <row r="1874" spans="3:3">
      <c r="C1874" s="499"/>
    </row>
    <row r="1875" spans="3:3">
      <c r="C1875" s="499"/>
    </row>
    <row r="1876" spans="3:3">
      <c r="C1876" s="499"/>
    </row>
    <row r="1877" spans="3:3">
      <c r="C1877" s="499"/>
    </row>
    <row r="1878" spans="3:3">
      <c r="C1878" s="499"/>
    </row>
    <row r="1879" spans="3:3">
      <c r="C1879" s="499"/>
    </row>
    <row r="1880" spans="3:3">
      <c r="C1880" s="499"/>
    </row>
    <row r="1881" spans="3:3">
      <c r="C1881" s="499"/>
    </row>
    <row r="1882" spans="3:3">
      <c r="C1882" s="499"/>
    </row>
    <row r="1883" spans="3:3">
      <c r="C1883" s="499"/>
    </row>
    <row r="1884" spans="3:3">
      <c r="C1884" s="499"/>
    </row>
    <row r="1885" spans="3:3">
      <c r="C1885" s="499"/>
    </row>
    <row r="1886" spans="3:3">
      <c r="C1886" s="499"/>
    </row>
    <row r="1887" spans="3:3">
      <c r="C1887" s="499"/>
    </row>
    <row r="1888" spans="3:3">
      <c r="C1888" s="499"/>
    </row>
    <row r="1889" spans="3:3">
      <c r="C1889" s="499"/>
    </row>
    <row r="1890" spans="3:3">
      <c r="C1890" s="499"/>
    </row>
    <row r="1891" spans="3:3">
      <c r="C1891" s="499"/>
    </row>
    <row r="1892" spans="3:3">
      <c r="C1892" s="499"/>
    </row>
    <row r="1893" spans="3:3">
      <c r="C1893" s="499"/>
    </row>
    <row r="1894" spans="3:3">
      <c r="C1894" s="499"/>
    </row>
    <row r="1895" spans="3:3">
      <c r="C1895" s="499"/>
    </row>
    <row r="1896" spans="3:3">
      <c r="C1896" s="499"/>
    </row>
    <row r="1897" spans="3:3">
      <c r="C1897" s="499"/>
    </row>
    <row r="1898" spans="3:3">
      <c r="C1898" s="499"/>
    </row>
    <row r="1899" spans="3:3">
      <c r="C1899" s="499"/>
    </row>
    <row r="1900" spans="3:3">
      <c r="C1900" s="499"/>
    </row>
    <row r="1901" spans="3:3">
      <c r="C1901" s="499"/>
    </row>
    <row r="1902" spans="3:3">
      <c r="C1902" s="499"/>
    </row>
    <row r="1903" spans="3:3">
      <c r="C1903" s="499"/>
    </row>
    <row r="1904" spans="3:3">
      <c r="C1904" s="499"/>
    </row>
    <row r="1905" spans="3:3">
      <c r="C1905" s="499"/>
    </row>
    <row r="1906" spans="3:3">
      <c r="C1906" s="499"/>
    </row>
    <row r="1907" spans="3:3">
      <c r="C1907" s="499"/>
    </row>
    <row r="1908" spans="3:3">
      <c r="C1908" s="499"/>
    </row>
    <row r="1909" spans="3:3">
      <c r="C1909" s="499"/>
    </row>
    <row r="1910" spans="3:3">
      <c r="C1910" s="499"/>
    </row>
    <row r="1911" spans="3:3">
      <c r="C1911" s="499"/>
    </row>
    <row r="1912" spans="3:3">
      <c r="C1912" s="499"/>
    </row>
    <row r="1913" spans="3:3">
      <c r="C1913" s="499"/>
    </row>
    <row r="1914" spans="3:3">
      <c r="C1914" s="499"/>
    </row>
    <row r="1915" spans="3:3">
      <c r="C1915" s="499"/>
    </row>
    <row r="1916" spans="3:3">
      <c r="C1916" s="499"/>
    </row>
    <row r="1917" spans="3:3">
      <c r="C1917" s="499"/>
    </row>
    <row r="1918" spans="3:3">
      <c r="C1918" s="499"/>
    </row>
    <row r="1919" spans="3:3">
      <c r="C1919" s="499"/>
    </row>
    <row r="1920" spans="3:3">
      <c r="C1920" s="499"/>
    </row>
    <row r="1921" spans="3:3">
      <c r="C1921" s="499"/>
    </row>
    <row r="1922" spans="3:3">
      <c r="C1922" s="499"/>
    </row>
    <row r="1923" spans="3:3">
      <c r="C1923" s="499"/>
    </row>
    <row r="1924" spans="3:3">
      <c r="C1924" s="499"/>
    </row>
    <row r="1925" spans="3:3">
      <c r="C1925" s="499"/>
    </row>
    <row r="1926" spans="3:3">
      <c r="C1926" s="499"/>
    </row>
    <row r="1927" spans="3:3">
      <c r="C1927" s="499"/>
    </row>
    <row r="1928" spans="3:3">
      <c r="C1928" s="499"/>
    </row>
    <row r="1929" spans="3:3">
      <c r="C1929" s="499"/>
    </row>
    <row r="1930" spans="3:3">
      <c r="C1930" s="499"/>
    </row>
    <row r="1931" spans="3:3">
      <c r="C1931" s="499"/>
    </row>
    <row r="1932" spans="3:3">
      <c r="C1932" s="499"/>
    </row>
    <row r="1933" spans="3:3">
      <c r="C1933" s="499"/>
    </row>
    <row r="1934" spans="3:3">
      <c r="C1934" s="499"/>
    </row>
    <row r="1935" spans="3:3">
      <c r="C1935" s="499"/>
    </row>
    <row r="1936" spans="3:3">
      <c r="C1936" s="499"/>
    </row>
    <row r="1937" spans="3:3">
      <c r="C1937" s="499"/>
    </row>
    <row r="1938" spans="3:3">
      <c r="C1938" s="499"/>
    </row>
    <row r="1939" spans="3:3">
      <c r="C1939" s="499"/>
    </row>
    <row r="1940" spans="3:3">
      <c r="C1940" s="499"/>
    </row>
    <row r="1941" spans="3:3">
      <c r="C1941" s="499"/>
    </row>
    <row r="1942" spans="3:3">
      <c r="C1942" s="499"/>
    </row>
    <row r="1943" spans="3:3">
      <c r="C1943" s="499"/>
    </row>
    <row r="1944" spans="3:3">
      <c r="C1944" s="499"/>
    </row>
    <row r="1945" spans="3:3">
      <c r="C1945" s="499"/>
    </row>
    <row r="1946" spans="3:3">
      <c r="C1946" s="499"/>
    </row>
    <row r="1947" spans="3:3">
      <c r="C1947" s="499"/>
    </row>
    <row r="1948" spans="3:3">
      <c r="C1948" s="499"/>
    </row>
    <row r="1949" spans="3:3">
      <c r="C1949" s="499"/>
    </row>
    <row r="1950" spans="3:3">
      <c r="C1950" s="499"/>
    </row>
    <row r="1951" spans="3:3">
      <c r="C1951" s="499"/>
    </row>
    <row r="1952" spans="3:3">
      <c r="C1952" s="499"/>
    </row>
    <row r="1953" spans="3:3">
      <c r="C1953" s="499"/>
    </row>
    <row r="1954" spans="3:3">
      <c r="C1954" s="499"/>
    </row>
    <row r="1955" spans="3:3">
      <c r="C1955" s="499"/>
    </row>
    <row r="1956" spans="3:3">
      <c r="C1956" s="499"/>
    </row>
    <row r="1957" spans="3:3">
      <c r="C1957" s="499"/>
    </row>
    <row r="1958" spans="3:3">
      <c r="C1958" s="499"/>
    </row>
    <row r="1959" spans="3:3">
      <c r="C1959" s="499"/>
    </row>
    <row r="1960" spans="3:3">
      <c r="C1960" s="499"/>
    </row>
    <row r="1961" spans="3:3">
      <c r="C1961" s="499"/>
    </row>
    <row r="1962" spans="3:3">
      <c r="C1962" s="499"/>
    </row>
    <row r="1963" spans="3:3">
      <c r="C1963" s="499"/>
    </row>
    <row r="1964" spans="3:3">
      <c r="C1964" s="499"/>
    </row>
    <row r="1965" spans="3:3">
      <c r="C1965" s="499"/>
    </row>
    <row r="1966" spans="3:3">
      <c r="C1966" s="499"/>
    </row>
    <row r="1967" spans="3:3">
      <c r="C1967" s="499"/>
    </row>
    <row r="1968" spans="3:3">
      <c r="C1968" s="499"/>
    </row>
    <row r="1969" spans="3:3">
      <c r="C1969" s="499"/>
    </row>
    <row r="1970" spans="3:3">
      <c r="C1970" s="499"/>
    </row>
    <row r="1971" spans="3:3">
      <c r="C1971" s="499"/>
    </row>
    <row r="1972" spans="3:3">
      <c r="C1972" s="499"/>
    </row>
    <row r="1973" spans="3:3">
      <c r="C1973" s="499"/>
    </row>
    <row r="1974" spans="3:3">
      <c r="C1974" s="499"/>
    </row>
    <row r="1975" spans="3:3">
      <c r="C1975" s="499"/>
    </row>
    <row r="1976" spans="3:3">
      <c r="C1976" s="499"/>
    </row>
    <row r="1977" spans="3:3">
      <c r="C1977" s="499"/>
    </row>
    <row r="1978" spans="3:3">
      <c r="C1978" s="499"/>
    </row>
    <row r="1979" spans="3:3">
      <c r="C1979" s="499"/>
    </row>
    <row r="1980" spans="3:3">
      <c r="C1980" s="499"/>
    </row>
    <row r="1981" spans="3:3">
      <c r="C1981" s="499"/>
    </row>
    <row r="1982" spans="3:3">
      <c r="C1982" s="499"/>
    </row>
    <row r="1983" spans="3:3">
      <c r="C1983" s="499"/>
    </row>
    <row r="1984" spans="3:3">
      <c r="C1984" s="499"/>
    </row>
    <row r="1985" spans="3:3">
      <c r="C1985" s="499"/>
    </row>
    <row r="1986" spans="3:3">
      <c r="C1986" s="499"/>
    </row>
    <row r="1987" spans="3:3">
      <c r="C1987" s="499"/>
    </row>
    <row r="1988" spans="3:3">
      <c r="C1988" s="499"/>
    </row>
    <row r="1989" spans="3:3">
      <c r="C1989" s="499"/>
    </row>
    <row r="1990" spans="3:3">
      <c r="C1990" s="499"/>
    </row>
    <row r="1991" spans="3:3">
      <c r="C1991" s="499"/>
    </row>
    <row r="1992" spans="3:3">
      <c r="C1992" s="499"/>
    </row>
    <row r="1993" spans="3:3">
      <c r="C1993" s="499"/>
    </row>
    <row r="1994" spans="3:3">
      <c r="C1994" s="499"/>
    </row>
    <row r="1995" spans="3:3">
      <c r="C1995" s="499"/>
    </row>
    <row r="1996" spans="3:3">
      <c r="C1996" s="499"/>
    </row>
    <row r="1997" spans="3:3">
      <c r="C1997" s="499"/>
    </row>
    <row r="1998" spans="3:3">
      <c r="C1998" s="499"/>
    </row>
    <row r="1999" spans="3:3">
      <c r="C1999" s="499"/>
    </row>
    <row r="2000" spans="3:3">
      <c r="C2000" s="499"/>
    </row>
    <row r="2001" spans="3:3">
      <c r="C2001" s="499"/>
    </row>
    <row r="2002" spans="3:3">
      <c r="C2002" s="499"/>
    </row>
    <row r="2003" spans="3:3">
      <c r="C2003" s="499"/>
    </row>
    <row r="2004" spans="3:3">
      <c r="C2004" s="499"/>
    </row>
    <row r="2005" spans="3:3">
      <c r="C2005" s="499"/>
    </row>
    <row r="2006" spans="3:3">
      <c r="C2006" s="499"/>
    </row>
    <row r="2007" spans="3:3">
      <c r="C2007" s="499"/>
    </row>
    <row r="2008" spans="3:3">
      <c r="C2008" s="499"/>
    </row>
    <row r="2009" spans="3:3">
      <c r="C2009" s="499"/>
    </row>
    <row r="2010" spans="3:3">
      <c r="C2010" s="499"/>
    </row>
    <row r="2011" spans="3:3">
      <c r="C2011" s="499"/>
    </row>
    <row r="2012" spans="3:3">
      <c r="C2012" s="499"/>
    </row>
    <row r="2013" spans="3:3">
      <c r="C2013" s="499"/>
    </row>
    <row r="2014" spans="3:3">
      <c r="C2014" s="499"/>
    </row>
    <row r="2015" spans="3:3">
      <c r="C2015" s="499"/>
    </row>
    <row r="2016" spans="3:3">
      <c r="C2016" s="499"/>
    </row>
    <row r="2017" spans="3:3">
      <c r="C2017" s="499"/>
    </row>
    <row r="2018" spans="3:3">
      <c r="C2018" s="499"/>
    </row>
    <row r="2019" spans="3:3">
      <c r="C2019" s="499"/>
    </row>
    <row r="2020" spans="3:3">
      <c r="C2020" s="499"/>
    </row>
    <row r="2021" spans="3:3">
      <c r="C2021" s="499"/>
    </row>
    <row r="2022" spans="3:3">
      <c r="C2022" s="499"/>
    </row>
    <row r="2023" spans="3:3">
      <c r="C2023" s="499"/>
    </row>
    <row r="2024" spans="3:3">
      <c r="C2024" s="499"/>
    </row>
    <row r="2025" spans="3:3">
      <c r="C2025" s="499"/>
    </row>
    <row r="2026" spans="3:3">
      <c r="C2026" s="499"/>
    </row>
    <row r="2027" spans="3:3">
      <c r="C2027" s="499"/>
    </row>
    <row r="2028" spans="3:3">
      <c r="C2028" s="499"/>
    </row>
    <row r="2029" spans="3:3">
      <c r="C2029" s="499"/>
    </row>
    <row r="2030" spans="3:3">
      <c r="C2030" s="499"/>
    </row>
    <row r="2031" spans="3:3">
      <c r="C2031" s="499"/>
    </row>
    <row r="2032" spans="3:3">
      <c r="C2032" s="499"/>
    </row>
    <row r="2033" spans="3:3">
      <c r="C2033" s="499"/>
    </row>
    <row r="2034" spans="3:3">
      <c r="C2034" s="499"/>
    </row>
    <row r="2035" spans="3:3">
      <c r="C2035" s="499"/>
    </row>
    <row r="2036" spans="3:3">
      <c r="C2036" s="499"/>
    </row>
    <row r="2037" spans="3:3">
      <c r="C2037" s="499"/>
    </row>
    <row r="2038" spans="3:3">
      <c r="C2038" s="499"/>
    </row>
    <row r="2039" spans="3:3">
      <c r="C2039" s="499"/>
    </row>
    <row r="2040" spans="3:3">
      <c r="C2040" s="499"/>
    </row>
    <row r="2041" spans="3:3">
      <c r="C2041" s="499"/>
    </row>
    <row r="2042" spans="3:3">
      <c r="C2042" s="499"/>
    </row>
    <row r="2043" spans="3:3">
      <c r="C2043" s="499"/>
    </row>
    <row r="2044" spans="3:3">
      <c r="C2044" s="499"/>
    </row>
    <row r="2045" spans="3:3">
      <c r="C2045" s="499"/>
    </row>
    <row r="2046" spans="3:3">
      <c r="C2046" s="499"/>
    </row>
    <row r="2047" spans="3:3">
      <c r="C2047" s="499"/>
    </row>
    <row r="2048" spans="3:3">
      <c r="C2048" s="499"/>
    </row>
    <row r="2049" spans="3:3">
      <c r="C2049" s="499"/>
    </row>
    <row r="2050" spans="3:3">
      <c r="C2050" s="499"/>
    </row>
    <row r="2051" spans="3:3">
      <c r="C2051" s="499"/>
    </row>
    <row r="2052" spans="3:3">
      <c r="C2052" s="499"/>
    </row>
    <row r="2053" spans="3:3">
      <c r="C2053" s="499"/>
    </row>
    <row r="2054" spans="3:3">
      <c r="C2054" s="499"/>
    </row>
    <row r="2055" spans="3:3">
      <c r="C2055" s="499"/>
    </row>
    <row r="2056" spans="3:3">
      <c r="C2056" s="499"/>
    </row>
    <row r="2057" spans="3:3">
      <c r="C2057" s="499"/>
    </row>
    <row r="2058" spans="3:3">
      <c r="C2058" s="499"/>
    </row>
    <row r="2059" spans="3:3">
      <c r="C2059" s="499"/>
    </row>
    <row r="2060" spans="3:3">
      <c r="C2060" s="499"/>
    </row>
    <row r="2061" spans="3:3">
      <c r="C2061" s="499"/>
    </row>
    <row r="2062" spans="3:3">
      <c r="C2062" s="499"/>
    </row>
    <row r="2063" spans="3:3">
      <c r="C2063" s="499"/>
    </row>
    <row r="2064" spans="3:3">
      <c r="C2064" s="499"/>
    </row>
    <row r="2065" spans="3:3">
      <c r="C2065" s="499"/>
    </row>
    <row r="2066" spans="3:3">
      <c r="C2066" s="499"/>
    </row>
    <row r="2067" spans="3:3">
      <c r="C2067" s="499"/>
    </row>
    <row r="2068" spans="3:3">
      <c r="C2068" s="499"/>
    </row>
    <row r="2069" spans="3:3">
      <c r="C2069" s="499"/>
    </row>
    <row r="2070" spans="3:3">
      <c r="C2070" s="499"/>
    </row>
    <row r="2071" spans="3:3">
      <c r="C2071" s="499"/>
    </row>
    <row r="2072" spans="3:3">
      <c r="C2072" s="499"/>
    </row>
    <row r="2073" spans="3:3">
      <c r="C2073" s="499"/>
    </row>
    <row r="2074" spans="3:3">
      <c r="C2074" s="499"/>
    </row>
    <row r="2075" spans="3:3">
      <c r="C2075" s="499"/>
    </row>
    <row r="2076" spans="3:3">
      <c r="C2076" s="499"/>
    </row>
    <row r="2077" spans="3:3">
      <c r="C2077" s="499"/>
    </row>
    <row r="2078" spans="3:3">
      <c r="C2078" s="499"/>
    </row>
    <row r="2079" spans="3:3">
      <c r="C2079" s="499"/>
    </row>
    <row r="2080" spans="3:3">
      <c r="C2080" s="499"/>
    </row>
    <row r="2081" spans="3:3">
      <c r="C2081" s="499"/>
    </row>
    <row r="2082" spans="3:3">
      <c r="C2082" s="499"/>
    </row>
    <row r="2083" spans="3:3">
      <c r="C2083" s="499"/>
    </row>
    <row r="2084" spans="3:3">
      <c r="C2084" s="499"/>
    </row>
    <row r="2085" spans="3:3">
      <c r="C2085" s="499"/>
    </row>
    <row r="2086" spans="3:3">
      <c r="C2086" s="499"/>
    </row>
    <row r="2087" spans="3:3">
      <c r="C2087" s="499"/>
    </row>
    <row r="2088" spans="3:3">
      <c r="C2088" s="499"/>
    </row>
    <row r="2089" spans="3:3">
      <c r="C2089" s="499"/>
    </row>
    <row r="2090" spans="3:3">
      <c r="C2090" s="499"/>
    </row>
    <row r="2091" spans="3:3">
      <c r="C2091" s="499"/>
    </row>
    <row r="2092" spans="3:3">
      <c r="C2092" s="499"/>
    </row>
    <row r="2093" spans="3:3">
      <c r="C2093" s="499"/>
    </row>
    <row r="2094" spans="3:3">
      <c r="C2094" s="499"/>
    </row>
    <row r="2095" spans="3:3">
      <c r="C2095" s="499"/>
    </row>
    <row r="2096" spans="3:3">
      <c r="C2096" s="499"/>
    </row>
    <row r="2097" spans="3:3">
      <c r="C2097" s="499"/>
    </row>
    <row r="2098" spans="3:3">
      <c r="C2098" s="499"/>
    </row>
    <row r="2099" spans="3:3">
      <c r="C2099" s="499"/>
    </row>
    <row r="2100" spans="3:3">
      <c r="C2100" s="499"/>
    </row>
    <row r="2101" spans="3:3">
      <c r="C2101" s="499"/>
    </row>
    <row r="2102" spans="3:3">
      <c r="C2102" s="499"/>
    </row>
    <row r="2103" spans="3:3">
      <c r="C2103" s="499"/>
    </row>
    <row r="2104" spans="3:3">
      <c r="C2104" s="499"/>
    </row>
    <row r="2105" spans="3:3">
      <c r="C2105" s="499"/>
    </row>
    <row r="2106" spans="3:3">
      <c r="C2106" s="499"/>
    </row>
    <row r="2107" spans="3:3">
      <c r="C2107" s="499"/>
    </row>
    <row r="2108" spans="3:3">
      <c r="C2108" s="499"/>
    </row>
    <row r="2109" spans="3:3">
      <c r="C2109" s="499"/>
    </row>
    <row r="2110" spans="3:3">
      <c r="C2110" s="499"/>
    </row>
    <row r="2111" spans="3:3">
      <c r="C2111" s="499"/>
    </row>
    <row r="2112" spans="3:3">
      <c r="C2112" s="499"/>
    </row>
    <row r="2113" spans="3:3">
      <c r="C2113" s="499"/>
    </row>
    <row r="2114" spans="3:3">
      <c r="C2114" s="499"/>
    </row>
    <row r="2115" spans="3:3">
      <c r="C2115" s="499"/>
    </row>
    <row r="2116" spans="3:3">
      <c r="C2116" s="499"/>
    </row>
    <row r="2117" spans="3:3">
      <c r="C2117" s="499"/>
    </row>
    <row r="2118" spans="3:3">
      <c r="C2118" s="499"/>
    </row>
    <row r="2119" spans="3:3">
      <c r="C2119" s="499"/>
    </row>
    <row r="2120" spans="3:3">
      <c r="C2120" s="499"/>
    </row>
    <row r="2121" spans="3:3">
      <c r="C2121" s="499"/>
    </row>
    <row r="2122" spans="3:3">
      <c r="C2122" s="499"/>
    </row>
    <row r="2123" spans="3:3">
      <c r="C2123" s="499"/>
    </row>
    <row r="2124" spans="3:3">
      <c r="C2124" s="499"/>
    </row>
    <row r="2125" spans="3:3">
      <c r="C2125" s="499"/>
    </row>
    <row r="2126" spans="3:3">
      <c r="C2126" s="499"/>
    </row>
    <row r="2127" spans="3:3">
      <c r="C2127" s="499"/>
    </row>
    <row r="2128" spans="3:3">
      <c r="C2128" s="499"/>
    </row>
    <row r="2129" spans="3:3">
      <c r="C2129" s="499"/>
    </row>
    <row r="2130" spans="3:3">
      <c r="C2130" s="499"/>
    </row>
    <row r="2131" spans="3:3">
      <c r="C2131" s="499"/>
    </row>
    <row r="2132" spans="3:3">
      <c r="C2132" s="499"/>
    </row>
    <row r="2133" spans="3:3">
      <c r="C2133" s="499"/>
    </row>
    <row r="2134" spans="3:3">
      <c r="C2134" s="499"/>
    </row>
    <row r="2135" spans="3:3">
      <c r="C2135" s="499"/>
    </row>
    <row r="2136" spans="3:3">
      <c r="C2136" s="499"/>
    </row>
    <row r="2137" spans="3:3">
      <c r="C2137" s="499"/>
    </row>
    <row r="2138" spans="3:3">
      <c r="C2138" s="499"/>
    </row>
    <row r="2139" spans="3:3">
      <c r="C2139" s="499"/>
    </row>
    <row r="2140" spans="3:3">
      <c r="C2140" s="499"/>
    </row>
    <row r="2141" spans="3:3">
      <c r="C2141" s="499"/>
    </row>
    <row r="2142" spans="3:3">
      <c r="C2142" s="499"/>
    </row>
    <row r="2143" spans="3:3">
      <c r="C2143" s="499"/>
    </row>
    <row r="2144" spans="3:3">
      <c r="C2144" s="499"/>
    </row>
    <row r="2145" spans="3:3">
      <c r="C2145" s="499"/>
    </row>
    <row r="2146" spans="3:3">
      <c r="C2146" s="499"/>
    </row>
    <row r="2147" spans="3:3">
      <c r="C2147" s="499"/>
    </row>
    <row r="2148" spans="3:3">
      <c r="C2148" s="499"/>
    </row>
    <row r="2149" spans="3:3">
      <c r="C2149" s="499"/>
    </row>
    <row r="2150" spans="3:3">
      <c r="C2150" s="499"/>
    </row>
    <row r="2151" spans="3:3">
      <c r="C2151" s="499"/>
    </row>
    <row r="2152" spans="3:3">
      <c r="C2152" s="499"/>
    </row>
    <row r="2153" spans="3:3">
      <c r="C2153" s="499"/>
    </row>
    <row r="2154" spans="3:3">
      <c r="C2154" s="499"/>
    </row>
    <row r="2155" spans="3:3">
      <c r="C2155" s="499"/>
    </row>
    <row r="2156" spans="3:3">
      <c r="C2156" s="499"/>
    </row>
    <row r="2157" spans="3:3">
      <c r="C2157" s="499"/>
    </row>
    <row r="2158" spans="3:3">
      <c r="C2158" s="499"/>
    </row>
    <row r="2159" spans="3:3">
      <c r="C2159" s="499"/>
    </row>
    <row r="2160" spans="3:3">
      <c r="C2160" s="499"/>
    </row>
    <row r="2161" spans="3:3">
      <c r="C2161" s="499"/>
    </row>
    <row r="2162" spans="3:3">
      <c r="C2162" s="499"/>
    </row>
    <row r="2163" spans="3:3">
      <c r="C2163" s="499"/>
    </row>
    <row r="2164" spans="3:3">
      <c r="C2164" s="499"/>
    </row>
    <row r="2165" spans="3:3">
      <c r="C2165" s="499"/>
    </row>
    <row r="2166" spans="3:3">
      <c r="C2166" s="499"/>
    </row>
    <row r="2167" spans="3:3">
      <c r="C2167" s="499"/>
    </row>
    <row r="2168" spans="3:3">
      <c r="C2168" s="499"/>
    </row>
    <row r="2169" spans="3:3">
      <c r="C2169" s="499"/>
    </row>
    <row r="2170" spans="3:3">
      <c r="C2170" s="499"/>
    </row>
    <row r="2171" spans="3:3">
      <c r="C2171" s="499"/>
    </row>
    <row r="2172" spans="3:3">
      <c r="C2172" s="499"/>
    </row>
    <row r="2173" spans="3:3">
      <c r="C2173" s="499"/>
    </row>
    <row r="2174" spans="3:3">
      <c r="C2174" s="499"/>
    </row>
    <row r="2175" spans="3:3">
      <c r="C2175" s="499"/>
    </row>
    <row r="2176" spans="3:3">
      <c r="C2176" s="499"/>
    </row>
    <row r="2177" spans="3:3">
      <c r="C2177" s="499"/>
    </row>
    <row r="2178" spans="3:3">
      <c r="C2178" s="499"/>
    </row>
    <row r="2179" spans="3:3">
      <c r="C2179" s="499"/>
    </row>
    <row r="2180" spans="3:3">
      <c r="C2180" s="499"/>
    </row>
    <row r="2181" spans="3:3">
      <c r="C2181" s="499"/>
    </row>
    <row r="2182" spans="3:3">
      <c r="C2182" s="499"/>
    </row>
    <row r="2183" spans="3:3">
      <c r="C2183" s="499"/>
    </row>
    <row r="2184" spans="3:3">
      <c r="C2184" s="499"/>
    </row>
    <row r="2185" spans="3:3">
      <c r="C2185" s="499"/>
    </row>
    <row r="2186" spans="3:3">
      <c r="C2186" s="499"/>
    </row>
    <row r="2187" spans="3:3">
      <c r="C2187" s="499"/>
    </row>
    <row r="2188" spans="3:3">
      <c r="C2188" s="499"/>
    </row>
    <row r="2189" spans="3:3">
      <c r="C2189" s="499"/>
    </row>
    <row r="2190" spans="3:3">
      <c r="C2190" s="499"/>
    </row>
    <row r="2191" spans="3:3">
      <c r="C2191" s="499"/>
    </row>
    <row r="2192" spans="3:3">
      <c r="C2192" s="499"/>
    </row>
    <row r="2193" spans="3:3">
      <c r="C2193" s="499"/>
    </row>
    <row r="2194" spans="3:3">
      <c r="C2194" s="499"/>
    </row>
    <row r="2195" spans="3:3">
      <c r="C2195" s="499"/>
    </row>
    <row r="2196" spans="3:3">
      <c r="C2196" s="499"/>
    </row>
    <row r="2197" spans="3:3">
      <c r="C2197" s="499"/>
    </row>
    <row r="2198" spans="3:3">
      <c r="C2198" s="499"/>
    </row>
    <row r="2199" spans="3:3">
      <c r="C2199" s="499"/>
    </row>
    <row r="2200" spans="3:3">
      <c r="C2200" s="499"/>
    </row>
    <row r="2201" spans="3:3">
      <c r="C2201" s="499"/>
    </row>
    <row r="2202" spans="3:3">
      <c r="C2202" s="499"/>
    </row>
    <row r="2203" spans="3:3">
      <c r="C2203" s="499"/>
    </row>
    <row r="2204" spans="3:3">
      <c r="C2204" s="499"/>
    </row>
    <row r="2205" spans="3:3">
      <c r="C2205" s="499"/>
    </row>
    <row r="2206" spans="3:3">
      <c r="C2206" s="499"/>
    </row>
    <row r="2207" spans="3:3">
      <c r="C2207" s="499"/>
    </row>
    <row r="2208" spans="3:3">
      <c r="C2208" s="499"/>
    </row>
    <row r="2209" spans="3:3">
      <c r="C2209" s="499"/>
    </row>
    <row r="2210" spans="3:3">
      <c r="C2210" s="499"/>
    </row>
    <row r="2211" spans="3:3">
      <c r="C2211" s="499"/>
    </row>
    <row r="2212" spans="3:3">
      <c r="C2212" s="499"/>
    </row>
    <row r="2213" spans="3:3">
      <c r="C2213" s="499"/>
    </row>
    <row r="2214" spans="3:3">
      <c r="C2214" s="499"/>
    </row>
    <row r="2215" spans="3:3">
      <c r="C2215" s="499"/>
    </row>
    <row r="2216" spans="3:3">
      <c r="C2216" s="499"/>
    </row>
    <row r="2217" spans="3:3">
      <c r="C2217" s="499"/>
    </row>
    <row r="2218" spans="3:3">
      <c r="C2218" s="499"/>
    </row>
    <row r="2219" spans="3:3">
      <c r="C2219" s="499"/>
    </row>
    <row r="2220" spans="3:3">
      <c r="C2220" s="499"/>
    </row>
    <row r="2221" spans="3:3">
      <c r="C2221" s="499"/>
    </row>
    <row r="2222" spans="3:3">
      <c r="C2222" s="499"/>
    </row>
    <row r="2223" spans="3:3">
      <c r="C2223" s="499"/>
    </row>
    <row r="2224" spans="3:3">
      <c r="C2224" s="499"/>
    </row>
    <row r="2225" spans="3:3">
      <c r="C2225" s="499"/>
    </row>
    <row r="2226" spans="3:3">
      <c r="C2226" s="499"/>
    </row>
    <row r="2227" spans="3:3">
      <c r="C2227" s="499"/>
    </row>
    <row r="2228" spans="3:3">
      <c r="C2228" s="499"/>
    </row>
    <row r="2229" spans="3:3">
      <c r="C2229" s="499"/>
    </row>
    <row r="2230" spans="3:3">
      <c r="C2230" s="499"/>
    </row>
    <row r="2231" spans="3:3">
      <c r="C2231" s="499"/>
    </row>
    <row r="2232" spans="3:3">
      <c r="C2232" s="499"/>
    </row>
    <row r="2233" spans="3:3">
      <c r="C2233" s="499"/>
    </row>
    <row r="2234" spans="3:3">
      <c r="C2234" s="499"/>
    </row>
    <row r="2235" spans="3:3">
      <c r="C2235" s="499"/>
    </row>
    <row r="2236" spans="3:3">
      <c r="C2236" s="499"/>
    </row>
    <row r="2237" spans="3:3">
      <c r="C2237" s="499"/>
    </row>
    <row r="2238" spans="3:3">
      <c r="C2238" s="499"/>
    </row>
    <row r="2239" spans="3:3">
      <c r="C2239" s="499"/>
    </row>
    <row r="2240" spans="3:3">
      <c r="C2240" s="499"/>
    </row>
    <row r="2241" spans="3:3">
      <c r="C2241" s="499"/>
    </row>
    <row r="2242" spans="3:3">
      <c r="C2242" s="499"/>
    </row>
    <row r="2243" spans="3:3">
      <c r="C2243" s="499"/>
    </row>
    <row r="2244" spans="3:3">
      <c r="C2244" s="499"/>
    </row>
    <row r="2245" spans="3:3">
      <c r="C2245" s="499"/>
    </row>
    <row r="2246" spans="3:3">
      <c r="C2246" s="499"/>
    </row>
    <row r="2247" spans="3:3">
      <c r="C2247" s="499"/>
    </row>
    <row r="2248" spans="3:3">
      <c r="C2248" s="499"/>
    </row>
    <row r="2249" spans="3:3">
      <c r="C2249" s="499"/>
    </row>
    <row r="2250" spans="3:3">
      <c r="C2250" s="499"/>
    </row>
    <row r="2251" spans="3:3">
      <c r="C2251" s="499"/>
    </row>
    <row r="2252" spans="3:3">
      <c r="C2252" s="499"/>
    </row>
    <row r="2253" spans="3:3">
      <c r="C2253" s="499"/>
    </row>
    <row r="2254" spans="3:3">
      <c r="C2254" s="499"/>
    </row>
    <row r="2255" spans="3:3">
      <c r="C2255" s="499"/>
    </row>
    <row r="2256" spans="3:3">
      <c r="C2256" s="499"/>
    </row>
    <row r="2257" spans="3:3">
      <c r="C2257" s="499"/>
    </row>
    <row r="2258" spans="3:3">
      <c r="C2258" s="499"/>
    </row>
    <row r="2259" spans="3:3">
      <c r="C2259" s="499"/>
    </row>
    <row r="2260" spans="3:3">
      <c r="C2260" s="499"/>
    </row>
    <row r="2261" spans="3:3">
      <c r="C2261" s="499"/>
    </row>
    <row r="2262" spans="3:3">
      <c r="C2262" s="499"/>
    </row>
    <row r="2263" spans="3:3">
      <c r="C2263" s="499"/>
    </row>
    <row r="2264" spans="3:3">
      <c r="C2264" s="499"/>
    </row>
    <row r="2265" spans="3:3">
      <c r="C2265" s="499"/>
    </row>
    <row r="2266" spans="3:3">
      <c r="C2266" s="499"/>
    </row>
    <row r="2267" spans="3:3">
      <c r="C2267" s="499"/>
    </row>
    <row r="2268" spans="3:3">
      <c r="C2268" s="499"/>
    </row>
    <row r="2269" spans="3:3">
      <c r="C2269" s="499"/>
    </row>
    <row r="2270" spans="3:3">
      <c r="C2270" s="499"/>
    </row>
    <row r="2271" spans="3:3">
      <c r="C2271" s="499"/>
    </row>
    <row r="2272" spans="3:3">
      <c r="C2272" s="499"/>
    </row>
    <row r="2273" spans="3:3">
      <c r="C2273" s="499"/>
    </row>
    <row r="2274" spans="3:3">
      <c r="C2274" s="499"/>
    </row>
    <row r="2275" spans="3:3">
      <c r="C2275" s="499"/>
    </row>
    <row r="2276" spans="3:3">
      <c r="C2276" s="499"/>
    </row>
    <row r="2277" spans="3:3">
      <c r="C2277" s="499"/>
    </row>
    <row r="2278" spans="3:3">
      <c r="C2278" s="499"/>
    </row>
    <row r="2279" spans="3:3">
      <c r="C2279" s="499"/>
    </row>
    <row r="2280" spans="3:3">
      <c r="C2280" s="499"/>
    </row>
    <row r="2281" spans="3:3">
      <c r="C2281" s="499"/>
    </row>
    <row r="2282" spans="3:3">
      <c r="C2282" s="499"/>
    </row>
    <row r="2283" spans="3:3">
      <c r="C2283" s="499"/>
    </row>
    <row r="2284" spans="3:3">
      <c r="C2284" s="499"/>
    </row>
    <row r="2285" spans="3:3">
      <c r="C2285" s="499"/>
    </row>
    <row r="2286" spans="3:3">
      <c r="C2286" s="499"/>
    </row>
    <row r="2287" spans="3:3">
      <c r="C2287" s="499"/>
    </row>
    <row r="2288" spans="3:3">
      <c r="C2288" s="499"/>
    </row>
    <row r="2289" spans="3:3">
      <c r="C2289" s="499"/>
    </row>
    <row r="2290" spans="3:3">
      <c r="C2290" s="499"/>
    </row>
    <row r="2291" spans="3:3">
      <c r="C2291" s="499"/>
    </row>
    <row r="2292" spans="3:3">
      <c r="C2292" s="499"/>
    </row>
    <row r="2293" spans="3:3">
      <c r="C2293" s="499"/>
    </row>
    <row r="2294" spans="3:3">
      <c r="C2294" s="499"/>
    </row>
    <row r="2295" spans="3:3">
      <c r="C2295" s="499"/>
    </row>
    <row r="2296" spans="3:3">
      <c r="C2296" s="499"/>
    </row>
    <row r="2297" spans="3:3">
      <c r="C2297" s="499"/>
    </row>
    <row r="2298" spans="3:3">
      <c r="C2298" s="499"/>
    </row>
    <row r="2299" spans="3:3">
      <c r="C2299" s="499"/>
    </row>
    <row r="2300" spans="3:3">
      <c r="C2300" s="499"/>
    </row>
    <row r="2301" spans="3:3">
      <c r="C2301" s="499"/>
    </row>
    <row r="2302" spans="3:3">
      <c r="C2302" s="499"/>
    </row>
    <row r="2303" spans="3:3">
      <c r="C2303" s="499"/>
    </row>
    <row r="2304" spans="3:3">
      <c r="C2304" s="499"/>
    </row>
    <row r="2305" spans="3:3">
      <c r="C2305" s="499"/>
    </row>
    <row r="2306" spans="3:3">
      <c r="C2306" s="499"/>
    </row>
    <row r="2307" spans="3:3">
      <c r="C2307" s="499"/>
    </row>
    <row r="2308" spans="3:3">
      <c r="C2308" s="499"/>
    </row>
    <row r="2309" spans="3:3">
      <c r="C2309" s="499"/>
    </row>
    <row r="2310" spans="3:3">
      <c r="C2310" s="499"/>
    </row>
    <row r="2311" spans="3:3">
      <c r="C2311" s="499"/>
    </row>
    <row r="2312" spans="3:3">
      <c r="C2312" s="499"/>
    </row>
    <row r="2313" spans="3:3">
      <c r="C2313" s="499"/>
    </row>
    <row r="2314" spans="3:3">
      <c r="C2314" s="499"/>
    </row>
    <row r="2315" spans="3:3">
      <c r="C2315" s="499"/>
    </row>
    <row r="2316" spans="3:3">
      <c r="C2316" s="499"/>
    </row>
    <row r="2317" spans="3:3">
      <c r="C2317" s="499"/>
    </row>
    <row r="2318" spans="3:3">
      <c r="C2318" s="499"/>
    </row>
    <row r="2319" spans="3:3">
      <c r="C2319" s="499"/>
    </row>
    <row r="2320" spans="3:3">
      <c r="C2320" s="499"/>
    </row>
    <row r="2321" spans="3:3">
      <c r="C2321" s="499"/>
    </row>
    <row r="2322" spans="3:3">
      <c r="C2322" s="499"/>
    </row>
    <row r="2323" spans="3:3">
      <c r="C2323" s="499"/>
    </row>
    <row r="2324" spans="3:3">
      <c r="C2324" s="499"/>
    </row>
    <row r="2325" spans="3:3">
      <c r="C2325" s="499"/>
    </row>
    <row r="2326" spans="3:3">
      <c r="C2326" s="499"/>
    </row>
    <row r="2327" spans="3:3">
      <c r="C2327" s="499"/>
    </row>
    <row r="2328" spans="3:3">
      <c r="C2328" s="499"/>
    </row>
    <row r="2329" spans="3:3">
      <c r="C2329" s="499"/>
    </row>
    <row r="2330" spans="3:3">
      <c r="C2330" s="499"/>
    </row>
    <row r="2331" spans="3:3">
      <c r="C2331" s="499"/>
    </row>
    <row r="2332" spans="3:3">
      <c r="C2332" s="499"/>
    </row>
    <row r="2333" spans="3:3">
      <c r="C2333" s="499"/>
    </row>
    <row r="2334" spans="3:3">
      <c r="C2334" s="499"/>
    </row>
    <row r="2335" spans="3:3">
      <c r="C2335" s="499"/>
    </row>
    <row r="2336" spans="3:3">
      <c r="C2336" s="499"/>
    </row>
    <row r="2337" spans="3:3">
      <c r="C2337" s="499"/>
    </row>
    <row r="2338" spans="3:3">
      <c r="C2338" s="499"/>
    </row>
    <row r="2339" spans="3:3">
      <c r="C2339" s="499"/>
    </row>
    <row r="2340" spans="3:3">
      <c r="C2340" s="499"/>
    </row>
    <row r="2341" spans="3:3">
      <c r="C2341" s="499"/>
    </row>
    <row r="2342" spans="3:3">
      <c r="C2342" s="499"/>
    </row>
    <row r="2343" spans="3:3">
      <c r="C2343" s="499"/>
    </row>
    <row r="2344" spans="3:3">
      <c r="C2344" s="499"/>
    </row>
    <row r="2345" spans="3:3">
      <c r="C2345" s="499"/>
    </row>
    <row r="2346" spans="3:3">
      <c r="C2346" s="499"/>
    </row>
    <row r="2347" spans="3:3">
      <c r="C2347" s="499"/>
    </row>
    <row r="2348" spans="3:3">
      <c r="C2348" s="499"/>
    </row>
    <row r="2349" spans="3:3">
      <c r="C2349" s="499"/>
    </row>
    <row r="2350" spans="3:3">
      <c r="C2350" s="499"/>
    </row>
    <row r="2351" spans="3:3">
      <c r="C2351" s="499"/>
    </row>
    <row r="2352" spans="3:3">
      <c r="C2352" s="499"/>
    </row>
    <row r="2353" spans="3:3">
      <c r="C2353" s="499"/>
    </row>
    <row r="2354" spans="3:3">
      <c r="C2354" s="499"/>
    </row>
    <row r="2355" spans="3:3">
      <c r="C2355" s="499"/>
    </row>
    <row r="2356" spans="3:3">
      <c r="C2356" s="499"/>
    </row>
    <row r="2357" spans="3:3">
      <c r="C2357" s="499"/>
    </row>
    <row r="2358" spans="3:3">
      <c r="C2358" s="499"/>
    </row>
    <row r="2359" spans="3:3">
      <c r="C2359" s="499"/>
    </row>
    <row r="2360" spans="3:3">
      <c r="C2360" s="499"/>
    </row>
    <row r="2361" spans="3:3">
      <c r="C2361" s="499"/>
    </row>
    <row r="2362" spans="3:3">
      <c r="C2362" s="499"/>
    </row>
    <row r="2363" spans="3:3">
      <c r="C2363" s="499"/>
    </row>
    <row r="2364" spans="3:3">
      <c r="C2364" s="499"/>
    </row>
    <row r="2365" spans="3:3">
      <c r="C2365" s="499"/>
    </row>
    <row r="2366" spans="3:3">
      <c r="C2366" s="499"/>
    </row>
    <row r="2367" spans="3:3">
      <c r="C2367" s="499"/>
    </row>
    <row r="2368" spans="3:3">
      <c r="C2368" s="499"/>
    </row>
    <row r="2369" spans="3:3">
      <c r="C2369" s="499"/>
    </row>
    <row r="2370" spans="3:3">
      <c r="C2370" s="499"/>
    </row>
    <row r="2371" spans="3:3">
      <c r="C2371" s="499"/>
    </row>
    <row r="2372" spans="3:3">
      <c r="C2372" s="499"/>
    </row>
    <row r="2373" spans="3:3">
      <c r="C2373" s="499"/>
    </row>
    <row r="2374" spans="3:3">
      <c r="C2374" s="499"/>
    </row>
    <row r="2375" spans="3:3">
      <c r="C2375" s="499"/>
    </row>
    <row r="2376" spans="3:3">
      <c r="C2376" s="499"/>
    </row>
    <row r="2377" spans="3:3">
      <c r="C2377" s="499"/>
    </row>
    <row r="2378" spans="3:3">
      <c r="C2378" s="499"/>
    </row>
    <row r="2379" spans="3:3">
      <c r="C2379" s="499"/>
    </row>
  </sheetData>
  <pageMargins left="0.75" right="0.75" top="1" bottom="1" header="0.5" footer="0.5"/>
  <pageSetup scale="56" fitToHeight="4" orientation="portrait" r:id="rId1"/>
  <headerFooter alignWithMargins="0">
    <oddFooter>&amp;L&amp;D&amp;CPage___&amp;R&amp;F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S370"/>
  <sheetViews>
    <sheetView topLeftCell="A15" zoomScale="75" zoomScaleNormal="75" workbookViewId="0">
      <selection activeCell="C47" sqref="C47"/>
    </sheetView>
  </sheetViews>
  <sheetFormatPr defaultRowHeight="12.75"/>
  <cols>
    <col min="1" max="1" width="34.28515625" customWidth="1"/>
    <col min="2" max="2" width="30.7109375" customWidth="1"/>
    <col min="3" max="3" width="15.28515625" style="21" customWidth="1"/>
    <col min="4" max="4" width="12.7109375" hidden="1" customWidth="1"/>
    <col min="5" max="5" width="12.7109375" customWidth="1"/>
    <col min="6" max="6" width="38.5703125" bestFit="1" customWidth="1"/>
    <col min="7" max="8" width="12.7109375" customWidth="1"/>
  </cols>
  <sheetData>
    <row r="1" spans="1:45" s="59" customFormat="1" ht="15" customHeight="1">
      <c r="A1" s="899" t="str">
        <f>Scope!$A$1</f>
        <v>AES Corp, Dallas, TX (640 MW)</v>
      </c>
      <c r="B1" s="892"/>
      <c r="C1" s="892"/>
      <c r="D1" s="687"/>
      <c r="E1" s="687"/>
      <c r="F1" s="687"/>
      <c r="G1" s="687"/>
      <c r="H1" s="687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spans="1:45" s="59" customFormat="1" ht="15" customHeight="1">
      <c r="A2" s="892"/>
      <c r="B2" s="892"/>
      <c r="C2" s="892"/>
      <c r="D2" s="687"/>
      <c r="E2" s="687"/>
      <c r="F2" s="687"/>
      <c r="G2" s="687"/>
      <c r="H2" s="687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s="59" customFormat="1" ht="13.5">
      <c r="A3" s="901" t="s">
        <v>1454</v>
      </c>
      <c r="B3" s="902"/>
      <c r="C3" s="902"/>
      <c r="D3" s="687"/>
      <c r="E3" s="687"/>
      <c r="F3" s="687"/>
      <c r="G3" s="687"/>
      <c r="H3" s="687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>
      <c r="A4" s="8"/>
      <c r="B4" s="8"/>
      <c r="C4" s="39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8"/>
      <c r="B5" s="158" t="s">
        <v>1207</v>
      </c>
      <c r="C5" s="159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5"/>
      <c r="B6" s="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3.5" thickBot="1">
      <c r="A7" s="5"/>
      <c r="B7" s="5"/>
      <c r="C7" s="5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3.5" thickBot="1">
      <c r="A8" s="786" t="s">
        <v>1208</v>
      </c>
      <c r="B8" s="737"/>
      <c r="C8" s="776" t="s">
        <v>1380</v>
      </c>
      <c r="D8" s="777" t="s">
        <v>284</v>
      </c>
      <c r="E8" s="114" t="s">
        <v>1143</v>
      </c>
      <c r="F8" s="130"/>
      <c r="G8" s="784"/>
      <c r="H8" s="78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787"/>
      <c r="B9" s="102"/>
      <c r="C9" s="154"/>
      <c r="D9" s="778"/>
      <c r="E9" s="115"/>
      <c r="F9" s="79"/>
      <c r="G9" s="79"/>
      <c r="H9" s="7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48"/>
      <c r="B10" s="102"/>
      <c r="C10" s="115"/>
      <c r="D10" s="779"/>
      <c r="E10" s="115"/>
      <c r="F10" s="79"/>
      <c r="G10" s="79"/>
      <c r="H10" s="7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779" t="str">
        <f>UPPER('GTDB(7EA)'!A17)</f>
        <v>COMBUSTION LINERS</v>
      </c>
      <c r="B11" s="102"/>
      <c r="C11" s="116">
        <f>'GTDB(7EA)'!E17*1000*E11</f>
        <v>0</v>
      </c>
      <c r="D11" s="780">
        <v>0</v>
      </c>
      <c r="E11" s="830"/>
      <c r="F11" s="813"/>
      <c r="G11" s="785"/>
      <c r="H11" s="81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779" t="str">
        <f>UPPER('GTDB(7EA)'!A18)</f>
        <v>TRANSITION PIECES</v>
      </c>
      <c r="B12" s="102"/>
      <c r="C12" s="116">
        <f>'GTDB(7EA)'!E18*1000*E12</f>
        <v>0</v>
      </c>
      <c r="D12" s="780">
        <v>0</v>
      </c>
      <c r="E12" s="830"/>
      <c r="F12" s="813"/>
      <c r="G12" s="785"/>
      <c r="H12" s="81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779" t="str">
        <f>UPPER('GTDB(7EA)'!A19)</f>
        <v>FUEL NOZZLES</v>
      </c>
      <c r="B13" s="102"/>
      <c r="C13" s="116">
        <f>'GTDB(7EA)'!E19*1000*E13</f>
        <v>0</v>
      </c>
      <c r="D13" s="780">
        <v>0</v>
      </c>
      <c r="E13" s="830"/>
      <c r="F13" s="813"/>
      <c r="G13" s="785"/>
      <c r="H13" s="81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779" t="str">
        <f>UPPER('GTDB(7EA)'!A20)</f>
        <v>STAGE 1 NOZZLES</v>
      </c>
      <c r="B14" s="102"/>
      <c r="C14" s="116">
        <f>'GTDB(7EA)'!E20*1000*E14</f>
        <v>0</v>
      </c>
      <c r="D14" s="780">
        <v>0</v>
      </c>
      <c r="E14" s="830"/>
      <c r="F14" s="813"/>
      <c r="G14" s="785"/>
      <c r="H14" s="81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779" t="str">
        <f>UPPER('GTDB(7EA)'!A21)</f>
        <v>STAGE 2 NOZZLES</v>
      </c>
      <c r="B15" s="102"/>
      <c r="C15" s="116">
        <f>'GTDB(7EA)'!E21*1000*E15</f>
        <v>0</v>
      </c>
      <c r="D15" s="780">
        <v>0</v>
      </c>
      <c r="E15" s="830"/>
      <c r="F15" s="813"/>
      <c r="G15" s="785"/>
      <c r="H15" s="81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779" t="str">
        <f>UPPER('GTDB(7EA)'!A22)</f>
        <v>STAGE 3 NOZZLES</v>
      </c>
      <c r="B16" s="102"/>
      <c r="C16" s="116">
        <f>'GTDB(7EA)'!E22*1000*E16</f>
        <v>0</v>
      </c>
      <c r="D16" s="780">
        <v>0</v>
      </c>
      <c r="E16" s="830"/>
      <c r="F16" s="813"/>
      <c r="G16" s="785"/>
      <c r="H16" s="81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779" t="str">
        <f>UPPER('GTDB(7EA)'!A23)</f>
        <v>STAGE 1 BUCKETS</v>
      </c>
      <c r="B17" s="102"/>
      <c r="C17" s="116">
        <f>'GTDB(7EA)'!E23*1000*E17</f>
        <v>0</v>
      </c>
      <c r="D17" s="780">
        <v>0</v>
      </c>
      <c r="E17" s="830"/>
      <c r="F17" s="813"/>
      <c r="G17" s="785"/>
      <c r="H17" s="81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779" t="str">
        <f>UPPER('GTDB(7EA)'!A24)</f>
        <v>STAGE 2 BUCKETS</v>
      </c>
      <c r="B18" s="102"/>
      <c r="C18" s="116">
        <f>'GTDB(7EA)'!E24*1000*E18</f>
        <v>0</v>
      </c>
      <c r="D18" s="780">
        <v>0</v>
      </c>
      <c r="E18" s="830"/>
      <c r="F18" s="813"/>
      <c r="G18" s="785"/>
      <c r="H18" s="81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779" t="str">
        <f>UPPER('GTDB(7EA)'!A25)</f>
        <v>STAGE 3 BUCKETS</v>
      </c>
      <c r="B19" s="102"/>
      <c r="C19" s="116">
        <f>'GTDB(7EA)'!E25*1000*E19</f>
        <v>0</v>
      </c>
      <c r="D19" s="780">
        <v>0</v>
      </c>
      <c r="E19" s="830"/>
      <c r="F19" s="813"/>
      <c r="G19" s="785"/>
      <c r="H19" s="81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779" t="str">
        <f>UPPER('GTDB(7EA)'!A26)</f>
        <v>ROW 1 SUPPORT RING</v>
      </c>
      <c r="B20" s="102"/>
      <c r="C20" s="116">
        <f>'GTDB(7EA)'!E26*1000*E20</f>
        <v>0</v>
      </c>
      <c r="D20" s="780"/>
      <c r="E20" s="830"/>
      <c r="F20" s="813"/>
      <c r="G20" s="785"/>
      <c r="H20" s="81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779" t="str">
        <f>UPPER('GTDB(7EA)'!A27)</f>
        <v xml:space="preserve">1ST STAGE SHROUD BLOCKS </v>
      </c>
      <c r="B21" s="102"/>
      <c r="C21" s="116">
        <f>'GTDB(7EA)'!E27*1000*E21</f>
        <v>0</v>
      </c>
      <c r="D21" s="780">
        <v>0</v>
      </c>
      <c r="E21" s="830"/>
      <c r="F21" s="813"/>
      <c r="G21" s="785"/>
      <c r="H21" s="8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779" t="str">
        <f>UPPER('GTDB(7EA)'!A28)</f>
        <v>2ND STAGE SHROUD BLOCKS</v>
      </c>
      <c r="B22" s="102"/>
      <c r="C22" s="116">
        <f>'GTDB(7EA)'!E28*1000*E22</f>
        <v>0</v>
      </c>
      <c r="D22" s="780">
        <v>0</v>
      </c>
      <c r="E22" s="830"/>
      <c r="F22" s="813"/>
      <c r="G22" s="785"/>
      <c r="H22" s="8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779" t="str">
        <f>UPPER('GTDB(7EA)'!A29)</f>
        <v>3RD STAGE SHROUD BLOCKS</v>
      </c>
      <c r="B23" s="102"/>
      <c r="C23" s="116">
        <f>'GTDB(7EA)'!E29*1000*E23</f>
        <v>0</v>
      </c>
      <c r="D23" s="780">
        <v>0</v>
      </c>
      <c r="E23" s="830"/>
      <c r="F23" s="813"/>
      <c r="G23" s="785"/>
      <c r="H23" s="8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48" t="s">
        <v>1149</v>
      </c>
      <c r="B24" s="102"/>
      <c r="C24" s="116">
        <v>0</v>
      </c>
      <c r="D24" s="780">
        <v>0</v>
      </c>
      <c r="E24" s="785"/>
      <c r="F24" s="813"/>
      <c r="G24" s="785"/>
      <c r="H24" s="81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48" t="s">
        <v>1209</v>
      </c>
      <c r="B25" s="102"/>
      <c r="C25" s="116">
        <v>0</v>
      </c>
      <c r="D25" s="780">
        <v>0</v>
      </c>
      <c r="E25" s="785"/>
      <c r="F25" s="813"/>
      <c r="G25" s="785"/>
      <c r="H25" s="8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3.5" thickBot="1">
      <c r="A26" s="148" t="s">
        <v>1210</v>
      </c>
      <c r="B26" s="102"/>
      <c r="C26" s="116">
        <v>0</v>
      </c>
      <c r="D26" s="780">
        <v>0</v>
      </c>
      <c r="E26" s="785"/>
      <c r="F26" s="813"/>
      <c r="G26" s="785"/>
      <c r="H26" s="8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48" t="s">
        <v>1144</v>
      </c>
      <c r="B27" s="102"/>
      <c r="C27" s="116">
        <f>1000*'GTDB(7EA)'!D12*E27</f>
        <v>0</v>
      </c>
      <c r="D27" s="780">
        <v>0</v>
      </c>
      <c r="E27" s="835"/>
      <c r="F27" s="813"/>
      <c r="G27" s="785"/>
      <c r="H27" s="8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48" t="s">
        <v>1145</v>
      </c>
      <c r="B28" s="102"/>
      <c r="C28" s="116">
        <f>1000*'GTDB(7EA)'!D13*E28</f>
        <v>0</v>
      </c>
      <c r="D28" s="780">
        <v>0</v>
      </c>
      <c r="E28" s="830"/>
      <c r="F28" s="813"/>
      <c r="G28" s="785"/>
      <c r="H28" s="8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3.5" thickBot="1">
      <c r="A29" s="148" t="s">
        <v>1146</v>
      </c>
      <c r="B29" s="102"/>
      <c r="C29" s="116">
        <f>1000*'GTDB(7EA)'!D14*E29</f>
        <v>0</v>
      </c>
      <c r="D29" s="780">
        <v>0</v>
      </c>
      <c r="E29" s="836"/>
      <c r="F29" s="813"/>
      <c r="G29" s="785"/>
      <c r="H29" s="8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48" t="s">
        <v>1211</v>
      </c>
      <c r="B30" s="102"/>
      <c r="C30" s="116">
        <v>0</v>
      </c>
      <c r="D30" s="780">
        <v>0</v>
      </c>
      <c r="E30" s="785"/>
      <c r="F30" s="813"/>
      <c r="G30" s="785"/>
      <c r="H30" s="8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48" t="s">
        <v>994</v>
      </c>
      <c r="B31" s="102"/>
      <c r="C31" s="116">
        <v>0</v>
      </c>
      <c r="D31" s="780">
        <v>0</v>
      </c>
      <c r="E31" s="785"/>
      <c r="F31" s="102"/>
      <c r="G31" s="785"/>
      <c r="H31" s="8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48" t="s">
        <v>1212</v>
      </c>
      <c r="B32" s="102"/>
      <c r="C32" s="162">
        <f>SUM(C10:C31)</f>
        <v>0</v>
      </c>
      <c r="D32" s="781">
        <f>SUM(D10:D31)</f>
        <v>0</v>
      </c>
      <c r="E32" s="79"/>
      <c r="F32" s="102"/>
      <c r="G32" s="79"/>
      <c r="H32" s="8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48"/>
      <c r="B33" s="102"/>
      <c r="C33" s="115"/>
      <c r="D33" s="779"/>
      <c r="E33" s="79"/>
      <c r="F33" s="102"/>
      <c r="G33" s="79"/>
      <c r="H33" s="8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48"/>
      <c r="B34" s="102"/>
      <c r="C34" s="115"/>
      <c r="D34" s="779"/>
      <c r="E34" s="79"/>
      <c r="F34" s="130"/>
      <c r="G34" s="79"/>
      <c r="H34" s="7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787" t="s">
        <v>1213</v>
      </c>
      <c r="B35" s="102"/>
      <c r="C35" s="115"/>
      <c r="D35" s="779"/>
      <c r="E35" s="79"/>
      <c r="F35" s="79"/>
      <c r="G35" s="79"/>
      <c r="H35" s="7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787"/>
      <c r="B36" s="102"/>
      <c r="C36" s="115"/>
      <c r="D36" s="779"/>
      <c r="E36" s="79"/>
      <c r="F36" s="130"/>
      <c r="G36" s="102"/>
      <c r="H36" s="79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48" t="s">
        <v>1214</v>
      </c>
      <c r="B37" s="102"/>
      <c r="C37" s="117">
        <v>0</v>
      </c>
      <c r="D37" s="782">
        <v>0</v>
      </c>
      <c r="E37" s="146"/>
      <c r="F37" s="146"/>
      <c r="G37" s="146"/>
      <c r="H37" s="14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48"/>
      <c r="B38" s="102"/>
      <c r="C38" s="115"/>
      <c r="D38" s="779"/>
      <c r="E38" s="79"/>
      <c r="F38" s="130"/>
      <c r="G38" s="79"/>
      <c r="H38" s="7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48"/>
      <c r="B39" s="102" t="s">
        <v>1215</v>
      </c>
      <c r="C39" s="162">
        <f>(C37+C32)</f>
        <v>0</v>
      </c>
      <c r="D39" s="781">
        <f>(D37+D32)</f>
        <v>0</v>
      </c>
      <c r="E39" s="79"/>
      <c r="F39" s="130"/>
      <c r="G39" s="79"/>
      <c r="H39" s="7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48"/>
      <c r="B40" s="102"/>
      <c r="C40" s="115"/>
      <c r="D40" s="779"/>
      <c r="E40" s="79"/>
      <c r="F40" s="79"/>
      <c r="G40" s="79"/>
      <c r="H40" s="7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787" t="s">
        <v>1216</v>
      </c>
      <c r="B41" s="102"/>
      <c r="C41" s="831">
        <v>0</v>
      </c>
      <c r="D41" s="779">
        <v>0</v>
      </c>
      <c r="E41" s="79"/>
      <c r="F41" s="130"/>
      <c r="G41" s="79"/>
      <c r="H41" s="7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48"/>
      <c r="B42" s="102"/>
      <c r="C42" s="115"/>
      <c r="D42" s="779"/>
      <c r="E42" s="79"/>
      <c r="F42" s="130"/>
      <c r="G42" s="79"/>
      <c r="H42" s="7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787" t="s">
        <v>1217</v>
      </c>
      <c r="B43" s="102"/>
      <c r="C43" s="162">
        <f>C41+C39</f>
        <v>0</v>
      </c>
      <c r="D43" s="781">
        <f>D41+D39</f>
        <v>0</v>
      </c>
      <c r="E43" s="79"/>
      <c r="F43" s="130"/>
      <c r="G43" s="79"/>
      <c r="H43" s="7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787"/>
      <c r="B44" s="102"/>
      <c r="C44" s="115"/>
      <c r="D44" s="779"/>
      <c r="E44" s="79"/>
      <c r="F44" s="102"/>
      <c r="G44" s="79"/>
      <c r="H44" s="7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787" t="s">
        <v>1218</v>
      </c>
      <c r="B45" s="102"/>
      <c r="C45" s="115">
        <f>C43*0.0025</f>
        <v>0</v>
      </c>
      <c r="D45" s="779">
        <f>D43*0.0025</f>
        <v>0</v>
      </c>
      <c r="E45" s="79"/>
      <c r="F45" s="130"/>
      <c r="G45" s="79"/>
      <c r="H45" s="7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787"/>
      <c r="B46" s="102"/>
      <c r="C46" s="115"/>
      <c r="D46" s="779"/>
      <c r="E46" s="79"/>
      <c r="F46" s="102"/>
      <c r="G46" s="102"/>
      <c r="H46" s="10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787" t="s">
        <v>1219</v>
      </c>
      <c r="B47" s="102"/>
      <c r="C47" s="115">
        <f>0.01*C43</f>
        <v>0</v>
      </c>
      <c r="D47" s="779">
        <f>0.01*D43</f>
        <v>0</v>
      </c>
      <c r="E47" s="7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3.5" thickBot="1">
      <c r="A48" s="148"/>
      <c r="B48" s="102"/>
      <c r="C48" s="118"/>
      <c r="D48" s="783"/>
      <c r="E48" s="7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3.5" thickBot="1">
      <c r="A49" s="788" t="s">
        <v>607</v>
      </c>
      <c r="B49" s="150"/>
      <c r="C49" s="118">
        <f>SUM(C43:C47)</f>
        <v>0</v>
      </c>
      <c r="D49" s="783">
        <f>SUM(D43:D47)</f>
        <v>0</v>
      </c>
      <c r="E49" s="79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32"/>
      <c r="B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5"/>
      <c r="B51" s="5"/>
      <c r="C51" s="2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5"/>
      <c r="B52" s="5"/>
      <c r="C52" s="2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5"/>
      <c r="B53" s="5"/>
      <c r="C53" s="2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5"/>
      <c r="B54" s="5"/>
      <c r="C54" s="25"/>
      <c r="D54" s="25"/>
      <c r="E54" s="25"/>
      <c r="F54" s="25"/>
      <c r="G54" s="2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5"/>
      <c r="B55" s="5"/>
      <c r="C55" s="2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5"/>
      <c r="B56" s="5"/>
      <c r="C56" s="2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5"/>
      <c r="B57" s="5"/>
      <c r="C57" s="2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5"/>
      <c r="B58" s="5"/>
      <c r="C58" s="2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5"/>
      <c r="B59" s="5"/>
      <c r="C59" s="2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5"/>
      <c r="B60" s="5"/>
      <c r="C60" s="2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5"/>
      <c r="B61" s="5"/>
      <c r="C61" s="2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5"/>
      <c r="B62" s="5"/>
      <c r="C62" s="2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5"/>
      <c r="B63" s="5"/>
      <c r="C63" s="2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5"/>
      <c r="B64" s="5"/>
      <c r="C64" s="2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>
      <c r="A65" s="5"/>
      <c r="B65" s="5"/>
      <c r="C65" s="2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>
      <c r="A66" s="5"/>
      <c r="B66" s="5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>
      <c r="A67" s="5"/>
      <c r="B67" s="5"/>
      <c r="C67" s="2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>
      <c r="A68" s="5"/>
      <c r="B68" s="5"/>
      <c r="C68" s="2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>
      <c r="A69" s="5"/>
      <c r="B69" s="5"/>
      <c r="C69" s="2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>
      <c r="A70" s="5"/>
      <c r="B70" s="5"/>
      <c r="C70" s="2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>
      <c r="A71" s="5"/>
      <c r="B71" s="5"/>
      <c r="C71" s="2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>
      <c r="A72" s="5"/>
      <c r="B72" s="5"/>
      <c r="C72" s="2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>
      <c r="A73" s="5"/>
      <c r="B73" s="5"/>
      <c r="C73" s="2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>
      <c r="A74" s="5"/>
      <c r="B74" s="5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>
      <c r="A75" s="5"/>
      <c r="B75" s="5"/>
      <c r="C75" s="2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>
      <c r="A76" s="5"/>
      <c r="B76" s="5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>
      <c r="A77" s="5"/>
      <c r="B77" s="5"/>
      <c r="C77" s="2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>
      <c r="A78" s="5"/>
      <c r="B78" s="5"/>
      <c r="C78" s="2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>
      <c r="A79" s="5"/>
      <c r="B79" s="5"/>
      <c r="C79" s="2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>
      <c r="A80" s="5"/>
      <c r="B80" s="5"/>
      <c r="C80" s="2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>
      <c r="A81" s="5"/>
      <c r="B81" s="5"/>
      <c r="C81" s="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>
      <c r="A82" s="5"/>
      <c r="B82" s="5"/>
      <c r="C82" s="2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>
      <c r="A83" s="5"/>
      <c r="B83" s="5"/>
      <c r="C83" s="2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>
      <c r="A84" s="5"/>
      <c r="B84" s="5"/>
      <c r="C84" s="2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>
      <c r="A85" s="5"/>
      <c r="B85" s="5"/>
      <c r="C85" s="2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>
      <c r="A86" s="5"/>
      <c r="B86" s="5"/>
      <c r="C86" s="2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>
      <c r="A87" s="5"/>
      <c r="B87" s="5"/>
      <c r="C87" s="2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>
      <c r="A88" s="5"/>
      <c r="B88" s="5"/>
      <c r="C88" s="2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>
      <c r="A89" s="5"/>
      <c r="B89" s="5"/>
      <c r="C89" s="2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>
      <c r="A90" s="5"/>
      <c r="B90" s="5"/>
      <c r="C90" s="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>
      <c r="A91" s="5"/>
      <c r="B91" s="5"/>
      <c r="C91" s="2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>
      <c r="A92" s="5"/>
      <c r="B92" s="5"/>
      <c r="C92" s="2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>
      <c r="A93" s="5"/>
      <c r="B93" s="5"/>
      <c r="C93" s="2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>
      <c r="A94" s="5"/>
      <c r="B94" s="5"/>
      <c r="C94" s="2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>
      <c r="A95" s="5"/>
      <c r="B95" s="5"/>
      <c r="C95" s="2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>
      <c r="A96" s="5"/>
      <c r="B96" s="5"/>
      <c r="C96" s="2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>
      <c r="A97" s="5"/>
      <c r="B97" s="5"/>
      <c r="C97" s="2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>
      <c r="A98" s="5"/>
      <c r="B98" s="5"/>
      <c r="C98" s="2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>
      <c r="A99" s="5"/>
      <c r="B99" s="5"/>
      <c r="C99" s="2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>
      <c r="A100" s="5"/>
      <c r="B100" s="5"/>
      <c r="C100" s="2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>
      <c r="A101" s="5"/>
      <c r="B101" s="5"/>
      <c r="C101" s="2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>
      <c r="A102" s="5"/>
      <c r="B102" s="5"/>
      <c r="C102" s="2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>
      <c r="A103" s="5"/>
      <c r="B103" s="5"/>
      <c r="C103" s="2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>
      <c r="A104" s="5"/>
      <c r="B104" s="5"/>
      <c r="C104" s="2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>
      <c r="A105" s="5"/>
      <c r="B105" s="5"/>
      <c r="C105" s="2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>
      <c r="A106" s="5"/>
      <c r="B106" s="5"/>
      <c r="C106" s="2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>
      <c r="A107" s="5"/>
      <c r="B107" s="5"/>
      <c r="C107" s="2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>
      <c r="A108" s="5"/>
      <c r="B108" s="5"/>
      <c r="C108" s="2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>
      <c r="A109" s="5"/>
      <c r="B109" s="5"/>
      <c r="C109" s="2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>
      <c r="A110" s="5"/>
      <c r="B110" s="5"/>
      <c r="C110" s="2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>
      <c r="A111" s="5"/>
      <c r="B111" s="5"/>
      <c r="C111" s="2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>
      <c r="A112" s="5"/>
      <c r="B112" s="5"/>
      <c r="C112" s="2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>
      <c r="A113" s="5"/>
      <c r="B113" s="5"/>
      <c r="C113" s="2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>
      <c r="A114" s="5"/>
      <c r="B114" s="5"/>
      <c r="C114" s="2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>
      <c r="A115" s="5"/>
      <c r="B115" s="5"/>
      <c r="C115" s="2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>
      <c r="A116" s="5"/>
      <c r="B116" s="5"/>
      <c r="C116" s="2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>
      <c r="A117" s="5"/>
      <c r="B117" s="5"/>
      <c r="C117" s="2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>
      <c r="A118" s="5"/>
      <c r="B118" s="5"/>
      <c r="C118" s="2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>
      <c r="A119" s="5"/>
      <c r="B119" s="5"/>
      <c r="C119" s="2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>
      <c r="A120" s="5"/>
      <c r="B120" s="5"/>
      <c r="C120" s="2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>
      <c r="A121" s="5"/>
      <c r="B121" s="5"/>
      <c r="C121" s="2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>
      <c r="A122" s="5"/>
      <c r="B122" s="5"/>
      <c r="C122" s="2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>
      <c r="A123" s="5"/>
      <c r="B123" s="5"/>
      <c r="C123" s="2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>
      <c r="A124" s="5"/>
      <c r="B124" s="5"/>
      <c r="C124" s="2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>
      <c r="A125" s="5"/>
      <c r="B125" s="5"/>
      <c r="C125" s="2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>
      <c r="A126" s="5"/>
      <c r="B126" s="5"/>
      <c r="C126" s="2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>
      <c r="A127" s="5"/>
      <c r="B127" s="5"/>
      <c r="C127" s="2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>
      <c r="A128" s="5"/>
      <c r="B128" s="5"/>
      <c r="C128" s="2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>
      <c r="A129" s="5"/>
      <c r="B129" s="5"/>
      <c r="C129" s="2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>
      <c r="A130" s="5"/>
      <c r="B130" s="5"/>
      <c r="C130" s="2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>
      <c r="A131" s="5"/>
      <c r="B131" s="5"/>
      <c r="C131" s="2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>
      <c r="A132" s="5"/>
      <c r="B132" s="5"/>
      <c r="C132" s="2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>
      <c r="A133" s="5"/>
      <c r="B133" s="5"/>
      <c r="C133" s="2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>
      <c r="A134" s="5"/>
      <c r="B134" s="5"/>
      <c r="C134" s="2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>
      <c r="A135" s="5"/>
      <c r="B135" s="5"/>
      <c r="C135" s="2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>
      <c r="A136" s="5"/>
      <c r="B136" s="5"/>
      <c r="C136" s="2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>
      <c r="A137" s="5"/>
      <c r="B137" s="5"/>
      <c r="C137" s="2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>
      <c r="A138" s="5"/>
      <c r="B138" s="5"/>
      <c r="C138" s="2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>
      <c r="A139" s="5"/>
      <c r="B139" s="5"/>
      <c r="C139" s="2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>
      <c r="A140" s="5"/>
      <c r="B140" s="5"/>
      <c r="C140" s="2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>
      <c r="A141" s="5"/>
      <c r="B141" s="5"/>
      <c r="C141" s="2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>
      <c r="A142" s="5"/>
      <c r="B142" s="5"/>
      <c r="C142" s="2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>
      <c r="A143" s="5"/>
      <c r="B143" s="5"/>
      <c r="C143" s="2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>
      <c r="A144" s="5"/>
      <c r="B144" s="5"/>
      <c r="C144" s="2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>
      <c r="A145" s="5"/>
      <c r="B145" s="5"/>
      <c r="C145" s="2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>
      <c r="A146" s="5"/>
      <c r="B146" s="5"/>
      <c r="C146" s="2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>
      <c r="A147" s="5"/>
      <c r="B147" s="5"/>
      <c r="C147" s="2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>
      <c r="A148" s="5"/>
      <c r="B148" s="5"/>
      <c r="C148" s="2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>
      <c r="A149" s="5"/>
      <c r="B149" s="5"/>
      <c r="C149" s="2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>
      <c r="A150" s="5"/>
      <c r="B150" s="5"/>
      <c r="C150" s="2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>
      <c r="A151" s="5"/>
      <c r="B151" s="5"/>
      <c r="C151" s="2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>
      <c r="A152" s="5"/>
      <c r="B152" s="5"/>
      <c r="C152" s="2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>
      <c r="A153" s="5"/>
      <c r="B153" s="5"/>
      <c r="C153" s="2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>
      <c r="A154" s="5"/>
      <c r="B154" s="5"/>
      <c r="C154" s="2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>
      <c r="A155" s="5"/>
      <c r="B155" s="5"/>
      <c r="C155" s="2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>
      <c r="A156" s="5"/>
      <c r="B156" s="5"/>
      <c r="C156" s="2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>
      <c r="A157" s="5"/>
      <c r="B157" s="5"/>
      <c r="C157" s="2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>
      <c r="A158" s="5"/>
      <c r="B158" s="5"/>
      <c r="C158" s="2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>
      <c r="A159" s="5"/>
      <c r="B159" s="5"/>
      <c r="C159" s="2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>
      <c r="A160" s="5"/>
      <c r="B160" s="5"/>
      <c r="C160" s="2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>
      <c r="A161" s="5"/>
      <c r="B161" s="5"/>
      <c r="C161" s="2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>
      <c r="A162" s="5"/>
      <c r="B162" s="5"/>
      <c r="C162" s="2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>
      <c r="A163" s="5"/>
      <c r="B163" s="5"/>
      <c r="C163" s="2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>
      <c r="A164" s="5"/>
      <c r="B164" s="5"/>
      <c r="C164" s="2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>
      <c r="A165" s="5"/>
      <c r="B165" s="5"/>
      <c r="C165" s="2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>
      <c r="A166" s="5"/>
      <c r="B166" s="5"/>
      <c r="C166" s="2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>
      <c r="A167" s="5"/>
      <c r="B167" s="5"/>
      <c r="C167" s="2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>
      <c r="A168" s="5"/>
      <c r="B168" s="5"/>
      <c r="C168" s="2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>
      <c r="A169" s="5"/>
      <c r="B169" s="5"/>
      <c r="C169" s="2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>
      <c r="A170" s="5"/>
      <c r="B170" s="5"/>
      <c r="C170" s="2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>
      <c r="A171" s="5"/>
      <c r="B171" s="5"/>
      <c r="C171" s="2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>
      <c r="A172" s="5"/>
      <c r="B172" s="5"/>
      <c r="C172" s="2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>
      <c r="A173" s="5"/>
      <c r="B173" s="5"/>
      <c r="C173" s="2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>
      <c r="A174" s="5"/>
      <c r="B174" s="5"/>
      <c r="C174" s="2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>
      <c r="A175" s="5"/>
      <c r="B175" s="5"/>
      <c r="C175" s="2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>
      <c r="A176" s="5"/>
      <c r="B176" s="5"/>
      <c r="C176" s="2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>
      <c r="A177" s="5"/>
      <c r="B177" s="5"/>
      <c r="C177" s="2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>
      <c r="A178" s="5"/>
      <c r="B178" s="5"/>
      <c r="C178" s="2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>
      <c r="A179" s="5"/>
      <c r="B179" s="5"/>
      <c r="C179" s="2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>
      <c r="A180" s="5"/>
      <c r="B180" s="5"/>
      <c r="C180" s="2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>
      <c r="A181" s="5"/>
      <c r="B181" s="5"/>
      <c r="C181" s="2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>
      <c r="A182" s="5"/>
      <c r="B182" s="5"/>
      <c r="C182" s="2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>
      <c r="A183" s="5"/>
      <c r="B183" s="5"/>
      <c r="C183" s="2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>
      <c r="A184" s="5"/>
      <c r="B184" s="5"/>
      <c r="C184" s="2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>
      <c r="A185" s="5"/>
      <c r="B185" s="5"/>
      <c r="C185" s="2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>
      <c r="A186" s="5"/>
      <c r="B186" s="5"/>
      <c r="C186" s="2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>
      <c r="A187" s="5"/>
      <c r="B187" s="5"/>
      <c r="C187" s="2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>
      <c r="A188" s="5"/>
      <c r="B188" s="5"/>
      <c r="C188" s="2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>
      <c r="A189" s="5"/>
      <c r="B189" s="5"/>
      <c r="C189" s="2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>
      <c r="A190" s="5"/>
      <c r="B190" s="5"/>
      <c r="C190" s="2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>
      <c r="A191" s="5"/>
      <c r="B191" s="5"/>
      <c r="C191" s="2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>
      <c r="A192" s="5"/>
      <c r="B192" s="5"/>
      <c r="C192" s="2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>
      <c r="A193" s="5"/>
      <c r="B193" s="5"/>
      <c r="C193" s="2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>
      <c r="A194" s="5"/>
      <c r="B194" s="5"/>
      <c r="C194" s="2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>
      <c r="A195" s="5"/>
      <c r="B195" s="5"/>
      <c r="C195" s="2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>
      <c r="A196" s="5"/>
      <c r="B196" s="5"/>
      <c r="C196" s="2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>
      <c r="A197" s="5"/>
      <c r="B197" s="5"/>
      <c r="C197" s="2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>
      <c r="A198" s="5"/>
      <c r="B198" s="5"/>
      <c r="C198" s="2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>
      <c r="A199" s="5"/>
      <c r="B199" s="5"/>
      <c r="C199" s="2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>
      <c r="A200" s="5"/>
      <c r="B200" s="5"/>
      <c r="C200" s="2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>
      <c r="A201" s="5"/>
      <c r="B201" s="5"/>
      <c r="C201" s="2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>
      <c r="A202" s="5"/>
      <c r="B202" s="5"/>
      <c r="C202" s="2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>
      <c r="A203" s="5"/>
      <c r="B203" s="5"/>
      <c r="C203" s="2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>
      <c r="A204" s="5"/>
      <c r="B204" s="5"/>
      <c r="C204" s="2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>
      <c r="A205" s="5"/>
      <c r="B205" s="5"/>
      <c r="C205" s="2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>
      <c r="A206" s="5"/>
      <c r="B206" s="5"/>
      <c r="C206" s="2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>
      <c r="A207" s="5"/>
      <c r="B207" s="5"/>
      <c r="C207" s="2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>
      <c r="A208" s="5"/>
      <c r="B208" s="5"/>
      <c r="C208" s="2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>
      <c r="A209" s="5"/>
      <c r="B209" s="5"/>
      <c r="C209" s="2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>
      <c r="A210" s="5"/>
      <c r="B210" s="5"/>
      <c r="C210" s="2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>
      <c r="A211" s="5"/>
      <c r="B211" s="5"/>
      <c r="C211" s="2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>
      <c r="A212" s="5"/>
      <c r="B212" s="5"/>
      <c r="C212" s="2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>
      <c r="A213" s="5"/>
      <c r="B213" s="5"/>
      <c r="C213" s="2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>
      <c r="A214" s="5"/>
      <c r="B214" s="5"/>
      <c r="C214" s="2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>
      <c r="A215" s="5"/>
      <c r="B215" s="5"/>
      <c r="C215" s="2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>
      <c r="A216" s="5"/>
      <c r="B216" s="5"/>
      <c r="C216" s="2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>
      <c r="A217" s="5"/>
      <c r="B217" s="5"/>
      <c r="C217" s="2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>
      <c r="A218" s="5"/>
      <c r="B218" s="5"/>
      <c r="C218" s="2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>
      <c r="A219" s="5"/>
      <c r="B219" s="5"/>
      <c r="C219" s="2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>
      <c r="A220" s="5"/>
      <c r="B220" s="5"/>
      <c r="C220" s="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>
      <c r="A221" s="5"/>
      <c r="B221" s="5"/>
      <c r="C221" s="2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>
      <c r="A222" s="5"/>
      <c r="B222" s="5"/>
      <c r="C222" s="2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>
      <c r="A223" s="5"/>
      <c r="B223" s="5"/>
      <c r="C223" s="2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>
      <c r="A224" s="5"/>
      <c r="B224" s="5"/>
      <c r="C224" s="2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>
      <c r="A225" s="5"/>
      <c r="B225" s="5"/>
      <c r="C225" s="2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>
      <c r="A226" s="5"/>
      <c r="B226" s="5"/>
      <c r="C226" s="2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>
      <c r="A227" s="5"/>
      <c r="B227" s="5"/>
      <c r="C227" s="2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>
      <c r="A228" s="5"/>
      <c r="B228" s="5"/>
      <c r="C228" s="2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>
      <c r="A229" s="5"/>
      <c r="B229" s="5"/>
      <c r="C229" s="2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>
      <c r="A230" s="5"/>
      <c r="B230" s="5"/>
      <c r="C230" s="2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>
      <c r="A231" s="5"/>
      <c r="B231" s="5"/>
      <c r="C231" s="2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>
      <c r="A232" s="5"/>
      <c r="B232" s="5"/>
      <c r="C232" s="2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>
      <c r="A233" s="5"/>
      <c r="B233" s="5"/>
      <c r="C233" s="2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>
      <c r="A234" s="5"/>
      <c r="B234" s="5"/>
      <c r="C234" s="2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>
      <c r="A235" s="5"/>
      <c r="B235" s="5"/>
      <c r="C235" s="2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>
      <c r="A236" s="5"/>
      <c r="B236" s="5"/>
      <c r="C236" s="2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>
      <c r="A237" s="5"/>
      <c r="B237" s="5"/>
      <c r="C237" s="2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>
      <c r="A238" s="5"/>
      <c r="B238" s="5"/>
      <c r="C238" s="2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>
      <c r="A239" s="5"/>
      <c r="B239" s="5"/>
      <c r="C239" s="2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>
      <c r="A240" s="5"/>
      <c r="B240" s="5"/>
      <c r="C240" s="2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>
      <c r="A241" s="5"/>
      <c r="B241" s="5"/>
      <c r="C241" s="2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>
      <c r="A242" s="5"/>
      <c r="B242" s="5"/>
      <c r="C242" s="2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>
      <c r="A243" s="5"/>
      <c r="B243" s="5"/>
      <c r="C243" s="2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>
      <c r="A244" s="5"/>
      <c r="B244" s="5"/>
      <c r="C244" s="2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>
      <c r="A245" s="5"/>
      <c r="B245" s="5"/>
      <c r="C245" s="2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>
      <c r="A246" s="5"/>
      <c r="B246" s="5"/>
      <c r="C246" s="2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>
      <c r="A247" s="5"/>
      <c r="B247" s="5"/>
      <c r="C247" s="2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>
      <c r="A248" s="5"/>
      <c r="B248" s="5"/>
      <c r="C248" s="2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>
      <c r="A249" s="5"/>
      <c r="B249" s="5"/>
      <c r="C249" s="2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>
      <c r="A250" s="5"/>
      <c r="B250" s="5"/>
      <c r="C250" s="2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>
      <c r="A251" s="5"/>
      <c r="B251" s="5"/>
      <c r="C251" s="2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>
      <c r="A252" s="5"/>
      <c r="B252" s="5"/>
      <c r="C252" s="2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>
      <c r="A253" s="5"/>
      <c r="B253" s="5"/>
      <c r="C253" s="2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>
      <c r="A254" s="5"/>
      <c r="B254" s="5"/>
      <c r="C254" s="2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>
      <c r="A255" s="5"/>
      <c r="B255" s="5"/>
      <c r="C255" s="2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>
      <c r="A256" s="5"/>
      <c r="B256" s="5"/>
      <c r="C256" s="2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>
      <c r="A257" s="5"/>
      <c r="B257" s="5"/>
      <c r="C257" s="2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>
      <c r="A258" s="5"/>
      <c r="B258" s="5"/>
      <c r="C258" s="2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>
      <c r="A259" s="5"/>
      <c r="B259" s="5"/>
      <c r="C259" s="2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>
      <c r="A260" s="5"/>
      <c r="B260" s="5"/>
      <c r="C260" s="2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>
      <c r="A261" s="5"/>
      <c r="B261" s="5"/>
      <c r="C261" s="2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>
      <c r="A262" s="5"/>
      <c r="B262" s="5"/>
      <c r="C262" s="2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>
      <c r="A263" s="5"/>
      <c r="B263" s="5"/>
      <c r="C263" s="2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>
      <c r="A264" s="5"/>
      <c r="B264" s="5"/>
      <c r="C264" s="2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>
      <c r="A265" s="5"/>
      <c r="B265" s="5"/>
      <c r="C265" s="2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>
      <c r="A266" s="5"/>
      <c r="B266" s="5"/>
      <c r="C266" s="2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>
      <c r="A267" s="5"/>
      <c r="B267" s="5"/>
      <c r="C267" s="2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>
      <c r="A268" s="5"/>
      <c r="B268" s="5"/>
      <c r="C268" s="2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>
      <c r="A269" s="5"/>
      <c r="B269" s="5"/>
      <c r="C269" s="2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>
      <c r="A270" s="5"/>
      <c r="B270" s="5"/>
      <c r="C270" s="2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>
      <c r="A271" s="5"/>
      <c r="B271" s="5"/>
      <c r="C271" s="2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>
      <c r="A272" s="5"/>
      <c r="B272" s="5"/>
      <c r="C272" s="2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>
      <c r="A273" s="5"/>
      <c r="B273" s="5"/>
      <c r="C273" s="2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>
      <c r="A274" s="5"/>
      <c r="B274" s="5"/>
      <c r="C274" s="2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>
      <c r="A275" s="5"/>
      <c r="B275" s="5"/>
      <c r="C275" s="2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>
      <c r="A276" s="5"/>
      <c r="B276" s="5"/>
      <c r="C276" s="2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>
      <c r="A277" s="5"/>
      <c r="B277" s="5"/>
      <c r="C277" s="2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>
      <c r="A278" s="5"/>
      <c r="B278" s="5"/>
      <c r="C278" s="2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>
      <c r="A279" s="5"/>
      <c r="B279" s="5"/>
      <c r="C279" s="2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>
      <c r="A280" s="5"/>
      <c r="B280" s="5"/>
      <c r="C280" s="2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>
      <c r="A281" s="5"/>
      <c r="B281" s="5"/>
      <c r="C281" s="2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>
      <c r="A282" s="5"/>
      <c r="B282" s="5"/>
      <c r="C282" s="2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>
      <c r="A283" s="5"/>
      <c r="B283" s="5"/>
      <c r="C283" s="2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>
      <c r="A284" s="5"/>
      <c r="B284" s="5"/>
      <c r="C284" s="2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>
      <c r="A285" s="5"/>
      <c r="B285" s="5"/>
      <c r="C285" s="2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>
      <c r="A286" s="5"/>
      <c r="B286" s="5"/>
      <c r="C286" s="2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>
      <c r="A287" s="5"/>
      <c r="B287" s="5"/>
      <c r="C287" s="2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>
      <c r="A288" s="5"/>
      <c r="B288" s="5"/>
      <c r="C288" s="2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>
      <c r="A289" s="5"/>
      <c r="B289" s="5"/>
      <c r="C289" s="2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>
      <c r="A290" s="5"/>
      <c r="B290" s="5"/>
      <c r="C290" s="2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>
      <c r="A291" s="5"/>
      <c r="B291" s="5"/>
      <c r="C291" s="2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>
      <c r="A292" s="5"/>
      <c r="B292" s="5"/>
      <c r="C292" s="2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>
      <c r="A293" s="5"/>
      <c r="B293" s="5"/>
      <c r="C293" s="2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>
      <c r="A294" s="5"/>
      <c r="B294" s="5"/>
      <c r="C294" s="2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>
      <c r="A295" s="5"/>
      <c r="B295" s="5"/>
      <c r="C295" s="2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>
      <c r="A296" s="5"/>
      <c r="B296" s="5"/>
      <c r="C296" s="2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>
      <c r="A297" s="5"/>
      <c r="B297" s="5"/>
      <c r="C297" s="2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>
      <c r="A298" s="5"/>
      <c r="B298" s="5"/>
      <c r="C298" s="2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>
      <c r="A299" s="5"/>
      <c r="B299" s="5"/>
      <c r="C299" s="2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>
      <c r="A300" s="5"/>
      <c r="B300" s="5"/>
      <c r="C300" s="2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>
      <c r="A301" s="5"/>
      <c r="B301" s="5"/>
      <c r="C301" s="2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>
      <c r="A302" s="5"/>
      <c r="B302" s="5"/>
      <c r="C302" s="2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>
      <c r="A303" s="5"/>
      <c r="B303" s="5"/>
      <c r="C303" s="2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>
      <c r="A304" s="5"/>
      <c r="B304" s="5"/>
      <c r="C304" s="2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>
      <c r="A305" s="5"/>
      <c r="B305" s="5"/>
      <c r="C305" s="2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>
      <c r="A306" s="5"/>
      <c r="B306" s="5"/>
      <c r="C306" s="2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>
      <c r="A307" s="5"/>
      <c r="B307" s="5"/>
      <c r="C307" s="2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>
      <c r="A308" s="5"/>
      <c r="B308" s="5"/>
      <c r="C308" s="2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>
      <c r="A309" s="5"/>
      <c r="B309" s="5"/>
      <c r="C309" s="2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>
      <c r="A310" s="5"/>
      <c r="B310" s="5"/>
      <c r="C310" s="2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>
      <c r="A311" s="5"/>
      <c r="B311" s="5"/>
      <c r="C311" s="2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>
      <c r="A312" s="5"/>
      <c r="B312" s="5"/>
      <c r="C312" s="2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>
      <c r="A313" s="5"/>
      <c r="B313" s="5"/>
      <c r="C313" s="2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>
      <c r="A314" s="5"/>
      <c r="B314" s="5"/>
      <c r="C314" s="2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>
      <c r="A315" s="5"/>
      <c r="B315" s="5"/>
      <c r="C315" s="2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>
      <c r="A316" s="5"/>
      <c r="B316" s="5"/>
      <c r="C316" s="2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>
      <c r="A317" s="5"/>
      <c r="B317" s="5"/>
      <c r="C317" s="2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>
      <c r="A318" s="5"/>
      <c r="B318" s="5"/>
      <c r="C318" s="2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>
      <c r="A319" s="5"/>
      <c r="B319" s="5"/>
      <c r="C319" s="2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>
      <c r="A320" s="5"/>
      <c r="B320" s="5"/>
      <c r="C320" s="2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>
      <c r="A321" s="5"/>
      <c r="B321" s="5"/>
      <c r="C321" s="2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>
      <c r="A322" s="5"/>
      <c r="B322" s="5"/>
      <c r="C322" s="2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>
      <c r="A323" s="5"/>
      <c r="B323" s="5"/>
      <c r="C323" s="2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>
      <c r="A324" s="5"/>
      <c r="B324" s="5"/>
      <c r="C324" s="2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>
      <c r="A325" s="5"/>
      <c r="B325" s="5"/>
      <c r="C325" s="2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>
      <c r="A326" s="5"/>
      <c r="B326" s="5"/>
      <c r="C326" s="2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>
      <c r="A327" s="5"/>
      <c r="B327" s="5"/>
      <c r="C327" s="2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>
      <c r="A328" s="5"/>
      <c r="B328" s="5"/>
      <c r="C328" s="2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>
      <c r="A329" s="5"/>
      <c r="B329" s="5"/>
      <c r="C329" s="2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>
      <c r="A330" s="5"/>
      <c r="B330" s="5"/>
      <c r="C330" s="2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>
      <c r="A331" s="5"/>
      <c r="B331" s="5"/>
      <c r="C331" s="2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>
      <c r="A332" s="5"/>
      <c r="B332" s="5"/>
      <c r="C332" s="2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>
      <c r="A333" s="5"/>
      <c r="B333" s="5"/>
      <c r="C333" s="2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>
      <c r="A334" s="5"/>
      <c r="B334" s="5"/>
      <c r="C334" s="2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>
      <c r="A335" s="5"/>
      <c r="B335" s="5"/>
      <c r="C335" s="2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>
      <c r="A336" s="5"/>
      <c r="B336" s="5"/>
      <c r="C336" s="2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>
      <c r="A337" s="5"/>
      <c r="B337" s="5"/>
      <c r="C337" s="2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>
      <c r="A338" s="5"/>
      <c r="B338" s="5"/>
      <c r="C338" s="2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>
      <c r="A339" s="5"/>
      <c r="B339" s="5"/>
      <c r="C339" s="2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>
      <c r="A340" s="5"/>
      <c r="B340" s="5"/>
      <c r="C340" s="2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>
      <c r="A341" s="5"/>
      <c r="B341" s="5"/>
      <c r="C341" s="2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>
      <c r="A342" s="5"/>
      <c r="B342" s="5"/>
      <c r="C342" s="2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>
      <c r="A343" s="5"/>
      <c r="B343" s="5"/>
      <c r="C343" s="2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>
      <c r="A344" s="5"/>
      <c r="B344" s="5"/>
      <c r="C344" s="2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>
      <c r="A345" s="5"/>
      <c r="B345" s="5"/>
      <c r="C345" s="2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>
      <c r="A346" s="5"/>
      <c r="B346" s="5"/>
      <c r="C346" s="2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>
      <c r="A347" s="5"/>
      <c r="B347" s="5"/>
      <c r="C347" s="2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>
      <c r="A348" s="5"/>
      <c r="B348" s="5"/>
      <c r="C348" s="2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>
      <c r="A349" s="5"/>
      <c r="B349" s="5"/>
      <c r="C349" s="2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>
      <c r="A350" s="5"/>
      <c r="B350" s="5"/>
      <c r="C350" s="2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>
      <c r="A351" s="5"/>
      <c r="B351" s="5"/>
      <c r="C351" s="2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>
      <c r="A352" s="5"/>
      <c r="B352" s="5"/>
      <c r="C352" s="2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>
      <c r="A353" s="5"/>
      <c r="B353" s="5"/>
      <c r="C353" s="2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>
      <c r="A354" s="5"/>
      <c r="B354" s="5"/>
      <c r="C354" s="2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>
      <c r="A355" s="5"/>
      <c r="B355" s="5"/>
      <c r="C355" s="2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>
      <c r="A356" s="5"/>
      <c r="B356" s="5"/>
      <c r="C356" s="2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>
      <c r="A357" s="5"/>
      <c r="B357" s="5"/>
      <c r="C357" s="2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>
      <c r="A358" s="5"/>
      <c r="B358" s="5"/>
      <c r="C358" s="2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>
      <c r="A359" s="5"/>
      <c r="B359" s="5"/>
      <c r="C359" s="2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>
      <c r="A360" s="5"/>
      <c r="B360" s="5"/>
      <c r="C360" s="2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>
      <c r="A361" s="5"/>
      <c r="B361" s="5"/>
      <c r="C361" s="2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>
      <c r="A362" s="5"/>
      <c r="B362" s="5"/>
      <c r="C362" s="2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>
      <c r="A363" s="5"/>
      <c r="B363" s="5"/>
      <c r="C363" s="2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>
      <c r="A364" s="5"/>
      <c r="B364" s="5"/>
      <c r="C364" s="2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>
      <c r="A365" s="5"/>
      <c r="B365" s="5"/>
      <c r="C365" s="2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>
      <c r="A366" s="5"/>
      <c r="B366" s="5"/>
      <c r="C366" s="2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>
      <c r="A367" s="5"/>
      <c r="B367" s="5"/>
      <c r="C367" s="2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>
      <c r="A368" s="5"/>
      <c r="B368" s="5"/>
      <c r="C368" s="2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>
      <c r="A369" s="5"/>
      <c r="B369" s="5"/>
      <c r="C369" s="2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>
      <c r="A370" s="5"/>
      <c r="B370" s="5"/>
      <c r="C370" s="2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</sheetData>
  <mergeCells count="2">
    <mergeCell ref="A1:C2"/>
    <mergeCell ref="A3:C3"/>
  </mergeCells>
  <printOptions horizontalCentered="1"/>
  <pageMargins left="0.75" right="0.75" top="1" bottom="1" header="0.5" footer="0.5"/>
  <pageSetup scale="71" firstPageNumber="6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3">
    <pageSetUpPr fitToPage="1"/>
  </sheetPr>
  <dimension ref="A1:AS370"/>
  <sheetViews>
    <sheetView topLeftCell="A4" zoomScale="75" zoomScaleNormal="75" workbookViewId="0">
      <selection activeCell="C42" sqref="C42"/>
    </sheetView>
  </sheetViews>
  <sheetFormatPr defaultRowHeight="12.75"/>
  <cols>
    <col min="1" max="1" width="34.28515625" customWidth="1"/>
    <col min="2" max="2" width="30.7109375" customWidth="1"/>
    <col min="3" max="3" width="15.28515625" style="21" customWidth="1"/>
    <col min="4" max="4" width="12.7109375" hidden="1" customWidth="1"/>
    <col min="5" max="5" width="12.7109375" customWidth="1"/>
    <col min="6" max="6" width="38.5703125" bestFit="1" customWidth="1"/>
    <col min="7" max="8" width="12.7109375" customWidth="1"/>
  </cols>
  <sheetData>
    <row r="1" spans="1:45" s="59" customFormat="1" ht="15" customHeight="1">
      <c r="A1" s="899" t="str">
        <f>Scope!$A$1</f>
        <v>AES Corp, Dallas, TX (640 MW)</v>
      </c>
      <c r="B1" s="892"/>
      <c r="C1" s="892"/>
      <c r="D1" s="687"/>
      <c r="E1" s="687"/>
      <c r="F1" s="687"/>
      <c r="G1" s="687"/>
      <c r="H1" s="687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spans="1:45" s="59" customFormat="1" ht="15" customHeight="1">
      <c r="A2" s="892"/>
      <c r="B2" s="892"/>
      <c r="C2" s="892"/>
      <c r="D2" s="687"/>
      <c r="E2" s="687"/>
      <c r="F2" s="687"/>
      <c r="G2" s="687"/>
      <c r="H2" s="687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s="59" customFormat="1" ht="13.5">
      <c r="A3" s="901" t="s">
        <v>1454</v>
      </c>
      <c r="B3" s="902"/>
      <c r="C3" s="902"/>
      <c r="D3" s="687"/>
      <c r="E3" s="687"/>
      <c r="F3" s="687"/>
      <c r="G3" s="687"/>
      <c r="H3" s="687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>
      <c r="A4" s="8"/>
      <c r="B4" s="8"/>
      <c r="C4" s="39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8"/>
      <c r="B5" s="158" t="s">
        <v>1207</v>
      </c>
      <c r="C5" s="159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5"/>
      <c r="B6" s="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3.5" thickBot="1">
      <c r="A7" s="5"/>
      <c r="B7" s="5"/>
      <c r="C7" s="5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3.5" thickBot="1">
      <c r="A8" s="786" t="s">
        <v>1208</v>
      </c>
      <c r="B8" s="737"/>
      <c r="C8" s="776" t="s">
        <v>284</v>
      </c>
      <c r="D8" s="777" t="s">
        <v>284</v>
      </c>
      <c r="E8" s="114" t="s">
        <v>1143</v>
      </c>
      <c r="F8" s="130"/>
      <c r="G8" s="784"/>
      <c r="H8" s="78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787"/>
      <c r="B9" s="102"/>
      <c r="C9" s="154"/>
      <c r="D9" s="778"/>
      <c r="E9" s="115"/>
      <c r="F9" s="79"/>
      <c r="G9" s="79"/>
      <c r="H9" s="7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48"/>
      <c r="B10" s="102"/>
      <c r="C10" s="115"/>
      <c r="D10" s="779"/>
      <c r="E10" s="115"/>
      <c r="F10" s="79"/>
      <c r="G10" s="79"/>
      <c r="H10" s="7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779" t="str">
        <f>UPPER('GTDB(7FA)'!A17)</f>
        <v>COMBUSTION LINERS</v>
      </c>
      <c r="B11" s="102"/>
      <c r="C11" s="116">
        <f>'GTDB(7FA)'!E17*1000*E11</f>
        <v>573256</v>
      </c>
      <c r="D11" s="780">
        <v>0</v>
      </c>
      <c r="E11" s="830">
        <v>1</v>
      </c>
      <c r="F11" s="813"/>
      <c r="G11" s="785"/>
      <c r="H11" s="81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779" t="str">
        <f>UPPER('GTDB(7FA)'!A18)</f>
        <v>TRANSITION PIECES</v>
      </c>
      <c r="B12" s="102"/>
      <c r="C12" s="116">
        <f>'GTDB(7FA)'!E18*1000*E12</f>
        <v>1246131</v>
      </c>
      <c r="D12" s="780">
        <v>0</v>
      </c>
      <c r="E12" s="830">
        <v>1</v>
      </c>
      <c r="F12" s="813"/>
      <c r="G12" s="785"/>
      <c r="H12" s="81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779" t="str">
        <f>UPPER('GTDB(7FA)'!A19)</f>
        <v>FUEL NOZZLES</v>
      </c>
      <c r="B13" s="102"/>
      <c r="C13" s="116">
        <f>'GTDB(7FA)'!E19*1000*E13</f>
        <v>1297423</v>
      </c>
      <c r="D13" s="780">
        <v>0</v>
      </c>
      <c r="E13" s="830">
        <v>1</v>
      </c>
      <c r="F13" s="813"/>
      <c r="G13" s="785"/>
      <c r="H13" s="81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779" t="str">
        <f>UPPER('GTDB(7FA)'!A20)</f>
        <v>STAGE 1 NOZZLES</v>
      </c>
      <c r="B14" s="102"/>
      <c r="C14" s="116">
        <f>'GTDB(7FA)'!E20*1000*E14</f>
        <v>1604924</v>
      </c>
      <c r="D14" s="780">
        <v>0</v>
      </c>
      <c r="E14" s="830">
        <v>1</v>
      </c>
      <c r="F14" s="813"/>
      <c r="G14" s="785"/>
      <c r="H14" s="81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779" t="str">
        <f>UPPER('GTDB(7FA)'!A21)</f>
        <v>STAGE 2 NOZZLES</v>
      </c>
      <c r="B15" s="102"/>
      <c r="C15" s="116">
        <f>'GTDB(7FA)'!E21*1000*E15</f>
        <v>0</v>
      </c>
      <c r="D15" s="780">
        <v>0</v>
      </c>
      <c r="E15" s="830"/>
      <c r="F15" s="813"/>
      <c r="G15" s="785"/>
      <c r="H15" s="81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779" t="str">
        <f>UPPER('GTDB(7FA)'!A22)</f>
        <v>STAGE 3 NOZZLES</v>
      </c>
      <c r="B16" s="102"/>
      <c r="C16" s="116">
        <f>'GTDB(7FA)'!E22*1000*E16</f>
        <v>0</v>
      </c>
      <c r="D16" s="780">
        <v>0</v>
      </c>
      <c r="E16" s="830"/>
      <c r="F16" s="813"/>
      <c r="G16" s="785"/>
      <c r="H16" s="81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779" t="str">
        <f>UPPER('GTDB(7FA)'!A23)</f>
        <v>STAGE 1 BUCKETS</v>
      </c>
      <c r="B17" s="102"/>
      <c r="C17" s="116">
        <f>'GTDB(7FA)'!E23*1000*E17</f>
        <v>3214992</v>
      </c>
      <c r="D17" s="780">
        <v>0</v>
      </c>
      <c r="E17" s="830">
        <v>1</v>
      </c>
      <c r="F17" s="813"/>
      <c r="G17" s="785"/>
      <c r="H17" s="81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779" t="str">
        <f>UPPER('GTDB(7FA)'!A24)</f>
        <v>STAGE 2 BUCKETS</v>
      </c>
      <c r="B18" s="102"/>
      <c r="C18" s="116">
        <f>'GTDB(7FA)'!E24*1000*E18</f>
        <v>0</v>
      </c>
      <c r="D18" s="780">
        <v>0</v>
      </c>
      <c r="E18" s="830"/>
      <c r="F18" s="813"/>
      <c r="G18" s="785"/>
      <c r="H18" s="81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779" t="str">
        <f>UPPER('GTDB(7FA)'!A25)</f>
        <v>STAGE 3 BUCKETS</v>
      </c>
      <c r="B19" s="102"/>
      <c r="C19" s="116">
        <f>'GTDB(7FA)'!E25*1000*E19</f>
        <v>0</v>
      </c>
      <c r="D19" s="780">
        <v>0</v>
      </c>
      <c r="E19" s="830"/>
      <c r="F19" s="813"/>
      <c r="G19" s="785"/>
      <c r="H19" s="81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779" t="str">
        <f>UPPER('GTDB(7FA)'!A26)</f>
        <v>ROW 1 SUPPORT RING</v>
      </c>
      <c r="B20" s="102"/>
      <c r="C20" s="116">
        <f>'GTDB(7FA)'!E26*1000*E20</f>
        <v>0</v>
      </c>
      <c r="D20" s="780"/>
      <c r="E20" s="830"/>
      <c r="F20" s="813"/>
      <c r="G20" s="785"/>
      <c r="H20" s="81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779" t="str">
        <f>UPPER('GTDB(7FA)'!A27)</f>
        <v xml:space="preserve">1ST STAGE SHROUD BLOCKS </v>
      </c>
      <c r="B21" s="102"/>
      <c r="C21" s="116">
        <f>'GTDB(7FA)'!E27*1000*E21</f>
        <v>721443</v>
      </c>
      <c r="D21" s="780">
        <v>0</v>
      </c>
      <c r="E21" s="830">
        <v>1</v>
      </c>
      <c r="F21" s="813"/>
      <c r="G21" s="785"/>
      <c r="H21" s="8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779" t="str">
        <f>UPPER('GTDB(7FA)'!A28)</f>
        <v>2ND STAGE SHROUD BLOCKS</v>
      </c>
      <c r="B22" s="102"/>
      <c r="C22" s="116">
        <f>'GTDB(7FA)'!E28*1000*E22</f>
        <v>0</v>
      </c>
      <c r="D22" s="780">
        <v>0</v>
      </c>
      <c r="E22" s="830"/>
      <c r="F22" s="813"/>
      <c r="G22" s="785"/>
      <c r="H22" s="8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779" t="str">
        <f>UPPER('GTDB(7FA)'!A29)</f>
        <v>3RD STAGE SHROUD BLOCKS</v>
      </c>
      <c r="B23" s="102"/>
      <c r="C23" s="116">
        <f>'GTDB(7FA)'!E29*1000*E23</f>
        <v>0</v>
      </c>
      <c r="D23" s="780">
        <v>0</v>
      </c>
      <c r="E23" s="830"/>
      <c r="F23" s="813"/>
      <c r="G23" s="785"/>
      <c r="H23" s="8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48" t="s">
        <v>1149</v>
      </c>
      <c r="B24" s="102"/>
      <c r="C24" s="116">
        <v>0</v>
      </c>
      <c r="D24" s="780">
        <v>0</v>
      </c>
      <c r="E24" s="785"/>
      <c r="F24" s="813"/>
      <c r="G24" s="785"/>
      <c r="H24" s="81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48" t="s">
        <v>1209</v>
      </c>
      <c r="B25" s="102"/>
      <c r="C25" s="116">
        <v>0</v>
      </c>
      <c r="D25" s="780">
        <v>0</v>
      </c>
      <c r="E25" s="785"/>
      <c r="F25" s="813"/>
      <c r="G25" s="785"/>
      <c r="H25" s="8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3.5" thickBot="1">
      <c r="A26" s="148" t="s">
        <v>1210</v>
      </c>
      <c r="B26" s="102"/>
      <c r="C26" s="116">
        <v>0</v>
      </c>
      <c r="D26" s="780">
        <v>0</v>
      </c>
      <c r="E26" s="785"/>
      <c r="F26" s="813"/>
      <c r="G26" s="785"/>
      <c r="H26" s="8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48" t="s">
        <v>1144</v>
      </c>
      <c r="B27" s="102"/>
      <c r="C27" s="116">
        <f>1000*'GTDB(7FA)'!D12*E27</f>
        <v>108508</v>
      </c>
      <c r="D27" s="780">
        <v>0</v>
      </c>
      <c r="E27" s="835">
        <v>2</v>
      </c>
      <c r="F27" s="813"/>
      <c r="G27" s="785"/>
      <c r="H27" s="8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48" t="s">
        <v>1145</v>
      </c>
      <c r="B28" s="102"/>
      <c r="C28" s="116">
        <f>1000*'GTDB(7FA)'!D13*E28</f>
        <v>62032</v>
      </c>
      <c r="D28" s="780">
        <v>0</v>
      </c>
      <c r="E28" s="830">
        <v>1</v>
      </c>
      <c r="F28" s="813"/>
      <c r="G28" s="785"/>
      <c r="H28" s="8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3.5" thickBot="1">
      <c r="A29" s="148" t="s">
        <v>1146</v>
      </c>
      <c r="B29" s="102"/>
      <c r="C29" s="116">
        <f>1000*'GTDB(7FA)'!D14*E29</f>
        <v>209215</v>
      </c>
      <c r="D29" s="780">
        <v>0</v>
      </c>
      <c r="E29" s="836">
        <v>1</v>
      </c>
      <c r="F29" s="813"/>
      <c r="G29" s="785"/>
      <c r="H29" s="8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48" t="s">
        <v>1211</v>
      </c>
      <c r="B30" s="102"/>
      <c r="C30" s="116">
        <v>0</v>
      </c>
      <c r="D30" s="780">
        <v>0</v>
      </c>
      <c r="E30" s="785"/>
      <c r="F30" s="813"/>
      <c r="G30" s="785"/>
      <c r="H30" s="8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48" t="s">
        <v>994</v>
      </c>
      <c r="B31" s="102"/>
      <c r="C31" s="116">
        <v>0</v>
      </c>
      <c r="D31" s="780">
        <v>0</v>
      </c>
      <c r="E31" s="785"/>
      <c r="F31" s="102"/>
      <c r="G31" s="785"/>
      <c r="H31" s="8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48" t="s">
        <v>1212</v>
      </c>
      <c r="B32" s="102"/>
      <c r="C32" s="162">
        <f>SUM(C10:C31)</f>
        <v>9037924</v>
      </c>
      <c r="D32" s="781">
        <f>SUM(D10:D31)</f>
        <v>0</v>
      </c>
      <c r="E32" s="79"/>
      <c r="F32" s="102"/>
      <c r="G32" s="79"/>
      <c r="H32" s="8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48"/>
      <c r="B33" s="102"/>
      <c r="C33" s="115"/>
      <c r="D33" s="779"/>
      <c r="E33" s="79"/>
      <c r="F33" s="102"/>
      <c r="G33" s="79"/>
      <c r="H33" s="8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48"/>
      <c r="B34" s="102"/>
      <c r="C34" s="115"/>
      <c r="D34" s="779"/>
      <c r="E34" s="79"/>
      <c r="F34" s="130"/>
      <c r="G34" s="79"/>
      <c r="H34" s="7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787" t="s">
        <v>1213</v>
      </c>
      <c r="B35" s="102"/>
      <c r="C35" s="115"/>
      <c r="D35" s="779"/>
      <c r="E35" s="79"/>
      <c r="F35" s="79"/>
      <c r="G35" s="79"/>
      <c r="H35" s="7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787"/>
      <c r="B36" s="102"/>
      <c r="C36" s="115"/>
      <c r="D36" s="779"/>
      <c r="E36" s="79"/>
      <c r="F36" s="130"/>
      <c r="G36" s="102"/>
      <c r="H36" s="79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48" t="s">
        <v>1214</v>
      </c>
      <c r="B37" s="102"/>
      <c r="C37" s="117">
        <v>0</v>
      </c>
      <c r="D37" s="782">
        <v>0</v>
      </c>
      <c r="E37" s="146"/>
      <c r="F37" s="146"/>
      <c r="G37" s="146"/>
      <c r="H37" s="14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48"/>
      <c r="B38" s="102"/>
      <c r="C38" s="115"/>
      <c r="D38" s="779"/>
      <c r="E38" s="79"/>
      <c r="F38" s="130"/>
      <c r="G38" s="79"/>
      <c r="H38" s="7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48"/>
      <c r="B39" s="102" t="s">
        <v>1215</v>
      </c>
      <c r="C39" s="162">
        <f>(C37+C32)</f>
        <v>9037924</v>
      </c>
      <c r="D39" s="781">
        <f>(D37+D32)</f>
        <v>0</v>
      </c>
      <c r="E39" s="79"/>
      <c r="F39" s="130"/>
      <c r="G39" s="79"/>
      <c r="H39" s="7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48"/>
      <c r="B40" s="102"/>
      <c r="C40" s="115"/>
      <c r="D40" s="779"/>
      <c r="E40" s="79"/>
      <c r="F40" s="79"/>
      <c r="G40" s="79"/>
      <c r="H40" s="7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787" t="s">
        <v>1216</v>
      </c>
      <c r="B41" s="102"/>
      <c r="C41" s="831">
        <v>500000</v>
      </c>
      <c r="D41" s="779">
        <v>0</v>
      </c>
      <c r="E41" s="79"/>
      <c r="F41" s="130"/>
      <c r="G41" s="79"/>
      <c r="H41" s="7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48"/>
      <c r="B42" s="102"/>
      <c r="C42" s="115"/>
      <c r="D42" s="779"/>
      <c r="E42" s="79"/>
      <c r="F42" s="130"/>
      <c r="G42" s="79"/>
      <c r="H42" s="7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787" t="s">
        <v>1217</v>
      </c>
      <c r="B43" s="102"/>
      <c r="C43" s="162">
        <f>C41+C39</f>
        <v>9537924</v>
      </c>
      <c r="D43" s="781">
        <f>D41+D39</f>
        <v>0</v>
      </c>
      <c r="E43" s="79"/>
      <c r="F43" s="130"/>
      <c r="G43" s="79"/>
      <c r="H43" s="7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787"/>
      <c r="B44" s="102"/>
      <c r="C44" s="115"/>
      <c r="D44" s="779"/>
      <c r="E44" s="79"/>
      <c r="F44" s="102"/>
      <c r="G44" s="79"/>
      <c r="H44" s="7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787" t="s">
        <v>1218</v>
      </c>
      <c r="B45" s="102"/>
      <c r="C45" s="115">
        <f>C43*0.0025</f>
        <v>23844.81</v>
      </c>
      <c r="D45" s="779">
        <f>D43*0.0025</f>
        <v>0</v>
      </c>
      <c r="E45" s="79"/>
      <c r="F45" s="130"/>
      <c r="G45" s="79"/>
      <c r="H45" s="7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787"/>
      <c r="B46" s="102"/>
      <c r="C46" s="115"/>
      <c r="D46" s="779"/>
      <c r="E46" s="79"/>
      <c r="F46" s="102"/>
      <c r="G46" s="102"/>
      <c r="H46" s="10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787" t="s">
        <v>1219</v>
      </c>
      <c r="B47" s="102"/>
      <c r="C47" s="115">
        <f>0.01*C43</f>
        <v>95379.24</v>
      </c>
      <c r="D47" s="779">
        <f>0.01*D43</f>
        <v>0</v>
      </c>
      <c r="E47" s="7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3.5" thickBot="1">
      <c r="A48" s="148"/>
      <c r="B48" s="102"/>
      <c r="C48" s="118"/>
      <c r="D48" s="783"/>
      <c r="E48" s="7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3.5" thickBot="1">
      <c r="A49" s="788" t="s">
        <v>607</v>
      </c>
      <c r="B49" s="150"/>
      <c r="C49" s="118">
        <f>SUM(C43:C47)</f>
        <v>9657148.0500000007</v>
      </c>
      <c r="D49" s="783">
        <f>SUM(D43:D47)</f>
        <v>0</v>
      </c>
      <c r="E49" s="79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32"/>
      <c r="B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5"/>
      <c r="B51" s="5"/>
      <c r="C51" s="2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5"/>
      <c r="B52" s="5"/>
      <c r="C52" s="2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5"/>
      <c r="B53" s="5"/>
      <c r="C53" s="2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5"/>
      <c r="B54" s="5"/>
      <c r="C54" s="25"/>
      <c r="D54" s="25"/>
      <c r="E54" s="25"/>
      <c r="F54" s="25"/>
      <c r="G54" s="2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5"/>
      <c r="B55" s="5"/>
      <c r="C55" s="2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5"/>
      <c r="B56" s="5"/>
      <c r="C56" s="2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5"/>
      <c r="B57" s="5"/>
      <c r="C57" s="2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5"/>
      <c r="B58" s="5"/>
      <c r="C58" s="2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5"/>
      <c r="B59" s="5"/>
      <c r="C59" s="2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5"/>
      <c r="B60" s="5"/>
      <c r="C60" s="2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5"/>
      <c r="B61" s="5"/>
      <c r="C61" s="2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5"/>
      <c r="B62" s="5"/>
      <c r="C62" s="2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5"/>
      <c r="B63" s="5"/>
      <c r="C63" s="2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5"/>
      <c r="B64" s="5"/>
      <c r="C64" s="2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>
      <c r="A65" s="5"/>
      <c r="B65" s="5"/>
      <c r="C65" s="2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>
      <c r="A66" s="5"/>
      <c r="B66" s="5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>
      <c r="A67" s="5"/>
      <c r="B67" s="5"/>
      <c r="C67" s="2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>
      <c r="A68" s="5"/>
      <c r="B68" s="5"/>
      <c r="C68" s="2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>
      <c r="A69" s="5"/>
      <c r="B69" s="5"/>
      <c r="C69" s="2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>
      <c r="A70" s="5"/>
      <c r="B70" s="5"/>
      <c r="C70" s="2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>
      <c r="A71" s="5"/>
      <c r="B71" s="5"/>
      <c r="C71" s="2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>
      <c r="A72" s="5"/>
      <c r="B72" s="5"/>
      <c r="C72" s="2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>
      <c r="A73" s="5"/>
      <c r="B73" s="5"/>
      <c r="C73" s="2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>
      <c r="A74" s="5"/>
      <c r="B74" s="5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>
      <c r="A75" s="5"/>
      <c r="B75" s="5"/>
      <c r="C75" s="2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>
      <c r="A76" s="5"/>
      <c r="B76" s="5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>
      <c r="A77" s="5"/>
      <c r="B77" s="5"/>
      <c r="C77" s="2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>
      <c r="A78" s="5"/>
      <c r="B78" s="5"/>
      <c r="C78" s="2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>
      <c r="A79" s="5"/>
      <c r="B79" s="5"/>
      <c r="C79" s="2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>
      <c r="A80" s="5"/>
      <c r="B80" s="5"/>
      <c r="C80" s="2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>
      <c r="A81" s="5"/>
      <c r="B81" s="5"/>
      <c r="C81" s="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>
      <c r="A82" s="5"/>
      <c r="B82" s="5"/>
      <c r="C82" s="2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>
      <c r="A83" s="5"/>
      <c r="B83" s="5"/>
      <c r="C83" s="2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>
      <c r="A84" s="5"/>
      <c r="B84" s="5"/>
      <c r="C84" s="2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>
      <c r="A85" s="5"/>
      <c r="B85" s="5"/>
      <c r="C85" s="2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>
      <c r="A86" s="5"/>
      <c r="B86" s="5"/>
      <c r="C86" s="2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>
      <c r="A87" s="5"/>
      <c r="B87" s="5"/>
      <c r="C87" s="2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>
      <c r="A88" s="5"/>
      <c r="B88" s="5"/>
      <c r="C88" s="2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>
      <c r="A89" s="5"/>
      <c r="B89" s="5"/>
      <c r="C89" s="2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>
      <c r="A90" s="5"/>
      <c r="B90" s="5"/>
      <c r="C90" s="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>
      <c r="A91" s="5"/>
      <c r="B91" s="5"/>
      <c r="C91" s="2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>
      <c r="A92" s="5"/>
      <c r="B92" s="5"/>
      <c r="C92" s="2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>
      <c r="A93" s="5"/>
      <c r="B93" s="5"/>
      <c r="C93" s="2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>
      <c r="A94" s="5"/>
      <c r="B94" s="5"/>
      <c r="C94" s="2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>
      <c r="A95" s="5"/>
      <c r="B95" s="5"/>
      <c r="C95" s="2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>
      <c r="A96" s="5"/>
      <c r="B96" s="5"/>
      <c r="C96" s="2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>
      <c r="A97" s="5"/>
      <c r="B97" s="5"/>
      <c r="C97" s="2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>
      <c r="A98" s="5"/>
      <c r="B98" s="5"/>
      <c r="C98" s="2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>
      <c r="A99" s="5"/>
      <c r="B99" s="5"/>
      <c r="C99" s="2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>
      <c r="A100" s="5"/>
      <c r="B100" s="5"/>
      <c r="C100" s="2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>
      <c r="A101" s="5"/>
      <c r="B101" s="5"/>
      <c r="C101" s="2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>
      <c r="A102" s="5"/>
      <c r="B102" s="5"/>
      <c r="C102" s="2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>
      <c r="A103" s="5"/>
      <c r="B103" s="5"/>
      <c r="C103" s="2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>
      <c r="A104" s="5"/>
      <c r="B104" s="5"/>
      <c r="C104" s="2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>
      <c r="A105" s="5"/>
      <c r="B105" s="5"/>
      <c r="C105" s="2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>
      <c r="A106" s="5"/>
      <c r="B106" s="5"/>
      <c r="C106" s="2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>
      <c r="A107" s="5"/>
      <c r="B107" s="5"/>
      <c r="C107" s="2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>
      <c r="A108" s="5"/>
      <c r="B108" s="5"/>
      <c r="C108" s="2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>
      <c r="A109" s="5"/>
      <c r="B109" s="5"/>
      <c r="C109" s="2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>
      <c r="A110" s="5"/>
      <c r="B110" s="5"/>
      <c r="C110" s="2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>
      <c r="A111" s="5"/>
      <c r="B111" s="5"/>
      <c r="C111" s="2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>
      <c r="A112" s="5"/>
      <c r="B112" s="5"/>
      <c r="C112" s="2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>
      <c r="A113" s="5"/>
      <c r="B113" s="5"/>
      <c r="C113" s="2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>
      <c r="A114" s="5"/>
      <c r="B114" s="5"/>
      <c r="C114" s="2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>
      <c r="A115" s="5"/>
      <c r="B115" s="5"/>
      <c r="C115" s="2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>
      <c r="A116" s="5"/>
      <c r="B116" s="5"/>
      <c r="C116" s="2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>
      <c r="A117" s="5"/>
      <c r="B117" s="5"/>
      <c r="C117" s="2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>
      <c r="A118" s="5"/>
      <c r="B118" s="5"/>
      <c r="C118" s="2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>
      <c r="A119" s="5"/>
      <c r="B119" s="5"/>
      <c r="C119" s="2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>
      <c r="A120" s="5"/>
      <c r="B120" s="5"/>
      <c r="C120" s="2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>
      <c r="A121" s="5"/>
      <c r="B121" s="5"/>
      <c r="C121" s="2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>
      <c r="A122" s="5"/>
      <c r="B122" s="5"/>
      <c r="C122" s="2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>
      <c r="A123" s="5"/>
      <c r="B123" s="5"/>
      <c r="C123" s="2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>
      <c r="A124" s="5"/>
      <c r="B124" s="5"/>
      <c r="C124" s="2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>
      <c r="A125" s="5"/>
      <c r="B125" s="5"/>
      <c r="C125" s="2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>
      <c r="A126" s="5"/>
      <c r="B126" s="5"/>
      <c r="C126" s="2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>
      <c r="A127" s="5"/>
      <c r="B127" s="5"/>
      <c r="C127" s="2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>
      <c r="A128" s="5"/>
      <c r="B128" s="5"/>
      <c r="C128" s="2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>
      <c r="A129" s="5"/>
      <c r="B129" s="5"/>
      <c r="C129" s="2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>
      <c r="A130" s="5"/>
      <c r="B130" s="5"/>
      <c r="C130" s="2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>
      <c r="A131" s="5"/>
      <c r="B131" s="5"/>
      <c r="C131" s="2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>
      <c r="A132" s="5"/>
      <c r="B132" s="5"/>
      <c r="C132" s="2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>
      <c r="A133" s="5"/>
      <c r="B133" s="5"/>
      <c r="C133" s="2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>
      <c r="A134" s="5"/>
      <c r="B134" s="5"/>
      <c r="C134" s="2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>
      <c r="A135" s="5"/>
      <c r="B135" s="5"/>
      <c r="C135" s="2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>
      <c r="A136" s="5"/>
      <c r="B136" s="5"/>
      <c r="C136" s="2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>
      <c r="A137" s="5"/>
      <c r="B137" s="5"/>
      <c r="C137" s="2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>
      <c r="A138" s="5"/>
      <c r="B138" s="5"/>
      <c r="C138" s="2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>
      <c r="A139" s="5"/>
      <c r="B139" s="5"/>
      <c r="C139" s="2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>
      <c r="A140" s="5"/>
      <c r="B140" s="5"/>
      <c r="C140" s="2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>
      <c r="A141" s="5"/>
      <c r="B141" s="5"/>
      <c r="C141" s="2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>
      <c r="A142" s="5"/>
      <c r="B142" s="5"/>
      <c r="C142" s="2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>
      <c r="A143" s="5"/>
      <c r="B143" s="5"/>
      <c r="C143" s="2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>
      <c r="A144" s="5"/>
      <c r="B144" s="5"/>
      <c r="C144" s="2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>
      <c r="A145" s="5"/>
      <c r="B145" s="5"/>
      <c r="C145" s="2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>
      <c r="A146" s="5"/>
      <c r="B146" s="5"/>
      <c r="C146" s="2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>
      <c r="A147" s="5"/>
      <c r="B147" s="5"/>
      <c r="C147" s="2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>
      <c r="A148" s="5"/>
      <c r="B148" s="5"/>
      <c r="C148" s="2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>
      <c r="A149" s="5"/>
      <c r="B149" s="5"/>
      <c r="C149" s="2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>
      <c r="A150" s="5"/>
      <c r="B150" s="5"/>
      <c r="C150" s="2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>
      <c r="A151" s="5"/>
      <c r="B151" s="5"/>
      <c r="C151" s="2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>
      <c r="A152" s="5"/>
      <c r="B152" s="5"/>
      <c r="C152" s="2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>
      <c r="A153" s="5"/>
      <c r="B153" s="5"/>
      <c r="C153" s="2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>
      <c r="A154" s="5"/>
      <c r="B154" s="5"/>
      <c r="C154" s="2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>
      <c r="A155" s="5"/>
      <c r="B155" s="5"/>
      <c r="C155" s="2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>
      <c r="A156" s="5"/>
      <c r="B156" s="5"/>
      <c r="C156" s="2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>
      <c r="A157" s="5"/>
      <c r="B157" s="5"/>
      <c r="C157" s="2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>
      <c r="A158" s="5"/>
      <c r="B158" s="5"/>
      <c r="C158" s="2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>
      <c r="A159" s="5"/>
      <c r="B159" s="5"/>
      <c r="C159" s="2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>
      <c r="A160" s="5"/>
      <c r="B160" s="5"/>
      <c r="C160" s="2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>
      <c r="A161" s="5"/>
      <c r="B161" s="5"/>
      <c r="C161" s="2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>
      <c r="A162" s="5"/>
      <c r="B162" s="5"/>
      <c r="C162" s="2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>
      <c r="A163" s="5"/>
      <c r="B163" s="5"/>
      <c r="C163" s="2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>
      <c r="A164" s="5"/>
      <c r="B164" s="5"/>
      <c r="C164" s="2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>
      <c r="A165" s="5"/>
      <c r="B165" s="5"/>
      <c r="C165" s="2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>
      <c r="A166" s="5"/>
      <c r="B166" s="5"/>
      <c r="C166" s="2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>
      <c r="A167" s="5"/>
      <c r="B167" s="5"/>
      <c r="C167" s="2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>
      <c r="A168" s="5"/>
      <c r="B168" s="5"/>
      <c r="C168" s="2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>
      <c r="A169" s="5"/>
      <c r="B169" s="5"/>
      <c r="C169" s="2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>
      <c r="A170" s="5"/>
      <c r="B170" s="5"/>
      <c r="C170" s="2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>
      <c r="A171" s="5"/>
      <c r="B171" s="5"/>
      <c r="C171" s="2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>
      <c r="A172" s="5"/>
      <c r="B172" s="5"/>
      <c r="C172" s="2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>
      <c r="A173" s="5"/>
      <c r="B173" s="5"/>
      <c r="C173" s="2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>
      <c r="A174" s="5"/>
      <c r="B174" s="5"/>
      <c r="C174" s="2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>
      <c r="A175" s="5"/>
      <c r="B175" s="5"/>
      <c r="C175" s="2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>
      <c r="A176" s="5"/>
      <c r="B176" s="5"/>
      <c r="C176" s="2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>
      <c r="A177" s="5"/>
      <c r="B177" s="5"/>
      <c r="C177" s="2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>
      <c r="A178" s="5"/>
      <c r="B178" s="5"/>
      <c r="C178" s="2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>
      <c r="A179" s="5"/>
      <c r="B179" s="5"/>
      <c r="C179" s="2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>
      <c r="A180" s="5"/>
      <c r="B180" s="5"/>
      <c r="C180" s="2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>
      <c r="A181" s="5"/>
      <c r="B181" s="5"/>
      <c r="C181" s="2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>
      <c r="A182" s="5"/>
      <c r="B182" s="5"/>
      <c r="C182" s="2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>
      <c r="A183" s="5"/>
      <c r="B183" s="5"/>
      <c r="C183" s="2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>
      <c r="A184" s="5"/>
      <c r="B184" s="5"/>
      <c r="C184" s="2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>
      <c r="A185" s="5"/>
      <c r="B185" s="5"/>
      <c r="C185" s="2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>
      <c r="A186" s="5"/>
      <c r="B186" s="5"/>
      <c r="C186" s="2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>
      <c r="A187" s="5"/>
      <c r="B187" s="5"/>
      <c r="C187" s="2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>
      <c r="A188" s="5"/>
      <c r="B188" s="5"/>
      <c r="C188" s="2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>
      <c r="A189" s="5"/>
      <c r="B189" s="5"/>
      <c r="C189" s="2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>
      <c r="A190" s="5"/>
      <c r="B190" s="5"/>
      <c r="C190" s="2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>
      <c r="A191" s="5"/>
      <c r="B191" s="5"/>
      <c r="C191" s="2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>
      <c r="A192" s="5"/>
      <c r="B192" s="5"/>
      <c r="C192" s="2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>
      <c r="A193" s="5"/>
      <c r="B193" s="5"/>
      <c r="C193" s="2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>
      <c r="A194" s="5"/>
      <c r="B194" s="5"/>
      <c r="C194" s="2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>
      <c r="A195" s="5"/>
      <c r="B195" s="5"/>
      <c r="C195" s="2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>
      <c r="A196" s="5"/>
      <c r="B196" s="5"/>
      <c r="C196" s="2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>
      <c r="A197" s="5"/>
      <c r="B197" s="5"/>
      <c r="C197" s="2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>
      <c r="A198" s="5"/>
      <c r="B198" s="5"/>
      <c r="C198" s="2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>
      <c r="A199" s="5"/>
      <c r="B199" s="5"/>
      <c r="C199" s="2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>
      <c r="A200" s="5"/>
      <c r="B200" s="5"/>
      <c r="C200" s="2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>
      <c r="A201" s="5"/>
      <c r="B201" s="5"/>
      <c r="C201" s="2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>
      <c r="A202" s="5"/>
      <c r="B202" s="5"/>
      <c r="C202" s="2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>
      <c r="A203" s="5"/>
      <c r="B203" s="5"/>
      <c r="C203" s="2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>
      <c r="A204" s="5"/>
      <c r="B204" s="5"/>
      <c r="C204" s="2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>
      <c r="A205" s="5"/>
      <c r="B205" s="5"/>
      <c r="C205" s="2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>
      <c r="A206" s="5"/>
      <c r="B206" s="5"/>
      <c r="C206" s="2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>
      <c r="A207" s="5"/>
      <c r="B207" s="5"/>
      <c r="C207" s="2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>
      <c r="A208" s="5"/>
      <c r="B208" s="5"/>
      <c r="C208" s="2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>
      <c r="A209" s="5"/>
      <c r="B209" s="5"/>
      <c r="C209" s="2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>
      <c r="A210" s="5"/>
      <c r="B210" s="5"/>
      <c r="C210" s="2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>
      <c r="A211" s="5"/>
      <c r="B211" s="5"/>
      <c r="C211" s="2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>
      <c r="A212" s="5"/>
      <c r="B212" s="5"/>
      <c r="C212" s="2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>
      <c r="A213" s="5"/>
      <c r="B213" s="5"/>
      <c r="C213" s="2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>
      <c r="A214" s="5"/>
      <c r="B214" s="5"/>
      <c r="C214" s="2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>
      <c r="A215" s="5"/>
      <c r="B215" s="5"/>
      <c r="C215" s="2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>
      <c r="A216" s="5"/>
      <c r="B216" s="5"/>
      <c r="C216" s="2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>
      <c r="A217" s="5"/>
      <c r="B217" s="5"/>
      <c r="C217" s="2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>
      <c r="A218" s="5"/>
      <c r="B218" s="5"/>
      <c r="C218" s="2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>
      <c r="A219" s="5"/>
      <c r="B219" s="5"/>
      <c r="C219" s="2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>
      <c r="A220" s="5"/>
      <c r="B220" s="5"/>
      <c r="C220" s="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>
      <c r="A221" s="5"/>
      <c r="B221" s="5"/>
      <c r="C221" s="2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>
      <c r="A222" s="5"/>
      <c r="B222" s="5"/>
      <c r="C222" s="2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>
      <c r="A223" s="5"/>
      <c r="B223" s="5"/>
      <c r="C223" s="2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>
      <c r="A224" s="5"/>
      <c r="B224" s="5"/>
      <c r="C224" s="2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>
      <c r="A225" s="5"/>
      <c r="B225" s="5"/>
      <c r="C225" s="2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>
      <c r="A226" s="5"/>
      <c r="B226" s="5"/>
      <c r="C226" s="2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>
      <c r="A227" s="5"/>
      <c r="B227" s="5"/>
      <c r="C227" s="2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>
      <c r="A228" s="5"/>
      <c r="B228" s="5"/>
      <c r="C228" s="2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>
      <c r="A229" s="5"/>
      <c r="B229" s="5"/>
      <c r="C229" s="2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>
      <c r="A230" s="5"/>
      <c r="B230" s="5"/>
      <c r="C230" s="2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>
      <c r="A231" s="5"/>
      <c r="B231" s="5"/>
      <c r="C231" s="2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>
      <c r="A232" s="5"/>
      <c r="B232" s="5"/>
      <c r="C232" s="2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>
      <c r="A233" s="5"/>
      <c r="B233" s="5"/>
      <c r="C233" s="2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>
      <c r="A234" s="5"/>
      <c r="B234" s="5"/>
      <c r="C234" s="2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>
      <c r="A235" s="5"/>
      <c r="B235" s="5"/>
      <c r="C235" s="2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>
      <c r="A236" s="5"/>
      <c r="B236" s="5"/>
      <c r="C236" s="2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>
      <c r="A237" s="5"/>
      <c r="B237" s="5"/>
      <c r="C237" s="2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>
      <c r="A238" s="5"/>
      <c r="B238" s="5"/>
      <c r="C238" s="2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>
      <c r="A239" s="5"/>
      <c r="B239" s="5"/>
      <c r="C239" s="2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>
      <c r="A240" s="5"/>
      <c r="B240" s="5"/>
      <c r="C240" s="2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>
      <c r="A241" s="5"/>
      <c r="B241" s="5"/>
      <c r="C241" s="2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>
      <c r="A242" s="5"/>
      <c r="B242" s="5"/>
      <c r="C242" s="2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>
      <c r="A243" s="5"/>
      <c r="B243" s="5"/>
      <c r="C243" s="2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>
      <c r="A244" s="5"/>
      <c r="B244" s="5"/>
      <c r="C244" s="2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>
      <c r="A245" s="5"/>
      <c r="B245" s="5"/>
      <c r="C245" s="2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>
      <c r="A246" s="5"/>
      <c r="B246" s="5"/>
      <c r="C246" s="2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>
      <c r="A247" s="5"/>
      <c r="B247" s="5"/>
      <c r="C247" s="2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>
      <c r="A248" s="5"/>
      <c r="B248" s="5"/>
      <c r="C248" s="2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>
      <c r="A249" s="5"/>
      <c r="B249" s="5"/>
      <c r="C249" s="2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>
      <c r="A250" s="5"/>
      <c r="B250" s="5"/>
      <c r="C250" s="2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>
      <c r="A251" s="5"/>
      <c r="B251" s="5"/>
      <c r="C251" s="2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>
      <c r="A252" s="5"/>
      <c r="B252" s="5"/>
      <c r="C252" s="2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>
      <c r="A253" s="5"/>
      <c r="B253" s="5"/>
      <c r="C253" s="2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>
      <c r="A254" s="5"/>
      <c r="B254" s="5"/>
      <c r="C254" s="2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>
      <c r="A255" s="5"/>
      <c r="B255" s="5"/>
      <c r="C255" s="2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>
      <c r="A256" s="5"/>
      <c r="B256" s="5"/>
      <c r="C256" s="2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>
      <c r="A257" s="5"/>
      <c r="B257" s="5"/>
      <c r="C257" s="2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>
      <c r="A258" s="5"/>
      <c r="B258" s="5"/>
      <c r="C258" s="2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>
      <c r="A259" s="5"/>
      <c r="B259" s="5"/>
      <c r="C259" s="2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>
      <c r="A260" s="5"/>
      <c r="B260" s="5"/>
      <c r="C260" s="2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>
      <c r="A261" s="5"/>
      <c r="B261" s="5"/>
      <c r="C261" s="2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>
      <c r="A262" s="5"/>
      <c r="B262" s="5"/>
      <c r="C262" s="2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>
      <c r="A263" s="5"/>
      <c r="B263" s="5"/>
      <c r="C263" s="2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>
      <c r="A264" s="5"/>
      <c r="B264" s="5"/>
      <c r="C264" s="2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>
      <c r="A265" s="5"/>
      <c r="B265" s="5"/>
      <c r="C265" s="2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>
      <c r="A266" s="5"/>
      <c r="B266" s="5"/>
      <c r="C266" s="2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>
      <c r="A267" s="5"/>
      <c r="B267" s="5"/>
      <c r="C267" s="2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>
      <c r="A268" s="5"/>
      <c r="B268" s="5"/>
      <c r="C268" s="2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>
      <c r="A269" s="5"/>
      <c r="B269" s="5"/>
      <c r="C269" s="2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>
      <c r="A270" s="5"/>
      <c r="B270" s="5"/>
      <c r="C270" s="2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>
      <c r="A271" s="5"/>
      <c r="B271" s="5"/>
      <c r="C271" s="2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>
      <c r="A272" s="5"/>
      <c r="B272" s="5"/>
      <c r="C272" s="2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>
      <c r="A273" s="5"/>
      <c r="B273" s="5"/>
      <c r="C273" s="2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>
      <c r="A274" s="5"/>
      <c r="B274" s="5"/>
      <c r="C274" s="2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>
      <c r="A275" s="5"/>
      <c r="B275" s="5"/>
      <c r="C275" s="2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>
      <c r="A276" s="5"/>
      <c r="B276" s="5"/>
      <c r="C276" s="2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>
      <c r="A277" s="5"/>
      <c r="B277" s="5"/>
      <c r="C277" s="2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>
      <c r="A278" s="5"/>
      <c r="B278" s="5"/>
      <c r="C278" s="2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>
      <c r="A279" s="5"/>
      <c r="B279" s="5"/>
      <c r="C279" s="2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>
      <c r="A280" s="5"/>
      <c r="B280" s="5"/>
      <c r="C280" s="2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>
      <c r="A281" s="5"/>
      <c r="B281" s="5"/>
      <c r="C281" s="2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>
      <c r="A282" s="5"/>
      <c r="B282" s="5"/>
      <c r="C282" s="2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>
      <c r="A283" s="5"/>
      <c r="B283" s="5"/>
      <c r="C283" s="2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>
      <c r="A284" s="5"/>
      <c r="B284" s="5"/>
      <c r="C284" s="2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>
      <c r="A285" s="5"/>
      <c r="B285" s="5"/>
      <c r="C285" s="2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>
      <c r="A286" s="5"/>
      <c r="B286" s="5"/>
      <c r="C286" s="2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>
      <c r="A287" s="5"/>
      <c r="B287" s="5"/>
      <c r="C287" s="2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>
      <c r="A288" s="5"/>
      <c r="B288" s="5"/>
      <c r="C288" s="2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>
      <c r="A289" s="5"/>
      <c r="B289" s="5"/>
      <c r="C289" s="2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>
      <c r="A290" s="5"/>
      <c r="B290" s="5"/>
      <c r="C290" s="2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>
      <c r="A291" s="5"/>
      <c r="B291" s="5"/>
      <c r="C291" s="2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>
      <c r="A292" s="5"/>
      <c r="B292" s="5"/>
      <c r="C292" s="2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>
      <c r="A293" s="5"/>
      <c r="B293" s="5"/>
      <c r="C293" s="2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>
      <c r="A294" s="5"/>
      <c r="B294" s="5"/>
      <c r="C294" s="2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>
      <c r="A295" s="5"/>
      <c r="B295" s="5"/>
      <c r="C295" s="2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>
      <c r="A296" s="5"/>
      <c r="B296" s="5"/>
      <c r="C296" s="2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>
      <c r="A297" s="5"/>
      <c r="B297" s="5"/>
      <c r="C297" s="2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>
      <c r="A298" s="5"/>
      <c r="B298" s="5"/>
      <c r="C298" s="2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>
      <c r="A299" s="5"/>
      <c r="B299" s="5"/>
      <c r="C299" s="2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>
      <c r="A300" s="5"/>
      <c r="B300" s="5"/>
      <c r="C300" s="2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>
      <c r="A301" s="5"/>
      <c r="B301" s="5"/>
      <c r="C301" s="2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>
      <c r="A302" s="5"/>
      <c r="B302" s="5"/>
      <c r="C302" s="2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>
      <c r="A303" s="5"/>
      <c r="B303" s="5"/>
      <c r="C303" s="2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>
      <c r="A304" s="5"/>
      <c r="B304" s="5"/>
      <c r="C304" s="2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>
      <c r="A305" s="5"/>
      <c r="B305" s="5"/>
      <c r="C305" s="2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>
      <c r="A306" s="5"/>
      <c r="B306" s="5"/>
      <c r="C306" s="2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>
      <c r="A307" s="5"/>
      <c r="B307" s="5"/>
      <c r="C307" s="2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>
      <c r="A308" s="5"/>
      <c r="B308" s="5"/>
      <c r="C308" s="2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>
      <c r="A309" s="5"/>
      <c r="B309" s="5"/>
      <c r="C309" s="2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>
      <c r="A310" s="5"/>
      <c r="B310" s="5"/>
      <c r="C310" s="2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>
      <c r="A311" s="5"/>
      <c r="B311" s="5"/>
      <c r="C311" s="2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>
      <c r="A312" s="5"/>
      <c r="B312" s="5"/>
      <c r="C312" s="2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>
      <c r="A313" s="5"/>
      <c r="B313" s="5"/>
      <c r="C313" s="2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>
      <c r="A314" s="5"/>
      <c r="B314" s="5"/>
      <c r="C314" s="2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>
      <c r="A315" s="5"/>
      <c r="B315" s="5"/>
      <c r="C315" s="2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>
      <c r="A316" s="5"/>
      <c r="B316" s="5"/>
      <c r="C316" s="2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>
      <c r="A317" s="5"/>
      <c r="B317" s="5"/>
      <c r="C317" s="2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>
      <c r="A318" s="5"/>
      <c r="B318" s="5"/>
      <c r="C318" s="2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>
      <c r="A319" s="5"/>
      <c r="B319" s="5"/>
      <c r="C319" s="2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>
      <c r="A320" s="5"/>
      <c r="B320" s="5"/>
      <c r="C320" s="2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>
      <c r="A321" s="5"/>
      <c r="B321" s="5"/>
      <c r="C321" s="2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>
      <c r="A322" s="5"/>
      <c r="B322" s="5"/>
      <c r="C322" s="2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>
      <c r="A323" s="5"/>
      <c r="B323" s="5"/>
      <c r="C323" s="2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>
      <c r="A324" s="5"/>
      <c r="B324" s="5"/>
      <c r="C324" s="2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>
      <c r="A325" s="5"/>
      <c r="B325" s="5"/>
      <c r="C325" s="2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>
      <c r="A326" s="5"/>
      <c r="B326" s="5"/>
      <c r="C326" s="2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>
      <c r="A327" s="5"/>
      <c r="B327" s="5"/>
      <c r="C327" s="2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>
      <c r="A328" s="5"/>
      <c r="B328" s="5"/>
      <c r="C328" s="2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>
      <c r="A329" s="5"/>
      <c r="B329" s="5"/>
      <c r="C329" s="2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>
      <c r="A330" s="5"/>
      <c r="B330" s="5"/>
      <c r="C330" s="2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>
      <c r="A331" s="5"/>
      <c r="B331" s="5"/>
      <c r="C331" s="2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>
      <c r="A332" s="5"/>
      <c r="B332" s="5"/>
      <c r="C332" s="2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>
      <c r="A333" s="5"/>
      <c r="B333" s="5"/>
      <c r="C333" s="2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>
      <c r="A334" s="5"/>
      <c r="B334" s="5"/>
      <c r="C334" s="2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>
      <c r="A335" s="5"/>
      <c r="B335" s="5"/>
      <c r="C335" s="2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>
      <c r="A336" s="5"/>
      <c r="B336" s="5"/>
      <c r="C336" s="2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>
      <c r="A337" s="5"/>
      <c r="B337" s="5"/>
      <c r="C337" s="2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>
      <c r="A338" s="5"/>
      <c r="B338" s="5"/>
      <c r="C338" s="2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>
      <c r="A339" s="5"/>
      <c r="B339" s="5"/>
      <c r="C339" s="2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>
      <c r="A340" s="5"/>
      <c r="B340" s="5"/>
      <c r="C340" s="2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>
      <c r="A341" s="5"/>
      <c r="B341" s="5"/>
      <c r="C341" s="2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>
      <c r="A342" s="5"/>
      <c r="B342" s="5"/>
      <c r="C342" s="2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>
      <c r="A343" s="5"/>
      <c r="B343" s="5"/>
      <c r="C343" s="2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>
      <c r="A344" s="5"/>
      <c r="B344" s="5"/>
      <c r="C344" s="2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>
      <c r="A345" s="5"/>
      <c r="B345" s="5"/>
      <c r="C345" s="2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>
      <c r="A346" s="5"/>
      <c r="B346" s="5"/>
      <c r="C346" s="2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>
      <c r="A347" s="5"/>
      <c r="B347" s="5"/>
      <c r="C347" s="2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>
      <c r="A348" s="5"/>
      <c r="B348" s="5"/>
      <c r="C348" s="2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>
      <c r="A349" s="5"/>
      <c r="B349" s="5"/>
      <c r="C349" s="2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>
      <c r="A350" s="5"/>
      <c r="B350" s="5"/>
      <c r="C350" s="2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>
      <c r="A351" s="5"/>
      <c r="B351" s="5"/>
      <c r="C351" s="2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>
      <c r="A352" s="5"/>
      <c r="B352" s="5"/>
      <c r="C352" s="2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>
      <c r="A353" s="5"/>
      <c r="B353" s="5"/>
      <c r="C353" s="2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>
      <c r="A354" s="5"/>
      <c r="B354" s="5"/>
      <c r="C354" s="2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>
      <c r="A355" s="5"/>
      <c r="B355" s="5"/>
      <c r="C355" s="2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>
      <c r="A356" s="5"/>
      <c r="B356" s="5"/>
      <c r="C356" s="2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>
      <c r="A357" s="5"/>
      <c r="B357" s="5"/>
      <c r="C357" s="2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>
      <c r="A358" s="5"/>
      <c r="B358" s="5"/>
      <c r="C358" s="2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>
      <c r="A359" s="5"/>
      <c r="B359" s="5"/>
      <c r="C359" s="2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>
      <c r="A360" s="5"/>
      <c r="B360" s="5"/>
      <c r="C360" s="2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>
      <c r="A361" s="5"/>
      <c r="B361" s="5"/>
      <c r="C361" s="2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>
      <c r="A362" s="5"/>
      <c r="B362" s="5"/>
      <c r="C362" s="2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>
      <c r="A363" s="5"/>
      <c r="B363" s="5"/>
      <c r="C363" s="2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>
      <c r="A364" s="5"/>
      <c r="B364" s="5"/>
      <c r="C364" s="2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>
      <c r="A365" s="5"/>
      <c r="B365" s="5"/>
      <c r="C365" s="2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>
      <c r="A366" s="5"/>
      <c r="B366" s="5"/>
      <c r="C366" s="2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>
      <c r="A367" s="5"/>
      <c r="B367" s="5"/>
      <c r="C367" s="2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>
      <c r="A368" s="5"/>
      <c r="B368" s="5"/>
      <c r="C368" s="2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>
      <c r="A369" s="5"/>
      <c r="B369" s="5"/>
      <c r="C369" s="2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>
      <c r="A370" s="5"/>
      <c r="B370" s="5"/>
      <c r="C370" s="2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</sheetData>
  <mergeCells count="2">
    <mergeCell ref="A1:C2"/>
    <mergeCell ref="A3:C3"/>
  </mergeCells>
  <printOptions horizontalCentered="1"/>
  <pageMargins left="0.75" right="0.75" top="1" bottom="1" header="0.5" footer="0.5"/>
  <pageSetup scale="71" firstPageNumber="6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2">
    <pageSetUpPr fitToPage="1"/>
  </sheetPr>
  <dimension ref="A1:AS369"/>
  <sheetViews>
    <sheetView topLeftCell="A5" zoomScale="75" zoomScaleNormal="75" workbookViewId="0">
      <selection activeCell="C35" sqref="C35"/>
    </sheetView>
  </sheetViews>
  <sheetFormatPr defaultRowHeight="12.75"/>
  <cols>
    <col min="1" max="1" width="34.28515625" customWidth="1"/>
    <col min="2" max="2" width="30.7109375" customWidth="1"/>
    <col min="3" max="3" width="15.28515625" style="21" customWidth="1"/>
    <col min="4" max="4" width="12.7109375" hidden="1" customWidth="1"/>
    <col min="5" max="5" width="12.7109375" customWidth="1"/>
    <col min="6" max="6" width="38.5703125" bestFit="1" customWidth="1"/>
    <col min="7" max="8" width="12.7109375" customWidth="1"/>
  </cols>
  <sheetData>
    <row r="1" spans="1:45" s="59" customFormat="1" ht="15" customHeight="1">
      <c r="A1" s="899" t="str">
        <f>Scope!$A$1</f>
        <v>AES Corp, Dallas, TX (640 MW)</v>
      </c>
      <c r="B1" s="892"/>
      <c r="C1" s="892"/>
      <c r="D1" s="687"/>
      <c r="E1" s="687"/>
      <c r="F1" s="687"/>
      <c r="G1" s="687"/>
      <c r="H1" s="687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spans="1:45" s="59" customFormat="1" ht="15" customHeight="1">
      <c r="A2" s="892"/>
      <c r="B2" s="892"/>
      <c r="C2" s="892"/>
      <c r="D2" s="687"/>
      <c r="E2" s="687"/>
      <c r="F2" s="687"/>
      <c r="G2" s="687"/>
      <c r="H2" s="687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s="59" customFormat="1" ht="13.5">
      <c r="A3" s="901" t="s">
        <v>1454</v>
      </c>
      <c r="B3" s="902"/>
      <c r="C3" s="902"/>
      <c r="D3" s="687"/>
      <c r="E3" s="687"/>
      <c r="F3" s="687"/>
      <c r="G3" s="687"/>
      <c r="H3" s="687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>
      <c r="A4" s="8"/>
      <c r="B4" s="8"/>
      <c r="C4" s="39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8"/>
      <c r="B5" s="158" t="s">
        <v>1207</v>
      </c>
      <c r="C5" s="159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5"/>
      <c r="B6" s="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3.5" thickBot="1">
      <c r="A7" s="5"/>
      <c r="B7" s="5"/>
      <c r="C7" s="5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3.5" thickBot="1">
      <c r="A8" s="786" t="s">
        <v>1208</v>
      </c>
      <c r="B8" s="790"/>
      <c r="C8" s="776" t="s">
        <v>620</v>
      </c>
      <c r="D8" s="825" t="s">
        <v>284</v>
      </c>
      <c r="E8" s="828" t="s">
        <v>1143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779"/>
      <c r="B9" s="79"/>
      <c r="C9" s="154"/>
      <c r="D9" s="826"/>
      <c r="E9" s="82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779"/>
      <c r="B10" s="79"/>
      <c r="C10" s="115"/>
      <c r="D10" s="79"/>
      <c r="E10" s="79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789" t="str">
        <f>UPPER('GTDB(W501D5)'!A17)</f>
        <v>BASKETS</v>
      </c>
      <c r="B11" s="785"/>
      <c r="C11" s="792">
        <f>'GTDB(W501D5)'!E17*1000*E11</f>
        <v>0</v>
      </c>
      <c r="D11" s="785">
        <v>0</v>
      </c>
      <c r="E11" s="83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789" t="str">
        <f>UPPER('GTDB(W501D5)'!A18)</f>
        <v>TRANSITION PIECES</v>
      </c>
      <c r="B12" s="785"/>
      <c r="C12" s="792">
        <f>'GTDB(W501D5)'!E18*1000*E12</f>
        <v>0</v>
      </c>
      <c r="D12" s="785">
        <v>0</v>
      </c>
      <c r="E12" s="83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789" t="str">
        <f>UPPER('GTDB(W501D5)'!A19)</f>
        <v>TRANSITION SEALS</v>
      </c>
      <c r="B13" s="785"/>
      <c r="C13" s="792">
        <f>'GTDB(W501D5)'!E19*1000*E13</f>
        <v>0</v>
      </c>
      <c r="D13" s="785">
        <v>0</v>
      </c>
      <c r="E13" s="83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789" t="str">
        <f>UPPER('GTDB(W501D5)'!A20)</f>
        <v>FUEL NOZZLES</v>
      </c>
      <c r="B14" s="785"/>
      <c r="C14" s="792">
        <f>'GTDB(W501D5)'!E20*1000*E14</f>
        <v>0</v>
      </c>
      <c r="D14" s="785">
        <v>0</v>
      </c>
      <c r="E14" s="83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789" t="str">
        <f>UPPER('GTDB(W501D5)'!A21)</f>
        <v>CLAMSHELLS</v>
      </c>
      <c r="B15" s="785"/>
      <c r="C15" s="792">
        <f>'GTDB(W501D5)'!E21*1000*E15</f>
        <v>0</v>
      </c>
      <c r="D15" s="785">
        <v>0</v>
      </c>
      <c r="E15" s="83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789" t="str">
        <f>UPPER('GTDB(W501D5)'!A22)</f>
        <v>ROW 1 BLADES</v>
      </c>
      <c r="B16" s="785"/>
      <c r="C16" s="792">
        <f>'GTDB(W501D5)'!E22*1000*E16</f>
        <v>0</v>
      </c>
      <c r="D16" s="785">
        <v>0</v>
      </c>
      <c r="E16" s="83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789" t="str">
        <f>UPPER('GTDB(W501D5)'!A23)</f>
        <v>ROW 2 BLADES</v>
      </c>
      <c r="B17" s="785"/>
      <c r="C17" s="792">
        <f>'GTDB(W501D5)'!E23*1000*E17</f>
        <v>0</v>
      </c>
      <c r="D17" s="785">
        <v>0</v>
      </c>
      <c r="E17" s="83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789" t="str">
        <f>UPPER('GTDB(W501D5)'!A24)</f>
        <v>ROW 3 BLADES</v>
      </c>
      <c r="B18" s="785"/>
      <c r="C18" s="792">
        <f>'GTDB(W501D5)'!E24*1000*E18</f>
        <v>0</v>
      </c>
      <c r="D18" s="785">
        <v>0</v>
      </c>
      <c r="E18" s="8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789" t="str">
        <f>UPPER('GTDB(W501D5)'!A25)</f>
        <v>ROW 4 BLADES</v>
      </c>
      <c r="B19" s="785"/>
      <c r="C19" s="792">
        <f>'GTDB(W501D5)'!E25*1000*E19</f>
        <v>0</v>
      </c>
      <c r="D19" s="785">
        <v>0</v>
      </c>
      <c r="E19" s="83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789" t="str">
        <f>UPPER('GTDB(W501D5)'!A26)</f>
        <v xml:space="preserve">ROW 1 VANES </v>
      </c>
      <c r="B20" s="785"/>
      <c r="C20" s="792">
        <f>'GTDB(W501D5)'!E26*1000*E20</f>
        <v>0</v>
      </c>
      <c r="D20" s="785">
        <v>0</v>
      </c>
      <c r="E20" s="8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789" t="str">
        <f>UPPER('GTDB(W501D5)'!A27)</f>
        <v>ROW 2 VANES</v>
      </c>
      <c r="B21" s="785"/>
      <c r="C21" s="792">
        <f>'GTDB(W501D5)'!E27*1000*E21</f>
        <v>0</v>
      </c>
      <c r="D21" s="785">
        <v>0</v>
      </c>
      <c r="E21" s="83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789" t="str">
        <f>UPPER('GTDB(W501D5)'!A28)</f>
        <v>ROW 3 VANES</v>
      </c>
      <c r="B22" s="785"/>
      <c r="C22" s="792">
        <f>'GTDB(W501D5)'!E28*1000*E22</f>
        <v>0</v>
      </c>
      <c r="D22" s="785">
        <v>0</v>
      </c>
      <c r="E22" s="83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789" t="str">
        <f>UPPER('GTDB(W501D5)'!A29)</f>
        <v>ROW 4 VANES</v>
      </c>
      <c r="B23" s="785"/>
      <c r="C23" s="792">
        <f>'GTDB(W501D5)'!E29*1000*E23</f>
        <v>0</v>
      </c>
      <c r="D23" s="785">
        <v>0</v>
      </c>
      <c r="E23" s="8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789" t="str">
        <f>UPPER('GTDB(W501D5)'!A30)</f>
        <v>ROW 1 RING SEGMENTS</v>
      </c>
      <c r="B24" s="785"/>
      <c r="C24" s="792">
        <f>'GTDB(W501D5)'!E30*1000*E24</f>
        <v>0</v>
      </c>
      <c r="D24" s="785">
        <v>0</v>
      </c>
      <c r="E24" s="83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789" t="str">
        <f>UPPER('GTDB(W501D5)'!A31)</f>
        <v>ROW 2 RING SEGMENTS</v>
      </c>
      <c r="B25" s="785"/>
      <c r="C25" s="792">
        <f>'GTDB(W501D5)'!E31*1000*E25</f>
        <v>0</v>
      </c>
      <c r="D25" s="785">
        <v>0</v>
      </c>
      <c r="E25" s="83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789" t="str">
        <f>UPPER('GTDB(W501D5)'!A32)</f>
        <v>ROW 3 RINGS SEGMENTS</v>
      </c>
      <c r="B26" s="785"/>
      <c r="C26" s="792">
        <f>'GTDB(W501D5)'!E32*1000*E26</f>
        <v>0</v>
      </c>
      <c r="D26" s="785">
        <v>0</v>
      </c>
      <c r="E26" s="83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789" t="str">
        <f>UPPER('GTDB(W501D5)'!A33)</f>
        <v>ROW 4 RINGS SEGMENTS</v>
      </c>
      <c r="B27" s="785"/>
      <c r="C27" s="792">
        <f>'GTDB(W501D5)'!E33*1000*E27</f>
        <v>0</v>
      </c>
      <c r="D27" s="785">
        <v>0</v>
      </c>
      <c r="E27" s="83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789" t="str">
        <f>UPPER('GTDB(W501D5)'!A34)</f>
        <v>COMP ROTOR BLADES</v>
      </c>
      <c r="B28" s="785"/>
      <c r="C28" s="792">
        <f>'GTDB(W501D5)'!E34*1000*E28</f>
        <v>0</v>
      </c>
      <c r="D28" s="785">
        <v>0</v>
      </c>
      <c r="E28" s="83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789" t="str">
        <f>UPPER('GTDB(W501D5)'!A35)</f>
        <v>COMP DIAPHRAGMS</v>
      </c>
      <c r="B29" s="785"/>
      <c r="C29" s="792">
        <f>'GTDB(W501D5)'!E35*1000*E29</f>
        <v>0</v>
      </c>
      <c r="D29" s="785">
        <v>0</v>
      </c>
      <c r="E29" s="8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48" t="s">
        <v>1144</v>
      </c>
      <c r="B30" s="785"/>
      <c r="C30" s="792">
        <f>'GTDB(W501D5)'!D12*1000*E30</f>
        <v>0</v>
      </c>
      <c r="D30" s="785">
        <v>0</v>
      </c>
      <c r="E30" s="83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48" t="s">
        <v>1145</v>
      </c>
      <c r="B31" s="79"/>
      <c r="C31" s="792">
        <f>'GTDB(W501D5)'!D13*1000*E31</f>
        <v>0</v>
      </c>
      <c r="D31" s="827">
        <f>SUM(D10:D30)</f>
        <v>0</v>
      </c>
      <c r="E31" s="83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48" t="s">
        <v>1146</v>
      </c>
      <c r="B32" s="79"/>
      <c r="C32" s="792">
        <f>'GTDB(W501D5)'!D14*1000*E32</f>
        <v>0</v>
      </c>
      <c r="D32" s="79"/>
      <c r="E32" s="83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787" t="s">
        <v>1217</v>
      </c>
      <c r="B33" s="79"/>
      <c r="C33" s="162">
        <f>SUM(C11:C32)</f>
        <v>0</v>
      </c>
      <c r="D33" s="79"/>
      <c r="E33" s="7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779"/>
      <c r="B34" s="79"/>
      <c r="C34" s="115"/>
      <c r="D34" s="79"/>
      <c r="E34" s="7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787" t="s">
        <v>1216</v>
      </c>
      <c r="B35" s="102"/>
      <c r="C35" s="831"/>
      <c r="D35" s="79"/>
      <c r="E35" s="7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782"/>
      <c r="B36" s="146"/>
      <c r="C36" s="117"/>
      <c r="D36" s="146">
        <v>0</v>
      </c>
      <c r="E36" s="14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787"/>
      <c r="B37" s="79"/>
      <c r="C37" s="115"/>
      <c r="D37" s="79"/>
      <c r="E37" s="7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787" t="s">
        <v>1217</v>
      </c>
      <c r="B38" s="79"/>
      <c r="C38" s="162">
        <f>C33+C35</f>
        <v>0</v>
      </c>
      <c r="D38" s="827">
        <f>(D36+D31)</f>
        <v>0</v>
      </c>
      <c r="E38" s="7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779"/>
      <c r="B39" s="79"/>
      <c r="C39" s="115"/>
      <c r="D39" s="79"/>
      <c r="E39" s="7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787" t="s">
        <v>1218</v>
      </c>
      <c r="B40" s="79"/>
      <c r="C40" s="115">
        <f>C38*0.0025</f>
        <v>0</v>
      </c>
      <c r="D40" s="79">
        <v>0</v>
      </c>
      <c r="E40" s="7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787"/>
      <c r="B41" s="79"/>
      <c r="C41" s="115"/>
      <c r="D41" s="79"/>
      <c r="E41" s="7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787" t="s">
        <v>1219</v>
      </c>
      <c r="B42" s="79"/>
      <c r="C42" s="115">
        <f>0.01*C38</f>
        <v>0</v>
      </c>
      <c r="D42" s="827">
        <f>D40+D38</f>
        <v>0</v>
      </c>
      <c r="E42" s="7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3.5" thickBot="1">
      <c r="A43" s="148"/>
      <c r="B43" s="79"/>
      <c r="C43" s="118"/>
      <c r="D43" s="79"/>
      <c r="E43" s="7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3.5" thickBot="1">
      <c r="A44" s="788" t="s">
        <v>607</v>
      </c>
      <c r="B44" s="791"/>
      <c r="C44" s="118">
        <f>C38+C40+C42</f>
        <v>0</v>
      </c>
      <c r="D44" s="79">
        <f>D42*0.0025</f>
        <v>0</v>
      </c>
      <c r="E44" s="7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0"/>
      <c r="B45" s="102"/>
      <c r="C45" s="79"/>
      <c r="D45" s="79"/>
      <c r="E45" s="7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0"/>
      <c r="B46" s="102"/>
      <c r="C46" s="79"/>
      <c r="D46" s="79">
        <f>0.01*D42</f>
        <v>0</v>
      </c>
      <c r="E46" s="7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3.5" thickBot="1">
      <c r="A47" s="102"/>
      <c r="B47" s="102"/>
      <c r="C47" s="79"/>
      <c r="D47" s="791"/>
      <c r="E47" s="7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3.5" thickBot="1">
      <c r="A48" s="130"/>
      <c r="B48" s="102"/>
      <c r="C48" s="79"/>
      <c r="D48" s="791">
        <f>SUM(D42:D46)</f>
        <v>0</v>
      </c>
      <c r="E48" s="7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32"/>
      <c r="B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5"/>
      <c r="B50" s="5"/>
      <c r="C50" s="2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5"/>
      <c r="B51" s="5"/>
      <c r="C51" s="2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5"/>
      <c r="B52" s="5"/>
      <c r="C52" s="2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5"/>
      <c r="B53" s="5"/>
      <c r="C53" s="25"/>
      <c r="D53" s="25"/>
      <c r="E53" s="25"/>
      <c r="F53" s="25"/>
      <c r="G53" s="2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5"/>
      <c r="B54" s="5"/>
      <c r="C54" s="2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5"/>
      <c r="B55" s="5"/>
      <c r="C55" s="2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5"/>
      <c r="B56" s="5"/>
      <c r="C56" s="2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5"/>
      <c r="B57" s="5"/>
      <c r="C57" s="2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5"/>
      <c r="B58" s="5"/>
      <c r="C58" s="2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5"/>
      <c r="B59" s="5"/>
      <c r="C59" s="2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5"/>
      <c r="B60" s="5"/>
      <c r="C60" s="2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5"/>
      <c r="B61" s="5"/>
      <c r="C61" s="2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5"/>
      <c r="B62" s="5"/>
      <c r="C62" s="2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5"/>
      <c r="B63" s="5"/>
      <c r="C63" s="2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5"/>
      <c r="B64" s="5"/>
      <c r="C64" s="2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>
      <c r="A65" s="5"/>
      <c r="B65" s="5"/>
      <c r="C65" s="2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>
      <c r="A66" s="5"/>
      <c r="B66" s="5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>
      <c r="A67" s="5"/>
      <c r="B67" s="5"/>
      <c r="C67" s="2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>
      <c r="A68" s="5"/>
      <c r="B68" s="5"/>
      <c r="C68" s="2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>
      <c r="A69" s="5"/>
      <c r="B69" s="5"/>
      <c r="C69" s="2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>
      <c r="A70" s="5"/>
      <c r="B70" s="5"/>
      <c r="C70" s="2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>
      <c r="A71" s="5"/>
      <c r="B71" s="5"/>
      <c r="C71" s="2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>
      <c r="A72" s="5"/>
      <c r="B72" s="5"/>
      <c r="C72" s="2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>
      <c r="A73" s="5"/>
      <c r="B73" s="5"/>
      <c r="C73" s="2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>
      <c r="A74" s="5"/>
      <c r="B74" s="5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>
      <c r="A75" s="5"/>
      <c r="B75" s="5"/>
      <c r="C75" s="2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>
      <c r="A76" s="5"/>
      <c r="B76" s="5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>
      <c r="A77" s="5"/>
      <c r="B77" s="5"/>
      <c r="C77" s="2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>
      <c r="A78" s="5"/>
      <c r="B78" s="5"/>
      <c r="C78" s="2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>
      <c r="A79" s="5"/>
      <c r="B79" s="5"/>
      <c r="C79" s="2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>
      <c r="A80" s="5"/>
      <c r="B80" s="5"/>
      <c r="C80" s="2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>
      <c r="A81" s="5"/>
      <c r="B81" s="5"/>
      <c r="C81" s="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>
      <c r="A82" s="5"/>
      <c r="B82" s="5"/>
      <c r="C82" s="2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>
      <c r="A83" s="5"/>
      <c r="B83" s="5"/>
      <c r="C83" s="2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>
      <c r="A84" s="5"/>
      <c r="B84" s="5"/>
      <c r="C84" s="2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>
      <c r="A85" s="5"/>
      <c r="B85" s="5"/>
      <c r="C85" s="2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>
      <c r="A86" s="5"/>
      <c r="B86" s="5"/>
      <c r="C86" s="2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>
      <c r="A87" s="5"/>
      <c r="B87" s="5"/>
      <c r="C87" s="2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>
      <c r="A88" s="5"/>
      <c r="B88" s="5"/>
      <c r="C88" s="2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>
      <c r="A89" s="5"/>
      <c r="B89" s="5"/>
      <c r="C89" s="2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>
      <c r="A90" s="5"/>
      <c r="B90" s="5"/>
      <c r="C90" s="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>
      <c r="A91" s="5"/>
      <c r="B91" s="5"/>
      <c r="C91" s="2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>
      <c r="A92" s="5"/>
      <c r="B92" s="5"/>
      <c r="C92" s="2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>
      <c r="A93" s="5"/>
      <c r="B93" s="5"/>
      <c r="C93" s="2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>
      <c r="A94" s="5"/>
      <c r="B94" s="5"/>
      <c r="C94" s="2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>
      <c r="A95" s="5"/>
      <c r="B95" s="5"/>
      <c r="C95" s="2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>
      <c r="A96" s="5"/>
      <c r="B96" s="5"/>
      <c r="C96" s="2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>
      <c r="A97" s="5"/>
      <c r="B97" s="5"/>
      <c r="C97" s="2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>
      <c r="A98" s="5"/>
      <c r="B98" s="5"/>
      <c r="C98" s="2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>
      <c r="A99" s="5"/>
      <c r="B99" s="5"/>
      <c r="C99" s="2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>
      <c r="A100" s="5"/>
      <c r="B100" s="5"/>
      <c r="C100" s="2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>
      <c r="A101" s="5"/>
      <c r="B101" s="5"/>
      <c r="C101" s="2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>
      <c r="A102" s="5"/>
      <c r="B102" s="5"/>
      <c r="C102" s="2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>
      <c r="A103" s="5"/>
      <c r="B103" s="5"/>
      <c r="C103" s="2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>
      <c r="A104" s="5"/>
      <c r="B104" s="5"/>
      <c r="C104" s="2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>
      <c r="A105" s="5"/>
      <c r="B105" s="5"/>
      <c r="C105" s="2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>
      <c r="A106" s="5"/>
      <c r="B106" s="5"/>
      <c r="C106" s="2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>
      <c r="A107" s="5"/>
      <c r="B107" s="5"/>
      <c r="C107" s="2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>
      <c r="A108" s="5"/>
      <c r="B108" s="5"/>
      <c r="C108" s="2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>
      <c r="A109" s="5"/>
      <c r="B109" s="5"/>
      <c r="C109" s="2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>
      <c r="A110" s="5"/>
      <c r="B110" s="5"/>
      <c r="C110" s="2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>
      <c r="A111" s="5"/>
      <c r="B111" s="5"/>
      <c r="C111" s="2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>
      <c r="A112" s="5"/>
      <c r="B112" s="5"/>
      <c r="C112" s="2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>
      <c r="A113" s="5"/>
      <c r="B113" s="5"/>
      <c r="C113" s="2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>
      <c r="A114" s="5"/>
      <c r="B114" s="5"/>
      <c r="C114" s="2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>
      <c r="A115" s="5"/>
      <c r="B115" s="5"/>
      <c r="C115" s="2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>
      <c r="A116" s="5"/>
      <c r="B116" s="5"/>
      <c r="C116" s="2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>
      <c r="A117" s="5"/>
      <c r="B117" s="5"/>
      <c r="C117" s="2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>
      <c r="A118" s="5"/>
      <c r="B118" s="5"/>
      <c r="C118" s="2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>
      <c r="A119" s="5"/>
      <c r="B119" s="5"/>
      <c r="C119" s="2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>
      <c r="A120" s="5"/>
      <c r="B120" s="5"/>
      <c r="C120" s="2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>
      <c r="A121" s="5"/>
      <c r="B121" s="5"/>
      <c r="C121" s="2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>
      <c r="A122" s="5"/>
      <c r="B122" s="5"/>
      <c r="C122" s="2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>
      <c r="A123" s="5"/>
      <c r="B123" s="5"/>
      <c r="C123" s="2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>
      <c r="A124" s="5"/>
      <c r="B124" s="5"/>
      <c r="C124" s="2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>
      <c r="A125" s="5"/>
      <c r="B125" s="5"/>
      <c r="C125" s="2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>
      <c r="A126" s="5"/>
      <c r="B126" s="5"/>
      <c r="C126" s="2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>
      <c r="A127" s="5"/>
      <c r="B127" s="5"/>
      <c r="C127" s="2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>
      <c r="A128" s="5"/>
      <c r="B128" s="5"/>
      <c r="C128" s="2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>
      <c r="A129" s="5"/>
      <c r="B129" s="5"/>
      <c r="C129" s="2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>
      <c r="A130" s="5"/>
      <c r="B130" s="5"/>
      <c r="C130" s="2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>
      <c r="A131" s="5"/>
      <c r="B131" s="5"/>
      <c r="C131" s="2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>
      <c r="A132" s="5"/>
      <c r="B132" s="5"/>
      <c r="C132" s="2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>
      <c r="A133" s="5"/>
      <c r="B133" s="5"/>
      <c r="C133" s="2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>
      <c r="A134" s="5"/>
      <c r="B134" s="5"/>
      <c r="C134" s="2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>
      <c r="A135" s="5"/>
      <c r="B135" s="5"/>
      <c r="C135" s="2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>
      <c r="A136" s="5"/>
      <c r="B136" s="5"/>
      <c r="C136" s="2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>
      <c r="A137" s="5"/>
      <c r="B137" s="5"/>
      <c r="C137" s="2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>
      <c r="A138" s="5"/>
      <c r="B138" s="5"/>
      <c r="C138" s="2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>
      <c r="A139" s="5"/>
      <c r="B139" s="5"/>
      <c r="C139" s="2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>
      <c r="A140" s="5"/>
      <c r="B140" s="5"/>
      <c r="C140" s="2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>
      <c r="A141" s="5"/>
      <c r="B141" s="5"/>
      <c r="C141" s="2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>
      <c r="A142" s="5"/>
      <c r="B142" s="5"/>
      <c r="C142" s="2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>
      <c r="A143" s="5"/>
      <c r="B143" s="5"/>
      <c r="C143" s="2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>
      <c r="A144" s="5"/>
      <c r="B144" s="5"/>
      <c r="C144" s="2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>
      <c r="A145" s="5"/>
      <c r="B145" s="5"/>
      <c r="C145" s="2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>
      <c r="A146" s="5"/>
      <c r="B146" s="5"/>
      <c r="C146" s="2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>
      <c r="A147" s="5"/>
      <c r="B147" s="5"/>
      <c r="C147" s="2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>
      <c r="A148" s="5"/>
      <c r="B148" s="5"/>
      <c r="C148" s="2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>
      <c r="A149" s="5"/>
      <c r="B149" s="5"/>
      <c r="C149" s="2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>
      <c r="A150" s="5"/>
      <c r="B150" s="5"/>
      <c r="C150" s="2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>
      <c r="A151" s="5"/>
      <c r="B151" s="5"/>
      <c r="C151" s="2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>
      <c r="A152" s="5"/>
      <c r="B152" s="5"/>
      <c r="C152" s="2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>
      <c r="A153" s="5"/>
      <c r="B153" s="5"/>
      <c r="C153" s="2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>
      <c r="A154" s="5"/>
      <c r="B154" s="5"/>
      <c r="C154" s="2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>
      <c r="A155" s="5"/>
      <c r="B155" s="5"/>
      <c r="C155" s="2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>
      <c r="A156" s="5"/>
      <c r="B156" s="5"/>
      <c r="C156" s="2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>
      <c r="A157" s="5"/>
      <c r="B157" s="5"/>
      <c r="C157" s="2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>
      <c r="A158" s="5"/>
      <c r="B158" s="5"/>
      <c r="C158" s="2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>
      <c r="A159" s="5"/>
      <c r="B159" s="5"/>
      <c r="C159" s="2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>
      <c r="A160" s="5"/>
      <c r="B160" s="5"/>
      <c r="C160" s="2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>
      <c r="A161" s="5"/>
      <c r="B161" s="5"/>
      <c r="C161" s="2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>
      <c r="A162" s="5"/>
      <c r="B162" s="5"/>
      <c r="C162" s="2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>
      <c r="A163" s="5"/>
      <c r="B163" s="5"/>
      <c r="C163" s="2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>
      <c r="A164" s="5"/>
      <c r="B164" s="5"/>
      <c r="C164" s="2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>
      <c r="A165" s="5"/>
      <c r="B165" s="5"/>
      <c r="C165" s="2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>
      <c r="A166" s="5"/>
      <c r="B166" s="5"/>
      <c r="C166" s="2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>
      <c r="A167" s="5"/>
      <c r="B167" s="5"/>
      <c r="C167" s="2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>
      <c r="A168" s="5"/>
      <c r="B168" s="5"/>
      <c r="C168" s="2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>
      <c r="A169" s="5"/>
      <c r="B169" s="5"/>
      <c r="C169" s="2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>
      <c r="A170" s="5"/>
      <c r="B170" s="5"/>
      <c r="C170" s="2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>
      <c r="A171" s="5"/>
      <c r="B171" s="5"/>
      <c r="C171" s="2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>
      <c r="A172" s="5"/>
      <c r="B172" s="5"/>
      <c r="C172" s="2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>
      <c r="A173" s="5"/>
      <c r="B173" s="5"/>
      <c r="C173" s="2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>
      <c r="A174" s="5"/>
      <c r="B174" s="5"/>
      <c r="C174" s="2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>
      <c r="A175" s="5"/>
      <c r="B175" s="5"/>
      <c r="C175" s="2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>
      <c r="A176" s="5"/>
      <c r="B176" s="5"/>
      <c r="C176" s="2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>
      <c r="A177" s="5"/>
      <c r="B177" s="5"/>
      <c r="C177" s="2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>
      <c r="A178" s="5"/>
      <c r="B178" s="5"/>
      <c r="C178" s="2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>
      <c r="A179" s="5"/>
      <c r="B179" s="5"/>
      <c r="C179" s="2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>
      <c r="A180" s="5"/>
      <c r="B180" s="5"/>
      <c r="C180" s="2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>
      <c r="A181" s="5"/>
      <c r="B181" s="5"/>
      <c r="C181" s="2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>
      <c r="A182" s="5"/>
      <c r="B182" s="5"/>
      <c r="C182" s="2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>
      <c r="A183" s="5"/>
      <c r="B183" s="5"/>
      <c r="C183" s="2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>
      <c r="A184" s="5"/>
      <c r="B184" s="5"/>
      <c r="C184" s="2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>
      <c r="A185" s="5"/>
      <c r="B185" s="5"/>
      <c r="C185" s="2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>
      <c r="A186" s="5"/>
      <c r="B186" s="5"/>
      <c r="C186" s="2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>
      <c r="A187" s="5"/>
      <c r="B187" s="5"/>
      <c r="C187" s="2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>
      <c r="A188" s="5"/>
      <c r="B188" s="5"/>
      <c r="C188" s="2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>
      <c r="A189" s="5"/>
      <c r="B189" s="5"/>
      <c r="C189" s="2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>
      <c r="A190" s="5"/>
      <c r="B190" s="5"/>
      <c r="C190" s="2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>
      <c r="A191" s="5"/>
      <c r="B191" s="5"/>
      <c r="C191" s="2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>
      <c r="A192" s="5"/>
      <c r="B192" s="5"/>
      <c r="C192" s="2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>
      <c r="A193" s="5"/>
      <c r="B193" s="5"/>
      <c r="C193" s="2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>
      <c r="A194" s="5"/>
      <c r="B194" s="5"/>
      <c r="C194" s="2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>
      <c r="A195" s="5"/>
      <c r="B195" s="5"/>
      <c r="C195" s="2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>
      <c r="A196" s="5"/>
      <c r="B196" s="5"/>
      <c r="C196" s="2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>
      <c r="A197" s="5"/>
      <c r="B197" s="5"/>
      <c r="C197" s="2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>
      <c r="A198" s="5"/>
      <c r="B198" s="5"/>
      <c r="C198" s="2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>
      <c r="A199" s="5"/>
      <c r="B199" s="5"/>
      <c r="C199" s="2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>
      <c r="A200" s="5"/>
      <c r="B200" s="5"/>
      <c r="C200" s="2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>
      <c r="A201" s="5"/>
      <c r="B201" s="5"/>
      <c r="C201" s="2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>
      <c r="A202" s="5"/>
      <c r="B202" s="5"/>
      <c r="C202" s="2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>
      <c r="A203" s="5"/>
      <c r="B203" s="5"/>
      <c r="C203" s="2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>
      <c r="A204" s="5"/>
      <c r="B204" s="5"/>
      <c r="C204" s="2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>
      <c r="A205" s="5"/>
      <c r="B205" s="5"/>
      <c r="C205" s="2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>
      <c r="A206" s="5"/>
      <c r="B206" s="5"/>
      <c r="C206" s="2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>
      <c r="A207" s="5"/>
      <c r="B207" s="5"/>
      <c r="C207" s="2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>
      <c r="A208" s="5"/>
      <c r="B208" s="5"/>
      <c r="C208" s="2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>
      <c r="A209" s="5"/>
      <c r="B209" s="5"/>
      <c r="C209" s="2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>
      <c r="A210" s="5"/>
      <c r="B210" s="5"/>
      <c r="C210" s="2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>
      <c r="A211" s="5"/>
      <c r="B211" s="5"/>
      <c r="C211" s="2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>
      <c r="A212" s="5"/>
      <c r="B212" s="5"/>
      <c r="C212" s="2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>
      <c r="A213" s="5"/>
      <c r="B213" s="5"/>
      <c r="C213" s="2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>
      <c r="A214" s="5"/>
      <c r="B214" s="5"/>
      <c r="C214" s="2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>
      <c r="A215" s="5"/>
      <c r="B215" s="5"/>
      <c r="C215" s="2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>
      <c r="A216" s="5"/>
      <c r="B216" s="5"/>
      <c r="C216" s="2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>
      <c r="A217" s="5"/>
      <c r="B217" s="5"/>
      <c r="C217" s="2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>
      <c r="A218" s="5"/>
      <c r="B218" s="5"/>
      <c r="C218" s="2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>
      <c r="A219" s="5"/>
      <c r="B219" s="5"/>
      <c r="C219" s="2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>
      <c r="A220" s="5"/>
      <c r="B220" s="5"/>
      <c r="C220" s="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>
      <c r="A221" s="5"/>
      <c r="B221" s="5"/>
      <c r="C221" s="2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>
      <c r="A222" s="5"/>
      <c r="B222" s="5"/>
      <c r="C222" s="2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>
      <c r="A223" s="5"/>
      <c r="B223" s="5"/>
      <c r="C223" s="2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>
      <c r="A224" s="5"/>
      <c r="B224" s="5"/>
      <c r="C224" s="2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>
      <c r="A225" s="5"/>
      <c r="B225" s="5"/>
      <c r="C225" s="2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>
      <c r="A226" s="5"/>
      <c r="B226" s="5"/>
      <c r="C226" s="2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>
      <c r="A227" s="5"/>
      <c r="B227" s="5"/>
      <c r="C227" s="2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>
      <c r="A228" s="5"/>
      <c r="B228" s="5"/>
      <c r="C228" s="2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>
      <c r="A229" s="5"/>
      <c r="B229" s="5"/>
      <c r="C229" s="2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>
      <c r="A230" s="5"/>
      <c r="B230" s="5"/>
      <c r="C230" s="2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>
      <c r="A231" s="5"/>
      <c r="B231" s="5"/>
      <c r="C231" s="2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>
      <c r="A232" s="5"/>
      <c r="B232" s="5"/>
      <c r="C232" s="2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>
      <c r="A233" s="5"/>
      <c r="B233" s="5"/>
      <c r="C233" s="2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>
      <c r="A234" s="5"/>
      <c r="B234" s="5"/>
      <c r="C234" s="2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>
      <c r="A235" s="5"/>
      <c r="B235" s="5"/>
      <c r="C235" s="2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>
      <c r="A236" s="5"/>
      <c r="B236" s="5"/>
      <c r="C236" s="2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>
      <c r="A237" s="5"/>
      <c r="B237" s="5"/>
      <c r="C237" s="2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>
      <c r="A238" s="5"/>
      <c r="B238" s="5"/>
      <c r="C238" s="2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>
      <c r="A239" s="5"/>
      <c r="B239" s="5"/>
      <c r="C239" s="2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>
      <c r="A240" s="5"/>
      <c r="B240" s="5"/>
      <c r="C240" s="2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>
      <c r="A241" s="5"/>
      <c r="B241" s="5"/>
      <c r="C241" s="2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>
      <c r="A242" s="5"/>
      <c r="B242" s="5"/>
      <c r="C242" s="2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>
      <c r="A243" s="5"/>
      <c r="B243" s="5"/>
      <c r="C243" s="2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>
      <c r="A244" s="5"/>
      <c r="B244" s="5"/>
      <c r="C244" s="2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>
      <c r="A245" s="5"/>
      <c r="B245" s="5"/>
      <c r="C245" s="2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>
      <c r="A246" s="5"/>
      <c r="B246" s="5"/>
      <c r="C246" s="2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>
      <c r="A247" s="5"/>
      <c r="B247" s="5"/>
      <c r="C247" s="2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>
      <c r="A248" s="5"/>
      <c r="B248" s="5"/>
      <c r="C248" s="2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>
      <c r="A249" s="5"/>
      <c r="B249" s="5"/>
      <c r="C249" s="2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>
      <c r="A250" s="5"/>
      <c r="B250" s="5"/>
      <c r="C250" s="2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>
      <c r="A251" s="5"/>
      <c r="B251" s="5"/>
      <c r="C251" s="2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>
      <c r="A252" s="5"/>
      <c r="B252" s="5"/>
      <c r="C252" s="2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>
      <c r="A253" s="5"/>
      <c r="B253" s="5"/>
      <c r="C253" s="2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>
      <c r="A254" s="5"/>
      <c r="B254" s="5"/>
      <c r="C254" s="2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>
      <c r="A255" s="5"/>
      <c r="B255" s="5"/>
      <c r="C255" s="2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>
      <c r="A256" s="5"/>
      <c r="B256" s="5"/>
      <c r="C256" s="2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>
      <c r="A257" s="5"/>
      <c r="B257" s="5"/>
      <c r="C257" s="2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>
      <c r="A258" s="5"/>
      <c r="B258" s="5"/>
      <c r="C258" s="2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>
      <c r="A259" s="5"/>
      <c r="B259" s="5"/>
      <c r="C259" s="2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>
      <c r="A260" s="5"/>
      <c r="B260" s="5"/>
      <c r="C260" s="2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>
      <c r="A261" s="5"/>
      <c r="B261" s="5"/>
      <c r="C261" s="2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>
      <c r="A262" s="5"/>
      <c r="B262" s="5"/>
      <c r="C262" s="2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>
      <c r="A263" s="5"/>
      <c r="B263" s="5"/>
      <c r="C263" s="2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>
      <c r="A264" s="5"/>
      <c r="B264" s="5"/>
      <c r="C264" s="2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>
      <c r="A265" s="5"/>
      <c r="B265" s="5"/>
      <c r="C265" s="2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>
      <c r="A266" s="5"/>
      <c r="B266" s="5"/>
      <c r="C266" s="2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>
      <c r="A267" s="5"/>
      <c r="B267" s="5"/>
      <c r="C267" s="2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>
      <c r="A268" s="5"/>
      <c r="B268" s="5"/>
      <c r="C268" s="2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>
      <c r="A269" s="5"/>
      <c r="B269" s="5"/>
      <c r="C269" s="2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>
      <c r="A270" s="5"/>
      <c r="B270" s="5"/>
      <c r="C270" s="2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>
      <c r="A271" s="5"/>
      <c r="B271" s="5"/>
      <c r="C271" s="2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>
      <c r="A272" s="5"/>
      <c r="B272" s="5"/>
      <c r="C272" s="2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>
      <c r="A273" s="5"/>
      <c r="B273" s="5"/>
      <c r="C273" s="2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>
      <c r="A274" s="5"/>
      <c r="B274" s="5"/>
      <c r="C274" s="2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>
      <c r="A275" s="5"/>
      <c r="B275" s="5"/>
      <c r="C275" s="2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>
      <c r="A276" s="5"/>
      <c r="B276" s="5"/>
      <c r="C276" s="2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>
      <c r="A277" s="5"/>
      <c r="B277" s="5"/>
      <c r="C277" s="2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>
      <c r="A278" s="5"/>
      <c r="B278" s="5"/>
      <c r="C278" s="2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>
      <c r="A279" s="5"/>
      <c r="B279" s="5"/>
      <c r="C279" s="2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>
      <c r="A280" s="5"/>
      <c r="B280" s="5"/>
      <c r="C280" s="2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>
      <c r="A281" s="5"/>
      <c r="B281" s="5"/>
      <c r="C281" s="2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>
      <c r="A282" s="5"/>
      <c r="B282" s="5"/>
      <c r="C282" s="2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>
      <c r="A283" s="5"/>
      <c r="B283" s="5"/>
      <c r="C283" s="2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>
      <c r="A284" s="5"/>
      <c r="B284" s="5"/>
      <c r="C284" s="2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>
      <c r="A285" s="5"/>
      <c r="B285" s="5"/>
      <c r="C285" s="2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>
      <c r="A286" s="5"/>
      <c r="B286" s="5"/>
      <c r="C286" s="2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>
      <c r="A287" s="5"/>
      <c r="B287" s="5"/>
      <c r="C287" s="2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>
      <c r="A288" s="5"/>
      <c r="B288" s="5"/>
      <c r="C288" s="2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>
      <c r="A289" s="5"/>
      <c r="B289" s="5"/>
      <c r="C289" s="2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>
      <c r="A290" s="5"/>
      <c r="B290" s="5"/>
      <c r="C290" s="2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>
      <c r="A291" s="5"/>
      <c r="B291" s="5"/>
      <c r="C291" s="2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>
      <c r="A292" s="5"/>
      <c r="B292" s="5"/>
      <c r="C292" s="2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>
      <c r="A293" s="5"/>
      <c r="B293" s="5"/>
      <c r="C293" s="2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>
      <c r="A294" s="5"/>
      <c r="B294" s="5"/>
      <c r="C294" s="2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>
      <c r="A295" s="5"/>
      <c r="B295" s="5"/>
      <c r="C295" s="2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>
      <c r="A296" s="5"/>
      <c r="B296" s="5"/>
      <c r="C296" s="2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>
      <c r="A297" s="5"/>
      <c r="B297" s="5"/>
      <c r="C297" s="2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>
      <c r="A298" s="5"/>
      <c r="B298" s="5"/>
      <c r="C298" s="2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>
      <c r="A299" s="5"/>
      <c r="B299" s="5"/>
      <c r="C299" s="2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>
      <c r="A300" s="5"/>
      <c r="B300" s="5"/>
      <c r="C300" s="2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>
      <c r="A301" s="5"/>
      <c r="B301" s="5"/>
      <c r="C301" s="2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>
      <c r="A302" s="5"/>
      <c r="B302" s="5"/>
      <c r="C302" s="2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>
      <c r="A303" s="5"/>
      <c r="B303" s="5"/>
      <c r="C303" s="2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>
      <c r="A304" s="5"/>
      <c r="B304" s="5"/>
      <c r="C304" s="2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>
      <c r="A305" s="5"/>
      <c r="B305" s="5"/>
      <c r="C305" s="2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>
      <c r="A306" s="5"/>
      <c r="B306" s="5"/>
      <c r="C306" s="2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>
      <c r="A307" s="5"/>
      <c r="B307" s="5"/>
      <c r="C307" s="2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>
      <c r="A308" s="5"/>
      <c r="B308" s="5"/>
      <c r="C308" s="2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>
      <c r="A309" s="5"/>
      <c r="B309" s="5"/>
      <c r="C309" s="2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>
      <c r="A310" s="5"/>
      <c r="B310" s="5"/>
      <c r="C310" s="2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>
      <c r="A311" s="5"/>
      <c r="B311" s="5"/>
      <c r="C311" s="2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>
      <c r="A312" s="5"/>
      <c r="B312" s="5"/>
      <c r="C312" s="2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>
      <c r="A313" s="5"/>
      <c r="B313" s="5"/>
      <c r="C313" s="2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>
      <c r="A314" s="5"/>
      <c r="B314" s="5"/>
      <c r="C314" s="2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>
      <c r="A315" s="5"/>
      <c r="B315" s="5"/>
      <c r="C315" s="2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>
      <c r="A316" s="5"/>
      <c r="B316" s="5"/>
      <c r="C316" s="2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>
      <c r="A317" s="5"/>
      <c r="B317" s="5"/>
      <c r="C317" s="2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>
      <c r="A318" s="5"/>
      <c r="B318" s="5"/>
      <c r="C318" s="2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>
      <c r="A319" s="5"/>
      <c r="B319" s="5"/>
      <c r="C319" s="2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>
      <c r="A320" s="5"/>
      <c r="B320" s="5"/>
      <c r="C320" s="2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>
      <c r="A321" s="5"/>
      <c r="B321" s="5"/>
      <c r="C321" s="2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>
      <c r="A322" s="5"/>
      <c r="B322" s="5"/>
      <c r="C322" s="2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>
      <c r="A323" s="5"/>
      <c r="B323" s="5"/>
      <c r="C323" s="2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>
      <c r="A324" s="5"/>
      <c r="B324" s="5"/>
      <c r="C324" s="2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>
      <c r="A325" s="5"/>
      <c r="B325" s="5"/>
      <c r="C325" s="2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>
      <c r="A326" s="5"/>
      <c r="B326" s="5"/>
      <c r="C326" s="2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>
      <c r="A327" s="5"/>
      <c r="B327" s="5"/>
      <c r="C327" s="2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>
      <c r="A328" s="5"/>
      <c r="B328" s="5"/>
      <c r="C328" s="2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>
      <c r="A329" s="5"/>
      <c r="B329" s="5"/>
      <c r="C329" s="2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>
      <c r="A330" s="5"/>
      <c r="B330" s="5"/>
      <c r="C330" s="2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>
      <c r="A331" s="5"/>
      <c r="B331" s="5"/>
      <c r="C331" s="2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>
      <c r="A332" s="5"/>
      <c r="B332" s="5"/>
      <c r="C332" s="2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>
      <c r="A333" s="5"/>
      <c r="B333" s="5"/>
      <c r="C333" s="2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>
      <c r="A334" s="5"/>
      <c r="B334" s="5"/>
      <c r="C334" s="2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>
      <c r="A335" s="5"/>
      <c r="B335" s="5"/>
      <c r="C335" s="2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>
      <c r="A336" s="5"/>
      <c r="B336" s="5"/>
      <c r="C336" s="2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>
      <c r="A337" s="5"/>
      <c r="B337" s="5"/>
      <c r="C337" s="2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>
      <c r="A338" s="5"/>
      <c r="B338" s="5"/>
      <c r="C338" s="2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>
      <c r="A339" s="5"/>
      <c r="B339" s="5"/>
      <c r="C339" s="2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>
      <c r="A340" s="5"/>
      <c r="B340" s="5"/>
      <c r="C340" s="2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>
      <c r="A341" s="5"/>
      <c r="B341" s="5"/>
      <c r="C341" s="2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>
      <c r="A342" s="5"/>
      <c r="B342" s="5"/>
      <c r="C342" s="2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>
      <c r="A343" s="5"/>
      <c r="B343" s="5"/>
      <c r="C343" s="2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>
      <c r="A344" s="5"/>
      <c r="B344" s="5"/>
      <c r="C344" s="2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>
      <c r="A345" s="5"/>
      <c r="B345" s="5"/>
      <c r="C345" s="2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>
      <c r="A346" s="5"/>
      <c r="B346" s="5"/>
      <c r="C346" s="2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>
      <c r="A347" s="5"/>
      <c r="B347" s="5"/>
      <c r="C347" s="2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>
      <c r="A348" s="5"/>
      <c r="B348" s="5"/>
      <c r="C348" s="2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>
      <c r="A349" s="5"/>
      <c r="B349" s="5"/>
      <c r="C349" s="2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>
      <c r="A350" s="5"/>
      <c r="B350" s="5"/>
      <c r="C350" s="2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>
      <c r="A351" s="5"/>
      <c r="B351" s="5"/>
      <c r="C351" s="2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>
      <c r="A352" s="5"/>
      <c r="B352" s="5"/>
      <c r="C352" s="2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>
      <c r="A353" s="5"/>
      <c r="B353" s="5"/>
      <c r="C353" s="2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>
      <c r="A354" s="5"/>
      <c r="B354" s="5"/>
      <c r="C354" s="2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>
      <c r="A355" s="5"/>
      <c r="B355" s="5"/>
      <c r="C355" s="2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>
      <c r="A356" s="5"/>
      <c r="B356" s="5"/>
      <c r="C356" s="2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>
      <c r="A357" s="5"/>
      <c r="B357" s="5"/>
      <c r="C357" s="2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>
      <c r="A358" s="5"/>
      <c r="B358" s="5"/>
      <c r="C358" s="2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>
      <c r="A359" s="5"/>
      <c r="B359" s="5"/>
      <c r="C359" s="2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>
      <c r="A360" s="5"/>
      <c r="B360" s="5"/>
      <c r="C360" s="2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>
      <c r="A361" s="5"/>
      <c r="B361" s="5"/>
      <c r="C361" s="2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>
      <c r="A362" s="5"/>
      <c r="B362" s="5"/>
      <c r="C362" s="2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>
      <c r="A363" s="5"/>
      <c r="B363" s="5"/>
      <c r="C363" s="2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>
      <c r="A364" s="5"/>
      <c r="B364" s="5"/>
      <c r="C364" s="2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>
      <c r="A365" s="5"/>
      <c r="B365" s="5"/>
      <c r="C365" s="2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>
      <c r="A366" s="5"/>
      <c r="B366" s="5"/>
      <c r="C366" s="2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>
      <c r="A367" s="5"/>
      <c r="B367" s="5"/>
      <c r="C367" s="2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>
      <c r="A368" s="5"/>
      <c r="B368" s="5"/>
      <c r="C368" s="2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>
      <c r="A369" s="5"/>
      <c r="B369" s="5"/>
      <c r="C369" s="2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</sheetData>
  <mergeCells count="2">
    <mergeCell ref="A1:C2"/>
    <mergeCell ref="A3:C3"/>
  </mergeCells>
  <printOptions horizontalCentered="1"/>
  <pageMargins left="0.75" right="0.75" top="1" bottom="1" header="0.5" footer="0.5"/>
  <pageSetup scale="71" firstPageNumber="6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Z68"/>
  <sheetViews>
    <sheetView zoomScale="75" zoomScaleNormal="75" workbookViewId="0">
      <selection activeCell="F37" sqref="F37:G37"/>
    </sheetView>
  </sheetViews>
  <sheetFormatPr defaultRowHeight="12.75"/>
  <cols>
    <col min="1" max="1" width="32.85546875" customWidth="1"/>
    <col min="2" max="2" width="11.140625" customWidth="1"/>
    <col min="3" max="3" width="12.28515625" customWidth="1"/>
    <col min="4" max="4" width="14" customWidth="1"/>
    <col min="5" max="6" width="11.140625" customWidth="1"/>
    <col min="7" max="7" width="13.7109375" customWidth="1"/>
    <col min="8" max="8" width="15.28515625" customWidth="1"/>
    <col min="9" max="9" width="11.140625" customWidth="1"/>
    <col min="10" max="10" width="11.7109375" customWidth="1"/>
    <col min="11" max="11" width="10.140625" customWidth="1"/>
    <col min="12" max="12" width="11.140625" customWidth="1"/>
    <col min="13" max="13" width="13.7109375" customWidth="1"/>
    <col min="14" max="22" width="11.140625" customWidth="1"/>
    <col min="23" max="23" width="13.28515625" bestFit="1" customWidth="1"/>
    <col min="24" max="24" width="10.140625" customWidth="1"/>
  </cols>
  <sheetData>
    <row r="1" spans="1:23" ht="20.25">
      <c r="A1" s="904" t="str">
        <f>CONCATENATE(D7,"x","GE LM6000 - Major Maintenance Reserve")</f>
        <v>2xGE LM6000 - Major Maintenance Reserve</v>
      </c>
      <c r="B1" s="904"/>
      <c r="C1" s="904"/>
      <c r="D1" s="904"/>
      <c r="E1" s="904"/>
      <c r="F1" s="904"/>
      <c r="G1" s="904"/>
      <c r="H1" s="904"/>
      <c r="I1" s="904"/>
      <c r="J1" s="904"/>
      <c r="K1" s="904"/>
      <c r="L1" s="904"/>
      <c r="M1" s="904"/>
      <c r="N1" s="904"/>
      <c r="O1" s="904"/>
      <c r="P1" s="904"/>
      <c r="Q1" s="904"/>
      <c r="R1" s="904"/>
      <c r="S1" s="904"/>
      <c r="T1" s="904"/>
      <c r="U1" s="904"/>
      <c r="V1" s="904"/>
      <c r="W1" s="904"/>
    </row>
    <row r="2" spans="1:23" ht="20.25">
      <c r="A2" s="735"/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5"/>
      <c r="O2" s="735"/>
      <c r="P2" s="735"/>
      <c r="Q2" s="735"/>
      <c r="R2" s="735"/>
      <c r="S2" s="735"/>
      <c r="T2" s="735"/>
      <c r="U2" s="735"/>
      <c r="V2" s="735"/>
      <c r="W2" s="735"/>
    </row>
    <row r="3" spans="1:23" ht="18.75" thickBot="1">
      <c r="A3" s="905"/>
      <c r="B3" s="905"/>
      <c r="C3" s="905"/>
      <c r="D3" s="905"/>
      <c r="E3" s="905"/>
      <c r="F3" s="905"/>
      <c r="G3" s="905"/>
      <c r="H3" s="905"/>
      <c r="I3" s="905"/>
      <c r="J3" s="905"/>
      <c r="K3" s="905"/>
      <c r="L3" s="905"/>
      <c r="M3" s="905"/>
      <c r="N3" s="725"/>
      <c r="O3" s="725"/>
      <c r="P3" s="725"/>
      <c r="Q3" s="725"/>
      <c r="R3" s="725"/>
      <c r="S3" s="725"/>
      <c r="T3" s="725"/>
      <c r="U3" s="725"/>
      <c r="V3" s="725"/>
      <c r="W3" s="725"/>
    </row>
    <row r="4" spans="1:23" ht="18.75" thickBot="1">
      <c r="A4" s="736" t="s">
        <v>344</v>
      </c>
      <c r="B4" s="737"/>
      <c r="C4" s="737"/>
      <c r="D4" s="737"/>
      <c r="E4" s="737"/>
      <c r="F4" s="906" t="s">
        <v>345</v>
      </c>
      <c r="G4" s="906"/>
      <c r="H4" s="738">
        <v>20</v>
      </c>
      <c r="I4" s="739" t="s">
        <v>346</v>
      </c>
      <c r="J4" s="737"/>
      <c r="K4" s="740"/>
    </row>
    <row r="5" spans="1:23" ht="18">
      <c r="A5" s="741" t="s">
        <v>347</v>
      </c>
      <c r="B5" s="102"/>
      <c r="C5" s="102"/>
      <c r="D5" s="102"/>
      <c r="E5" s="102"/>
      <c r="F5" s="102"/>
      <c r="G5" s="102"/>
      <c r="H5" s="742">
        <f>W28</f>
        <v>32740800</v>
      </c>
      <c r="I5" s="743" t="s">
        <v>348</v>
      </c>
      <c r="J5" s="102"/>
      <c r="K5" s="147"/>
    </row>
    <row r="6" spans="1:23" ht="18.75" thickBot="1">
      <c r="A6" s="148"/>
      <c r="B6" s="102"/>
      <c r="C6" s="102"/>
      <c r="D6" s="102"/>
      <c r="E6" s="102"/>
      <c r="F6" s="102"/>
      <c r="G6" s="102"/>
      <c r="H6" s="742">
        <f>H5/$D$7</f>
        <v>16370400</v>
      </c>
      <c r="I6" s="743" t="s">
        <v>349</v>
      </c>
      <c r="J6" s="102"/>
      <c r="K6" s="147"/>
    </row>
    <row r="7" spans="1:23" ht="18.75" thickBot="1">
      <c r="A7" s="741" t="s">
        <v>350</v>
      </c>
      <c r="B7" s="744"/>
      <c r="C7" s="744"/>
      <c r="D7" s="738">
        <v>2</v>
      </c>
      <c r="E7" s="102"/>
      <c r="F7" s="102"/>
      <c r="G7" s="102"/>
      <c r="H7" s="745">
        <f>H6/H4</f>
        <v>818520</v>
      </c>
      <c r="I7" s="743" t="s">
        <v>351</v>
      </c>
      <c r="J7" s="102"/>
      <c r="K7" s="147"/>
    </row>
    <row r="8" spans="1:23" ht="18.75" thickBot="1">
      <c r="A8" s="148"/>
      <c r="B8" s="102"/>
      <c r="C8" s="102"/>
      <c r="D8" s="102"/>
      <c r="E8" s="102"/>
      <c r="F8" s="102"/>
      <c r="G8" s="102"/>
      <c r="H8" s="746">
        <f>H7/C19</f>
        <v>98.356164383561648</v>
      </c>
      <c r="I8" s="743" t="s">
        <v>352</v>
      </c>
      <c r="J8" s="102"/>
      <c r="K8" s="147"/>
    </row>
    <row r="9" spans="1:23" ht="13.5" thickBot="1">
      <c r="A9" s="149"/>
      <c r="B9" s="150"/>
      <c r="C9" s="150"/>
      <c r="D9" s="150"/>
      <c r="E9" s="150"/>
      <c r="F9" s="150"/>
      <c r="G9" s="150"/>
      <c r="H9" s="150"/>
      <c r="I9" s="150"/>
      <c r="J9" s="150"/>
      <c r="K9" s="747"/>
    </row>
    <row r="10" spans="1:23" ht="15.75">
      <c r="A10" s="460"/>
      <c r="B10" s="748"/>
      <c r="C10" s="748"/>
      <c r="D10" s="749" t="s">
        <v>353</v>
      </c>
      <c r="E10" s="748"/>
      <c r="F10" s="748"/>
      <c r="G10" s="748"/>
      <c r="H10" s="748"/>
      <c r="I10" s="748"/>
      <c r="J10" s="748"/>
      <c r="K10" s="748"/>
      <c r="L10" s="737"/>
      <c r="M10" s="750"/>
      <c r="N10" s="750"/>
      <c r="O10" s="750"/>
      <c r="P10" s="750"/>
      <c r="Q10" s="750"/>
      <c r="R10" s="750"/>
      <c r="S10" s="750"/>
      <c r="T10" s="750"/>
      <c r="U10" s="750"/>
      <c r="V10" s="737"/>
      <c r="W10" s="740"/>
    </row>
    <row r="11" spans="1:23">
      <c r="A11" s="751" t="s">
        <v>354</v>
      </c>
      <c r="B11" s="752"/>
      <c r="C11" s="753"/>
      <c r="D11" s="754">
        <v>0</v>
      </c>
      <c r="E11" s="755" t="s">
        <v>355</v>
      </c>
      <c r="F11" s="748"/>
      <c r="G11" s="748"/>
      <c r="H11" s="756" t="s">
        <v>356</v>
      </c>
      <c r="I11" s="756"/>
      <c r="J11" s="748"/>
      <c r="K11" s="748"/>
      <c r="L11" s="102"/>
      <c r="M11" s="748"/>
      <c r="N11" s="748"/>
      <c r="O11" s="748"/>
      <c r="P11" s="748"/>
      <c r="Q11" s="748"/>
      <c r="R11" s="748"/>
      <c r="S11" s="748"/>
      <c r="T11" s="748"/>
      <c r="U11" s="748"/>
      <c r="V11" s="102"/>
      <c r="W11" s="147"/>
    </row>
    <row r="12" spans="1:23">
      <c r="A12" s="751" t="s">
        <v>357</v>
      </c>
      <c r="B12" s="752"/>
      <c r="C12" s="753"/>
      <c r="D12" s="754">
        <f>23900*3.5</f>
        <v>83650</v>
      </c>
      <c r="E12" s="757" t="s">
        <v>358</v>
      </c>
      <c r="F12" s="748"/>
      <c r="G12" s="748"/>
      <c r="H12" s="756" t="s">
        <v>359</v>
      </c>
      <c r="I12" s="102"/>
      <c r="J12" s="748"/>
      <c r="K12" s="748"/>
      <c r="L12" s="102"/>
      <c r="M12" s="748"/>
      <c r="N12" s="748"/>
      <c r="O12" s="748"/>
      <c r="P12" s="748"/>
      <c r="Q12" s="748"/>
      <c r="R12" s="748"/>
      <c r="S12" s="748"/>
      <c r="T12" s="748"/>
      <c r="U12" s="748"/>
      <c r="V12" s="102"/>
      <c r="W12" s="147"/>
    </row>
    <row r="13" spans="1:23">
      <c r="A13" s="751" t="s">
        <v>360</v>
      </c>
      <c r="B13" s="752"/>
      <c r="C13" s="753"/>
      <c r="D13" s="754">
        <v>0</v>
      </c>
      <c r="E13" s="757" t="s">
        <v>361</v>
      </c>
      <c r="F13" s="748"/>
      <c r="G13" s="748"/>
      <c r="H13" s="756" t="s">
        <v>362</v>
      </c>
      <c r="I13" s="756"/>
      <c r="J13" s="748"/>
      <c r="K13" s="748"/>
      <c r="L13" s="102"/>
      <c r="M13" s="748"/>
      <c r="N13" s="748"/>
      <c r="O13" s="748"/>
      <c r="P13" s="748"/>
      <c r="Q13" s="748"/>
      <c r="R13" s="748"/>
      <c r="S13" s="748"/>
      <c r="T13" s="748"/>
      <c r="U13" s="748"/>
      <c r="V13" s="102"/>
      <c r="W13" s="147"/>
    </row>
    <row r="14" spans="1:23">
      <c r="A14" s="751" t="s">
        <v>363</v>
      </c>
      <c r="B14" s="752"/>
      <c r="C14" s="753"/>
      <c r="D14" s="754">
        <v>1403000</v>
      </c>
      <c r="E14" s="757" t="s">
        <v>364</v>
      </c>
      <c r="F14" s="756" t="s">
        <v>365</v>
      </c>
      <c r="G14" s="748"/>
      <c r="H14" s="756" t="s">
        <v>366</v>
      </c>
      <c r="I14" s="102"/>
      <c r="J14" s="748"/>
      <c r="K14" s="748"/>
      <c r="L14" s="102"/>
      <c r="M14" s="748"/>
      <c r="N14" s="748"/>
      <c r="O14" s="748"/>
      <c r="P14" s="748"/>
      <c r="Q14" s="748"/>
      <c r="R14" s="748"/>
      <c r="S14" s="748"/>
      <c r="T14" s="748"/>
      <c r="U14" s="748"/>
      <c r="V14" s="102"/>
      <c r="W14" s="147"/>
    </row>
    <row r="15" spans="1:23">
      <c r="A15" s="751" t="s">
        <v>367</v>
      </c>
      <c r="B15" s="752"/>
      <c r="C15" s="753"/>
      <c r="D15" s="754">
        <v>3000000</v>
      </c>
      <c r="E15" s="757" t="s">
        <v>364</v>
      </c>
      <c r="F15" s="748"/>
      <c r="G15" s="748"/>
      <c r="H15" s="756" t="s">
        <v>368</v>
      </c>
      <c r="I15" s="102"/>
      <c r="J15" s="748"/>
      <c r="K15" s="748"/>
      <c r="L15" s="102"/>
      <c r="M15" s="748"/>
      <c r="N15" s="748"/>
      <c r="O15" s="748"/>
      <c r="P15" s="748"/>
      <c r="Q15" s="748"/>
      <c r="R15" s="748"/>
      <c r="S15" s="748"/>
      <c r="T15" s="748"/>
      <c r="U15" s="748"/>
      <c r="V15" s="102"/>
      <c r="W15" s="147"/>
    </row>
    <row r="16" spans="1:23">
      <c r="A16" s="751" t="s">
        <v>369</v>
      </c>
      <c r="B16" s="752"/>
      <c r="C16" s="753"/>
      <c r="D16" s="758">
        <v>25000</v>
      </c>
      <c r="E16" s="759"/>
      <c r="F16" s="748"/>
      <c r="G16" s="748"/>
      <c r="H16" s="756" t="s">
        <v>370</v>
      </c>
      <c r="I16" s="748"/>
      <c r="J16" s="748"/>
      <c r="K16" s="748"/>
      <c r="L16" s="102"/>
      <c r="M16" s="748"/>
      <c r="N16" s="748"/>
      <c r="O16" s="748"/>
      <c r="P16" s="748"/>
      <c r="Q16" s="748"/>
      <c r="R16" s="748"/>
      <c r="S16" s="748"/>
      <c r="T16" s="748"/>
      <c r="U16" s="748"/>
      <c r="V16" s="102"/>
      <c r="W16" s="147"/>
    </row>
    <row r="17" spans="1:23">
      <c r="A17" s="751" t="s">
        <v>371</v>
      </c>
      <c r="B17" s="752"/>
      <c r="C17" s="753"/>
      <c r="D17" s="758">
        <v>25000</v>
      </c>
      <c r="E17" s="759"/>
      <c r="F17" s="748"/>
      <c r="G17" s="748"/>
      <c r="H17" s="756" t="s">
        <v>370</v>
      </c>
      <c r="I17" s="748"/>
      <c r="J17" s="748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47"/>
    </row>
    <row r="18" spans="1:23">
      <c r="A18" s="148"/>
      <c r="B18" s="748"/>
      <c r="C18" s="748"/>
      <c r="D18" s="748"/>
      <c r="E18" s="748"/>
      <c r="F18" s="748"/>
      <c r="G18" s="748"/>
      <c r="H18" s="748"/>
      <c r="I18" s="748"/>
      <c r="J18" s="748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47"/>
    </row>
    <row r="19" spans="1:23">
      <c r="A19" s="760" t="s">
        <v>372</v>
      </c>
      <c r="B19" s="761"/>
      <c r="C19" s="774">
        <f>8760*Scope!F39</f>
        <v>8322</v>
      </c>
      <c r="D19" s="763" t="s">
        <v>373</v>
      </c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47"/>
    </row>
    <row r="20" spans="1:23">
      <c r="A20" s="148" t="s">
        <v>919</v>
      </c>
      <c r="B20" s="637">
        <v>0</v>
      </c>
      <c r="C20" s="637">
        <v>1</v>
      </c>
      <c r="D20" s="637">
        <v>2</v>
      </c>
      <c r="E20" s="637">
        <v>3</v>
      </c>
      <c r="F20" s="637">
        <v>4</v>
      </c>
      <c r="G20" s="637">
        <v>5</v>
      </c>
      <c r="H20" s="637">
        <v>6</v>
      </c>
      <c r="I20" s="637">
        <v>7</v>
      </c>
      <c r="J20" s="637">
        <v>8</v>
      </c>
      <c r="K20" s="637">
        <v>9</v>
      </c>
      <c r="L20" s="637">
        <v>10</v>
      </c>
      <c r="M20" s="637">
        <v>11</v>
      </c>
      <c r="N20" s="637">
        <v>12</v>
      </c>
      <c r="O20" s="637">
        <v>13</v>
      </c>
      <c r="P20" s="637">
        <v>14</v>
      </c>
      <c r="Q20" s="637">
        <v>15</v>
      </c>
      <c r="R20" s="637">
        <v>16</v>
      </c>
      <c r="S20" s="637">
        <v>17</v>
      </c>
      <c r="T20" s="637">
        <v>18</v>
      </c>
      <c r="U20" s="637">
        <v>19</v>
      </c>
      <c r="V20" s="637">
        <v>20</v>
      </c>
      <c r="W20" s="147"/>
    </row>
    <row r="21" spans="1:23">
      <c r="A21" s="148" t="s">
        <v>374</v>
      </c>
      <c r="B21" s="764"/>
      <c r="C21" s="764">
        <f>$C19</f>
        <v>8322</v>
      </c>
      <c r="D21" s="764">
        <f t="shared" ref="D21:V21" si="0">C21+$C19</f>
        <v>16644</v>
      </c>
      <c r="E21" s="764">
        <f t="shared" si="0"/>
        <v>24966</v>
      </c>
      <c r="F21" s="764">
        <f t="shared" si="0"/>
        <v>33288</v>
      </c>
      <c r="G21" s="764">
        <f t="shared" si="0"/>
        <v>41610</v>
      </c>
      <c r="H21" s="764">
        <f t="shared" si="0"/>
        <v>49932</v>
      </c>
      <c r="I21" s="764">
        <f t="shared" si="0"/>
        <v>58254</v>
      </c>
      <c r="J21" s="764">
        <f t="shared" si="0"/>
        <v>66576</v>
      </c>
      <c r="K21" s="764">
        <f t="shared" si="0"/>
        <v>74898</v>
      </c>
      <c r="L21" s="764">
        <f t="shared" si="0"/>
        <v>83220</v>
      </c>
      <c r="M21" s="764">
        <f t="shared" si="0"/>
        <v>91542</v>
      </c>
      <c r="N21" s="764">
        <f t="shared" si="0"/>
        <v>99864</v>
      </c>
      <c r="O21" s="764">
        <f t="shared" si="0"/>
        <v>108186</v>
      </c>
      <c r="P21" s="764">
        <f t="shared" si="0"/>
        <v>116508</v>
      </c>
      <c r="Q21" s="764">
        <f t="shared" si="0"/>
        <v>124830</v>
      </c>
      <c r="R21" s="764">
        <f t="shared" si="0"/>
        <v>133152</v>
      </c>
      <c r="S21" s="764">
        <f t="shared" si="0"/>
        <v>141474</v>
      </c>
      <c r="T21" s="764">
        <f t="shared" si="0"/>
        <v>149796</v>
      </c>
      <c r="U21" s="764">
        <f t="shared" si="0"/>
        <v>158118</v>
      </c>
      <c r="V21" s="764">
        <f t="shared" si="0"/>
        <v>166440</v>
      </c>
      <c r="W21" s="147"/>
    </row>
    <row r="22" spans="1:23">
      <c r="A22" s="148" t="s">
        <v>375</v>
      </c>
      <c r="B22" s="637"/>
      <c r="C22" s="637"/>
      <c r="D22" s="637"/>
      <c r="E22" s="637" t="s">
        <v>276</v>
      </c>
      <c r="F22" s="637"/>
      <c r="G22" s="637"/>
      <c r="H22" s="637" t="s">
        <v>277</v>
      </c>
      <c r="I22" s="637"/>
      <c r="J22" s="637"/>
      <c r="K22" s="637" t="s">
        <v>276</v>
      </c>
      <c r="L22" s="637"/>
      <c r="M22" s="637"/>
      <c r="N22" s="637" t="s">
        <v>277</v>
      </c>
      <c r="O22" s="637"/>
      <c r="P22" s="637"/>
      <c r="Q22" s="637" t="s">
        <v>276</v>
      </c>
      <c r="R22" s="637"/>
      <c r="S22" s="637"/>
      <c r="T22" s="637" t="s">
        <v>277</v>
      </c>
      <c r="U22" s="637"/>
      <c r="V22" s="637"/>
      <c r="W22" s="147"/>
    </row>
    <row r="23" spans="1:23">
      <c r="A23" s="148" t="s">
        <v>376</v>
      </c>
      <c r="B23" s="765">
        <f t="shared" ref="B23:V23" si="1">IF(B22="H",$D$7*$D14,IF(B22="M",$D$7*$D15,0))</f>
        <v>0</v>
      </c>
      <c r="C23" s="765">
        <f t="shared" si="1"/>
        <v>0</v>
      </c>
      <c r="D23" s="765">
        <f t="shared" si="1"/>
        <v>0</v>
      </c>
      <c r="E23" s="765">
        <f t="shared" si="1"/>
        <v>2806000</v>
      </c>
      <c r="F23" s="765">
        <f t="shared" si="1"/>
        <v>0</v>
      </c>
      <c r="G23" s="765">
        <f t="shared" si="1"/>
        <v>0</v>
      </c>
      <c r="H23" s="765">
        <f t="shared" si="1"/>
        <v>6000000</v>
      </c>
      <c r="I23" s="765">
        <f t="shared" si="1"/>
        <v>0</v>
      </c>
      <c r="J23" s="765">
        <f t="shared" si="1"/>
        <v>0</v>
      </c>
      <c r="K23" s="765">
        <f t="shared" si="1"/>
        <v>2806000</v>
      </c>
      <c r="L23" s="765">
        <f t="shared" si="1"/>
        <v>0</v>
      </c>
      <c r="M23" s="765">
        <f t="shared" si="1"/>
        <v>0</v>
      </c>
      <c r="N23" s="765">
        <f t="shared" si="1"/>
        <v>6000000</v>
      </c>
      <c r="O23" s="765">
        <f t="shared" si="1"/>
        <v>0</v>
      </c>
      <c r="P23" s="765">
        <f t="shared" si="1"/>
        <v>0</v>
      </c>
      <c r="Q23" s="765">
        <f t="shared" si="1"/>
        <v>2806000</v>
      </c>
      <c r="R23" s="765">
        <f t="shared" si="1"/>
        <v>0</v>
      </c>
      <c r="S23" s="765">
        <f t="shared" si="1"/>
        <v>0</v>
      </c>
      <c r="T23" s="765">
        <f t="shared" si="1"/>
        <v>6000000</v>
      </c>
      <c r="U23" s="765">
        <f t="shared" si="1"/>
        <v>0</v>
      </c>
      <c r="V23" s="765">
        <f t="shared" si="1"/>
        <v>0</v>
      </c>
      <c r="W23" s="147"/>
    </row>
    <row r="24" spans="1:23">
      <c r="A24" s="148" t="s">
        <v>377</v>
      </c>
      <c r="B24" s="765"/>
      <c r="C24" s="765">
        <f t="shared" ref="C24:V24" si="2">$D$13*$D$7</f>
        <v>0</v>
      </c>
      <c r="D24" s="765">
        <f t="shared" si="2"/>
        <v>0</v>
      </c>
      <c r="E24" s="765">
        <f t="shared" si="2"/>
        <v>0</v>
      </c>
      <c r="F24" s="765">
        <f t="shared" si="2"/>
        <v>0</v>
      </c>
      <c r="G24" s="765">
        <f t="shared" si="2"/>
        <v>0</v>
      </c>
      <c r="H24" s="765">
        <f t="shared" si="2"/>
        <v>0</v>
      </c>
      <c r="I24" s="765">
        <f t="shared" si="2"/>
        <v>0</v>
      </c>
      <c r="J24" s="765">
        <f t="shared" si="2"/>
        <v>0</v>
      </c>
      <c r="K24" s="765">
        <f t="shared" si="2"/>
        <v>0</v>
      </c>
      <c r="L24" s="765">
        <f t="shared" si="2"/>
        <v>0</v>
      </c>
      <c r="M24" s="765">
        <f t="shared" si="2"/>
        <v>0</v>
      </c>
      <c r="N24" s="765">
        <f t="shared" si="2"/>
        <v>0</v>
      </c>
      <c r="O24" s="765">
        <f t="shared" si="2"/>
        <v>0</v>
      </c>
      <c r="P24" s="765">
        <f t="shared" si="2"/>
        <v>0</v>
      </c>
      <c r="Q24" s="765">
        <f t="shared" si="2"/>
        <v>0</v>
      </c>
      <c r="R24" s="765">
        <f t="shared" si="2"/>
        <v>0</v>
      </c>
      <c r="S24" s="765">
        <f t="shared" si="2"/>
        <v>0</v>
      </c>
      <c r="T24" s="765">
        <f t="shared" si="2"/>
        <v>0</v>
      </c>
      <c r="U24" s="765">
        <f t="shared" si="2"/>
        <v>0</v>
      </c>
      <c r="V24" s="765">
        <f t="shared" si="2"/>
        <v>0</v>
      </c>
      <c r="W24" s="147"/>
    </row>
    <row r="25" spans="1:23">
      <c r="A25" s="148" t="s">
        <v>1225</v>
      </c>
      <c r="B25" s="765">
        <f t="shared" ref="B25:V25" si="3">IF(B22="H",$D16*$D$7,IF(B22="M",$D17*$D$7,0))</f>
        <v>0</v>
      </c>
      <c r="C25" s="765">
        <f t="shared" si="3"/>
        <v>0</v>
      </c>
      <c r="D25" s="765">
        <f t="shared" si="3"/>
        <v>0</v>
      </c>
      <c r="E25" s="765">
        <f t="shared" si="3"/>
        <v>50000</v>
      </c>
      <c r="F25" s="765">
        <f t="shared" si="3"/>
        <v>0</v>
      </c>
      <c r="G25" s="765">
        <f t="shared" si="3"/>
        <v>0</v>
      </c>
      <c r="H25" s="765">
        <f t="shared" si="3"/>
        <v>50000</v>
      </c>
      <c r="I25" s="765">
        <f t="shared" si="3"/>
        <v>0</v>
      </c>
      <c r="J25" s="765">
        <f t="shared" si="3"/>
        <v>0</v>
      </c>
      <c r="K25" s="765">
        <f t="shared" si="3"/>
        <v>50000</v>
      </c>
      <c r="L25" s="765">
        <f t="shared" si="3"/>
        <v>0</v>
      </c>
      <c r="M25" s="765">
        <f t="shared" si="3"/>
        <v>0</v>
      </c>
      <c r="N25" s="765">
        <f t="shared" si="3"/>
        <v>50000</v>
      </c>
      <c r="O25" s="765">
        <f t="shared" si="3"/>
        <v>0</v>
      </c>
      <c r="P25" s="765">
        <f t="shared" si="3"/>
        <v>0</v>
      </c>
      <c r="Q25" s="765">
        <f t="shared" si="3"/>
        <v>50000</v>
      </c>
      <c r="R25" s="765">
        <f t="shared" si="3"/>
        <v>0</v>
      </c>
      <c r="S25" s="765">
        <f t="shared" si="3"/>
        <v>0</v>
      </c>
      <c r="T25" s="765">
        <f t="shared" si="3"/>
        <v>50000</v>
      </c>
      <c r="U25" s="765">
        <f t="shared" si="3"/>
        <v>0</v>
      </c>
      <c r="V25" s="765">
        <f t="shared" si="3"/>
        <v>0</v>
      </c>
      <c r="W25" s="147"/>
    </row>
    <row r="26" spans="1:23">
      <c r="A26" s="148" t="s">
        <v>378</v>
      </c>
      <c r="B26" s="637"/>
      <c r="C26" s="765">
        <f t="shared" ref="C26:V26" si="4">$D11*$D$7</f>
        <v>0</v>
      </c>
      <c r="D26" s="765">
        <f t="shared" si="4"/>
        <v>0</v>
      </c>
      <c r="E26" s="765">
        <f t="shared" si="4"/>
        <v>0</v>
      </c>
      <c r="F26" s="765">
        <f t="shared" si="4"/>
        <v>0</v>
      </c>
      <c r="G26" s="765">
        <f t="shared" si="4"/>
        <v>0</v>
      </c>
      <c r="H26" s="765">
        <f t="shared" si="4"/>
        <v>0</v>
      </c>
      <c r="I26" s="765">
        <f t="shared" si="4"/>
        <v>0</v>
      </c>
      <c r="J26" s="765">
        <f t="shared" si="4"/>
        <v>0</v>
      </c>
      <c r="K26" s="765">
        <f t="shared" si="4"/>
        <v>0</v>
      </c>
      <c r="L26" s="765">
        <f t="shared" si="4"/>
        <v>0</v>
      </c>
      <c r="M26" s="765">
        <f t="shared" si="4"/>
        <v>0</v>
      </c>
      <c r="N26" s="765">
        <f t="shared" si="4"/>
        <v>0</v>
      </c>
      <c r="O26" s="765">
        <f t="shared" si="4"/>
        <v>0</v>
      </c>
      <c r="P26" s="765">
        <f t="shared" si="4"/>
        <v>0</v>
      </c>
      <c r="Q26" s="765">
        <f t="shared" si="4"/>
        <v>0</v>
      </c>
      <c r="R26" s="765">
        <f t="shared" si="4"/>
        <v>0</v>
      </c>
      <c r="S26" s="765">
        <f t="shared" si="4"/>
        <v>0</v>
      </c>
      <c r="T26" s="765">
        <f t="shared" si="4"/>
        <v>0</v>
      </c>
      <c r="U26" s="765">
        <f t="shared" si="4"/>
        <v>0</v>
      </c>
      <c r="V26" s="765">
        <f t="shared" si="4"/>
        <v>0</v>
      </c>
      <c r="W26" s="147"/>
    </row>
    <row r="27" spans="1:23" ht="13.5" thickBot="1">
      <c r="A27" s="148" t="s">
        <v>379</v>
      </c>
      <c r="B27" s="765">
        <f t="shared" ref="B27:V27" si="5">IF(B22="M",$D$7*($D12*12),0)</f>
        <v>0</v>
      </c>
      <c r="C27" s="765">
        <f t="shared" si="5"/>
        <v>0</v>
      </c>
      <c r="D27" s="765">
        <f t="shared" si="5"/>
        <v>0</v>
      </c>
      <c r="E27" s="765">
        <f t="shared" si="5"/>
        <v>0</v>
      </c>
      <c r="F27" s="765">
        <f t="shared" si="5"/>
        <v>0</v>
      </c>
      <c r="G27" s="765">
        <f t="shared" si="5"/>
        <v>0</v>
      </c>
      <c r="H27" s="765">
        <f t="shared" si="5"/>
        <v>2007600</v>
      </c>
      <c r="I27" s="765">
        <f t="shared" si="5"/>
        <v>0</v>
      </c>
      <c r="J27" s="765">
        <f t="shared" si="5"/>
        <v>0</v>
      </c>
      <c r="K27" s="765">
        <f t="shared" si="5"/>
        <v>0</v>
      </c>
      <c r="L27" s="765">
        <f t="shared" si="5"/>
        <v>0</v>
      </c>
      <c r="M27" s="765">
        <f t="shared" si="5"/>
        <v>0</v>
      </c>
      <c r="N27" s="765">
        <f t="shared" si="5"/>
        <v>2007600</v>
      </c>
      <c r="O27" s="765">
        <f t="shared" si="5"/>
        <v>0</v>
      </c>
      <c r="P27" s="765">
        <f t="shared" si="5"/>
        <v>0</v>
      </c>
      <c r="Q27" s="765">
        <f t="shared" si="5"/>
        <v>0</v>
      </c>
      <c r="R27" s="765">
        <f t="shared" si="5"/>
        <v>0</v>
      </c>
      <c r="S27" s="765">
        <f t="shared" si="5"/>
        <v>0</v>
      </c>
      <c r="T27" s="765">
        <f t="shared" si="5"/>
        <v>2007600</v>
      </c>
      <c r="U27" s="765">
        <f t="shared" si="5"/>
        <v>0</v>
      </c>
      <c r="V27" s="765">
        <f t="shared" si="5"/>
        <v>0</v>
      </c>
      <c r="W27" s="147"/>
    </row>
    <row r="28" spans="1:23" ht="16.5" thickBot="1">
      <c r="A28" s="766" t="s">
        <v>380</v>
      </c>
      <c r="B28" s="767">
        <f t="shared" ref="B28:V28" si="6">SUM(B23:B27)</f>
        <v>0</v>
      </c>
      <c r="C28" s="767">
        <f t="shared" si="6"/>
        <v>0</v>
      </c>
      <c r="D28" s="767">
        <f t="shared" si="6"/>
        <v>0</v>
      </c>
      <c r="E28" s="767">
        <f t="shared" si="6"/>
        <v>2856000</v>
      </c>
      <c r="F28" s="767">
        <f t="shared" si="6"/>
        <v>0</v>
      </c>
      <c r="G28" s="767">
        <f t="shared" si="6"/>
        <v>0</v>
      </c>
      <c r="H28" s="767">
        <f t="shared" si="6"/>
        <v>8057600</v>
      </c>
      <c r="I28" s="767">
        <f t="shared" si="6"/>
        <v>0</v>
      </c>
      <c r="J28" s="767">
        <f t="shared" si="6"/>
        <v>0</v>
      </c>
      <c r="K28" s="767">
        <f t="shared" si="6"/>
        <v>2856000</v>
      </c>
      <c r="L28" s="767">
        <f t="shared" si="6"/>
        <v>0</v>
      </c>
      <c r="M28" s="767">
        <f t="shared" si="6"/>
        <v>0</v>
      </c>
      <c r="N28" s="767">
        <f t="shared" si="6"/>
        <v>8057600</v>
      </c>
      <c r="O28" s="767">
        <f t="shared" si="6"/>
        <v>0</v>
      </c>
      <c r="P28" s="767">
        <f t="shared" si="6"/>
        <v>0</v>
      </c>
      <c r="Q28" s="767">
        <f t="shared" si="6"/>
        <v>2856000</v>
      </c>
      <c r="R28" s="767">
        <f t="shared" si="6"/>
        <v>0</v>
      </c>
      <c r="S28" s="767">
        <f t="shared" si="6"/>
        <v>0</v>
      </c>
      <c r="T28" s="767">
        <f t="shared" si="6"/>
        <v>8057600</v>
      </c>
      <c r="U28" s="767">
        <f t="shared" si="6"/>
        <v>0</v>
      </c>
      <c r="V28" s="767">
        <f t="shared" si="6"/>
        <v>0</v>
      </c>
      <c r="W28" s="793">
        <f>SUM(B28:V28)</f>
        <v>32740800</v>
      </c>
    </row>
    <row r="29" spans="1:23" ht="15.75">
      <c r="A29" s="768"/>
      <c r="B29" s="767"/>
      <c r="C29" s="767"/>
      <c r="D29" s="767"/>
      <c r="E29" s="767"/>
      <c r="F29" s="767"/>
      <c r="G29" s="767"/>
      <c r="H29" s="767"/>
      <c r="I29" s="767"/>
      <c r="J29" s="767"/>
      <c r="K29" s="767"/>
      <c r="L29" s="767"/>
      <c r="M29" s="767"/>
      <c r="N29" s="767"/>
      <c r="O29" s="767"/>
      <c r="P29" s="767"/>
      <c r="Q29" s="767"/>
      <c r="R29" s="767"/>
      <c r="S29" s="767"/>
      <c r="T29" s="767"/>
      <c r="U29" s="767"/>
      <c r="V29" s="767"/>
      <c r="W29" s="386"/>
    </row>
    <row r="30" spans="1:23">
      <c r="A30" s="148" t="s">
        <v>609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47"/>
    </row>
    <row r="31" spans="1:23">
      <c r="A31" s="148" t="s">
        <v>381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47"/>
    </row>
    <row r="32" spans="1:23">
      <c r="A32" s="148" t="s">
        <v>382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47"/>
    </row>
    <row r="33" spans="1:26" ht="13.5" thickBot="1">
      <c r="A33" s="149" t="s">
        <v>383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747"/>
    </row>
    <row r="34" spans="1:26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13.5" hidden="1" thickBo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18.75" hidden="1" thickBot="1">
      <c r="A36" s="907" t="s">
        <v>384</v>
      </c>
      <c r="B36" s="908"/>
      <c r="C36" s="908"/>
      <c r="D36" s="908"/>
      <c r="E36" s="908"/>
      <c r="F36" s="908"/>
      <c r="G36" s="908"/>
      <c r="H36" s="908"/>
      <c r="I36" s="908"/>
      <c r="J36" s="908"/>
      <c r="K36" s="909"/>
      <c r="L36" s="102"/>
      <c r="M36" s="102"/>
    </row>
    <row r="37" spans="1:26" ht="18.75" hidden="1" thickBot="1">
      <c r="A37" s="741" t="s">
        <v>344</v>
      </c>
      <c r="B37" s="102"/>
      <c r="C37" s="102"/>
      <c r="D37" s="102"/>
      <c r="E37" s="102"/>
      <c r="F37" s="903" t="s">
        <v>345</v>
      </c>
      <c r="G37" s="903"/>
      <c r="H37" s="769">
        <v>20</v>
      </c>
      <c r="I37" s="770" t="s">
        <v>346</v>
      </c>
      <c r="J37" s="102"/>
      <c r="K37" s="147"/>
    </row>
    <row r="38" spans="1:26" ht="18" hidden="1">
      <c r="A38" s="741" t="s">
        <v>385</v>
      </c>
      <c r="B38" s="102"/>
      <c r="C38" s="102"/>
      <c r="D38" s="102"/>
      <c r="E38" s="102"/>
      <c r="F38" s="102"/>
      <c r="G38" s="102"/>
      <c r="H38" s="742">
        <f>V62</f>
        <v>28438800</v>
      </c>
      <c r="I38" s="743" t="s">
        <v>348</v>
      </c>
      <c r="J38" s="102"/>
      <c r="K38" s="147"/>
    </row>
    <row r="39" spans="1:26" ht="18.75" hidden="1" thickBot="1">
      <c r="A39" s="148"/>
      <c r="B39" s="102"/>
      <c r="C39" s="102"/>
      <c r="D39" s="102"/>
      <c r="E39" s="102"/>
      <c r="F39" s="102"/>
      <c r="G39" s="102"/>
      <c r="H39" s="742">
        <f>H38/$D$7</f>
        <v>14219400</v>
      </c>
      <c r="I39" s="743" t="s">
        <v>349</v>
      </c>
      <c r="J39" s="102"/>
      <c r="K39" s="147"/>
    </row>
    <row r="40" spans="1:26" ht="18.75" hidden="1" thickBot="1">
      <c r="A40" s="741" t="s">
        <v>350</v>
      </c>
      <c r="B40" s="744"/>
      <c r="C40" s="744"/>
      <c r="D40" s="738">
        <v>1</v>
      </c>
      <c r="E40" s="102"/>
      <c r="F40" s="102"/>
      <c r="G40" s="102"/>
      <c r="H40" s="742">
        <f>H39/H37</f>
        <v>710970</v>
      </c>
      <c r="I40" s="743" t="s">
        <v>351</v>
      </c>
      <c r="J40" s="102"/>
      <c r="K40" s="147"/>
    </row>
    <row r="41" spans="1:26" ht="18.75" hidden="1" thickBot="1">
      <c r="A41" s="148"/>
      <c r="B41" s="102"/>
      <c r="C41" s="102"/>
      <c r="D41" s="102"/>
      <c r="E41" s="102"/>
      <c r="F41" s="102"/>
      <c r="G41" s="102"/>
      <c r="H41" s="771">
        <f>H40/C52</f>
        <v>88.871250000000003</v>
      </c>
      <c r="I41" s="743" t="s">
        <v>352</v>
      </c>
      <c r="J41" s="102"/>
      <c r="K41" s="147"/>
    </row>
    <row r="42" spans="1:26" ht="13.5" hidden="1" thickBot="1">
      <c r="A42" s="148"/>
      <c r="B42" s="102"/>
      <c r="C42" s="102"/>
      <c r="D42" s="102"/>
      <c r="E42" s="102"/>
      <c r="F42" s="102"/>
      <c r="G42" s="102"/>
      <c r="H42" s="102"/>
      <c r="I42" s="102"/>
      <c r="J42" s="102"/>
      <c r="K42" s="147"/>
    </row>
    <row r="43" spans="1:26" ht="15.75" hidden="1">
      <c r="A43" s="772"/>
      <c r="B43" s="750"/>
      <c r="C43" s="750"/>
      <c r="D43" s="773" t="s">
        <v>353</v>
      </c>
      <c r="E43" s="750"/>
      <c r="F43" s="750"/>
      <c r="G43" s="750"/>
      <c r="H43" s="750"/>
      <c r="I43" s="750"/>
      <c r="J43" s="750"/>
      <c r="K43" s="750"/>
      <c r="L43" s="737"/>
      <c r="M43" s="750"/>
      <c r="N43" s="750"/>
      <c r="O43" s="750"/>
      <c r="P43" s="750"/>
      <c r="Q43" s="750"/>
      <c r="R43" s="750"/>
      <c r="S43" s="750"/>
      <c r="T43" s="750"/>
      <c r="U43" s="750"/>
      <c r="V43" s="737"/>
      <c r="W43" s="740"/>
    </row>
    <row r="44" spans="1:26" hidden="1">
      <c r="A44" s="751" t="s">
        <v>354</v>
      </c>
      <c r="B44" s="752"/>
      <c r="C44" s="753"/>
      <c r="D44" s="754">
        <v>0</v>
      </c>
      <c r="E44" s="755" t="s">
        <v>355</v>
      </c>
      <c r="F44" s="748"/>
      <c r="G44" s="748"/>
      <c r="H44" s="756" t="s">
        <v>356</v>
      </c>
      <c r="I44" s="756"/>
      <c r="J44" s="748"/>
      <c r="K44" s="748"/>
      <c r="L44" s="102"/>
      <c r="M44" s="748"/>
      <c r="N44" s="748"/>
      <c r="O44" s="748"/>
      <c r="P44" s="748"/>
      <c r="Q44" s="748"/>
      <c r="R44" s="748"/>
      <c r="S44" s="748"/>
      <c r="T44" s="748"/>
      <c r="U44" s="748"/>
      <c r="V44" s="102"/>
      <c r="W44" s="147"/>
    </row>
    <row r="45" spans="1:26" hidden="1">
      <c r="A45" s="751" t="s">
        <v>357</v>
      </c>
      <c r="B45" s="752"/>
      <c r="C45" s="753"/>
      <c r="D45" s="754">
        <v>23900</v>
      </c>
      <c r="E45" s="757" t="s">
        <v>358</v>
      </c>
      <c r="F45" s="748"/>
      <c r="G45" s="748"/>
      <c r="H45" s="756" t="s">
        <v>386</v>
      </c>
      <c r="I45" s="102"/>
      <c r="J45" s="748"/>
      <c r="K45" s="748"/>
      <c r="L45" s="102"/>
      <c r="M45" s="748"/>
      <c r="N45" s="748"/>
      <c r="O45" s="748"/>
      <c r="P45" s="748"/>
      <c r="Q45" s="748"/>
      <c r="R45" s="748"/>
      <c r="S45" s="748"/>
      <c r="T45" s="748"/>
      <c r="U45" s="748"/>
      <c r="V45" s="102"/>
      <c r="W45" s="147"/>
    </row>
    <row r="46" spans="1:26" hidden="1">
      <c r="A46" s="751" t="s">
        <v>360</v>
      </c>
      <c r="B46" s="752"/>
      <c r="C46" s="753"/>
      <c r="D46" s="754">
        <v>0</v>
      </c>
      <c r="E46" s="757" t="s">
        <v>361</v>
      </c>
      <c r="F46" s="748"/>
      <c r="G46" s="748"/>
      <c r="H46" s="756" t="s">
        <v>362</v>
      </c>
      <c r="I46" s="756"/>
      <c r="J46" s="748"/>
      <c r="K46" s="748"/>
      <c r="L46" s="102"/>
      <c r="M46" s="748"/>
      <c r="N46" s="748"/>
      <c r="O46" s="748"/>
      <c r="P46" s="748"/>
      <c r="Q46" s="748"/>
      <c r="R46" s="748"/>
      <c r="S46" s="748"/>
      <c r="T46" s="748"/>
      <c r="U46" s="748"/>
      <c r="V46" s="102"/>
      <c r="W46" s="147"/>
    </row>
    <row r="47" spans="1:26" hidden="1">
      <c r="A47" s="751" t="s">
        <v>363</v>
      </c>
      <c r="B47" s="752"/>
      <c r="C47" s="753"/>
      <c r="D47" s="754">
        <v>1403000</v>
      </c>
      <c r="E47" s="757" t="s">
        <v>364</v>
      </c>
      <c r="F47" s="756" t="s">
        <v>387</v>
      </c>
      <c r="G47" s="748"/>
      <c r="H47" s="756" t="s">
        <v>366</v>
      </c>
      <c r="I47" s="102"/>
      <c r="J47" s="748"/>
      <c r="K47" s="748"/>
      <c r="L47" s="102"/>
      <c r="M47" s="748"/>
      <c r="N47" s="748"/>
      <c r="O47" s="748"/>
      <c r="P47" s="748"/>
      <c r="Q47" s="748"/>
      <c r="R47" s="748"/>
      <c r="S47" s="748"/>
      <c r="T47" s="748"/>
      <c r="U47" s="748"/>
      <c r="V47" s="102"/>
      <c r="W47" s="147"/>
    </row>
    <row r="48" spans="1:26" hidden="1">
      <c r="A48" s="751" t="s">
        <v>367</v>
      </c>
      <c r="B48" s="752"/>
      <c r="C48" s="753"/>
      <c r="D48" s="754">
        <v>3000000</v>
      </c>
      <c r="E48" s="757" t="s">
        <v>364</v>
      </c>
      <c r="F48" s="748"/>
      <c r="G48" s="748"/>
      <c r="H48" s="756" t="s">
        <v>368</v>
      </c>
      <c r="I48" s="102"/>
      <c r="J48" s="748"/>
      <c r="K48" s="748"/>
      <c r="L48" s="102"/>
      <c r="M48" s="748"/>
      <c r="N48" s="748"/>
      <c r="O48" s="748"/>
      <c r="P48" s="748"/>
      <c r="Q48" s="748"/>
      <c r="R48" s="748"/>
      <c r="S48" s="748"/>
      <c r="T48" s="748"/>
      <c r="U48" s="748"/>
      <c r="V48" s="102"/>
      <c r="W48" s="147"/>
    </row>
    <row r="49" spans="1:23" hidden="1">
      <c r="A49" s="751" t="s">
        <v>369</v>
      </c>
      <c r="B49" s="752"/>
      <c r="C49" s="753"/>
      <c r="D49" s="758">
        <v>25000</v>
      </c>
      <c r="E49" s="759"/>
      <c r="F49" s="748"/>
      <c r="G49" s="748"/>
      <c r="H49" s="756" t="s">
        <v>370</v>
      </c>
      <c r="I49" s="748"/>
      <c r="J49" s="748"/>
      <c r="K49" s="748"/>
      <c r="L49" s="102"/>
      <c r="M49" s="748"/>
      <c r="N49" s="748"/>
      <c r="O49" s="748"/>
      <c r="P49" s="748"/>
      <c r="Q49" s="748"/>
      <c r="R49" s="748"/>
      <c r="S49" s="748"/>
      <c r="T49" s="748"/>
      <c r="U49" s="748"/>
      <c r="V49" s="102"/>
      <c r="W49" s="147"/>
    </row>
    <row r="50" spans="1:23" hidden="1">
      <c r="A50" s="751" t="s">
        <v>371</v>
      </c>
      <c r="B50" s="752"/>
      <c r="C50" s="753"/>
      <c r="D50" s="758">
        <v>25000</v>
      </c>
      <c r="E50" s="759"/>
      <c r="F50" s="748"/>
      <c r="G50" s="748"/>
      <c r="H50" s="756" t="s">
        <v>370</v>
      </c>
      <c r="I50" s="748"/>
      <c r="J50" s="748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47"/>
    </row>
    <row r="51" spans="1:23" hidden="1">
      <c r="A51" s="148"/>
      <c r="B51" s="748"/>
      <c r="C51" s="748"/>
      <c r="D51" s="748"/>
      <c r="E51" s="748"/>
      <c r="F51" s="748"/>
      <c r="G51" s="748"/>
      <c r="H51" s="748"/>
      <c r="I51" s="748"/>
      <c r="J51" s="748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47"/>
    </row>
    <row r="52" spans="1:23" hidden="1">
      <c r="A52" s="760" t="s">
        <v>372</v>
      </c>
      <c r="B52" s="761"/>
      <c r="C52" s="762">
        <v>8000</v>
      </c>
      <c r="D52" s="763" t="s">
        <v>373</v>
      </c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47"/>
    </row>
    <row r="53" spans="1:23" hidden="1">
      <c r="A53" s="148" t="s">
        <v>919</v>
      </c>
      <c r="B53" s="637">
        <v>0</v>
      </c>
      <c r="C53" s="637">
        <v>1</v>
      </c>
      <c r="D53" s="637">
        <v>2</v>
      </c>
      <c r="E53" s="637">
        <v>3</v>
      </c>
      <c r="F53" s="637">
        <v>4</v>
      </c>
      <c r="G53" s="637">
        <v>5</v>
      </c>
      <c r="H53" s="637">
        <v>6</v>
      </c>
      <c r="I53" s="637">
        <v>7</v>
      </c>
      <c r="J53" s="637">
        <v>8</v>
      </c>
      <c r="K53" s="637">
        <v>9</v>
      </c>
      <c r="L53" s="637">
        <v>10</v>
      </c>
      <c r="M53" s="637">
        <v>11</v>
      </c>
      <c r="N53" s="637">
        <v>12</v>
      </c>
      <c r="O53" s="637">
        <v>13</v>
      </c>
      <c r="P53" s="637">
        <v>14</v>
      </c>
      <c r="Q53" s="637">
        <v>15</v>
      </c>
      <c r="R53" s="637">
        <v>16</v>
      </c>
      <c r="S53" s="637">
        <v>17</v>
      </c>
      <c r="T53" s="637">
        <v>18</v>
      </c>
      <c r="U53" s="637">
        <v>19</v>
      </c>
      <c r="V53" s="637">
        <v>20</v>
      </c>
      <c r="W53" s="147"/>
    </row>
    <row r="54" spans="1:23" hidden="1">
      <c r="A54" s="148" t="s">
        <v>374</v>
      </c>
      <c r="B54" s="764"/>
      <c r="C54" s="764">
        <f>$C52</f>
        <v>8000</v>
      </c>
      <c r="D54" s="764">
        <f t="shared" ref="D54:V54" si="7">C54+$C52</f>
        <v>16000</v>
      </c>
      <c r="E54" s="764">
        <f t="shared" si="7"/>
        <v>24000</v>
      </c>
      <c r="F54" s="764">
        <f t="shared" si="7"/>
        <v>32000</v>
      </c>
      <c r="G54" s="764">
        <f t="shared" si="7"/>
        <v>40000</v>
      </c>
      <c r="H54" s="764">
        <f t="shared" si="7"/>
        <v>48000</v>
      </c>
      <c r="I54" s="764">
        <f t="shared" si="7"/>
        <v>56000</v>
      </c>
      <c r="J54" s="764">
        <f t="shared" si="7"/>
        <v>64000</v>
      </c>
      <c r="K54" s="764">
        <f t="shared" si="7"/>
        <v>72000</v>
      </c>
      <c r="L54" s="764">
        <f t="shared" si="7"/>
        <v>80000</v>
      </c>
      <c r="M54" s="764">
        <f t="shared" si="7"/>
        <v>88000</v>
      </c>
      <c r="N54" s="764">
        <f t="shared" si="7"/>
        <v>96000</v>
      </c>
      <c r="O54" s="764">
        <f t="shared" si="7"/>
        <v>104000</v>
      </c>
      <c r="P54" s="764">
        <f t="shared" si="7"/>
        <v>112000</v>
      </c>
      <c r="Q54" s="764">
        <f t="shared" si="7"/>
        <v>120000</v>
      </c>
      <c r="R54" s="764">
        <f t="shared" si="7"/>
        <v>128000</v>
      </c>
      <c r="S54" s="764">
        <f t="shared" si="7"/>
        <v>136000</v>
      </c>
      <c r="T54" s="764">
        <f t="shared" si="7"/>
        <v>144000</v>
      </c>
      <c r="U54" s="764">
        <f t="shared" si="7"/>
        <v>152000</v>
      </c>
      <c r="V54" s="764">
        <f t="shared" si="7"/>
        <v>160000</v>
      </c>
      <c r="W54" s="147"/>
    </row>
    <row r="55" spans="1:23" hidden="1">
      <c r="A55" s="148" t="s">
        <v>388</v>
      </c>
      <c r="B55" s="637"/>
      <c r="C55" s="637"/>
      <c r="D55" s="637"/>
      <c r="E55" s="637" t="s">
        <v>1221</v>
      </c>
      <c r="F55" s="637"/>
      <c r="G55" s="637"/>
      <c r="H55" s="637" t="s">
        <v>196</v>
      </c>
      <c r="I55" s="637"/>
      <c r="J55" s="637"/>
      <c r="K55" s="637"/>
      <c r="L55" s="637" t="s">
        <v>1221</v>
      </c>
      <c r="M55" s="637"/>
      <c r="N55" s="637" t="s">
        <v>196</v>
      </c>
      <c r="O55" s="637"/>
      <c r="P55" s="637"/>
      <c r="Q55" s="637" t="s">
        <v>1221</v>
      </c>
      <c r="R55" s="637"/>
      <c r="S55" s="637"/>
      <c r="T55" s="637" t="s">
        <v>196</v>
      </c>
      <c r="U55" s="637"/>
      <c r="V55" s="637"/>
      <c r="W55" s="147"/>
    </row>
    <row r="56" spans="1:23" hidden="1">
      <c r="A56" s="148" t="s">
        <v>389</v>
      </c>
      <c r="B56" s="765">
        <f t="shared" ref="B56:V56" si="8">IF(B55="H",$D$7*$D47,IF(B55="M",$D$7*$D48,0))</f>
        <v>0</v>
      </c>
      <c r="C56" s="765">
        <f t="shared" si="8"/>
        <v>0</v>
      </c>
      <c r="D56" s="765">
        <f t="shared" si="8"/>
        <v>0</v>
      </c>
      <c r="E56" s="765">
        <f t="shared" si="8"/>
        <v>2806000</v>
      </c>
      <c r="F56" s="765">
        <f t="shared" si="8"/>
        <v>0</v>
      </c>
      <c r="G56" s="765">
        <f t="shared" si="8"/>
        <v>0</v>
      </c>
      <c r="H56" s="765">
        <f t="shared" si="8"/>
        <v>6000000</v>
      </c>
      <c r="I56" s="765">
        <f t="shared" si="8"/>
        <v>0</v>
      </c>
      <c r="J56" s="765">
        <f t="shared" si="8"/>
        <v>0</v>
      </c>
      <c r="K56" s="765">
        <f t="shared" si="8"/>
        <v>0</v>
      </c>
      <c r="L56" s="765">
        <f t="shared" si="8"/>
        <v>2806000</v>
      </c>
      <c r="M56" s="765">
        <f t="shared" si="8"/>
        <v>0</v>
      </c>
      <c r="N56" s="765">
        <f t="shared" si="8"/>
        <v>6000000</v>
      </c>
      <c r="O56" s="765">
        <f t="shared" si="8"/>
        <v>0</v>
      </c>
      <c r="P56" s="765">
        <f t="shared" si="8"/>
        <v>0</v>
      </c>
      <c r="Q56" s="765">
        <f t="shared" si="8"/>
        <v>2806000</v>
      </c>
      <c r="R56" s="765">
        <f t="shared" si="8"/>
        <v>0</v>
      </c>
      <c r="S56" s="765">
        <f t="shared" si="8"/>
        <v>0</v>
      </c>
      <c r="T56" s="765">
        <f t="shared" si="8"/>
        <v>6000000</v>
      </c>
      <c r="U56" s="765">
        <f t="shared" si="8"/>
        <v>0</v>
      </c>
      <c r="V56" s="765">
        <f t="shared" si="8"/>
        <v>0</v>
      </c>
      <c r="W56" s="147"/>
    </row>
    <row r="57" spans="1:23" hidden="1">
      <c r="A57" s="148" t="s">
        <v>377</v>
      </c>
      <c r="B57" s="765"/>
      <c r="C57" s="765">
        <f t="shared" ref="C57:V57" si="9">$D46*$D$7</f>
        <v>0</v>
      </c>
      <c r="D57" s="765">
        <f t="shared" si="9"/>
        <v>0</v>
      </c>
      <c r="E57" s="765">
        <f t="shared" si="9"/>
        <v>0</v>
      </c>
      <c r="F57" s="765">
        <f t="shared" si="9"/>
        <v>0</v>
      </c>
      <c r="G57" s="765">
        <f t="shared" si="9"/>
        <v>0</v>
      </c>
      <c r="H57" s="765">
        <f t="shared" si="9"/>
        <v>0</v>
      </c>
      <c r="I57" s="765">
        <f t="shared" si="9"/>
        <v>0</v>
      </c>
      <c r="J57" s="765">
        <f t="shared" si="9"/>
        <v>0</v>
      </c>
      <c r="K57" s="765">
        <f t="shared" si="9"/>
        <v>0</v>
      </c>
      <c r="L57" s="765">
        <f t="shared" si="9"/>
        <v>0</v>
      </c>
      <c r="M57" s="765">
        <f t="shared" si="9"/>
        <v>0</v>
      </c>
      <c r="N57" s="765">
        <f t="shared" si="9"/>
        <v>0</v>
      </c>
      <c r="O57" s="765">
        <f t="shared" si="9"/>
        <v>0</v>
      </c>
      <c r="P57" s="765">
        <f t="shared" si="9"/>
        <v>0</v>
      </c>
      <c r="Q57" s="765">
        <f t="shared" si="9"/>
        <v>0</v>
      </c>
      <c r="R57" s="765">
        <f t="shared" si="9"/>
        <v>0</v>
      </c>
      <c r="S57" s="765">
        <f t="shared" si="9"/>
        <v>0</v>
      </c>
      <c r="T57" s="765">
        <f t="shared" si="9"/>
        <v>0</v>
      </c>
      <c r="U57" s="765">
        <f t="shared" si="9"/>
        <v>0</v>
      </c>
      <c r="V57" s="765">
        <f t="shared" si="9"/>
        <v>0</v>
      </c>
      <c r="W57" s="147"/>
    </row>
    <row r="58" spans="1:23" hidden="1">
      <c r="A58" s="148" t="s">
        <v>1225</v>
      </c>
      <c r="B58" s="765">
        <f t="shared" ref="B58:V58" si="10">IF(B55="H",$D49*$D$7,IF(B55="M",$D50*$D$7,0))</f>
        <v>0</v>
      </c>
      <c r="C58" s="765">
        <f t="shared" si="10"/>
        <v>0</v>
      </c>
      <c r="D58" s="765">
        <f t="shared" si="10"/>
        <v>0</v>
      </c>
      <c r="E58" s="765">
        <f t="shared" si="10"/>
        <v>50000</v>
      </c>
      <c r="F58" s="765">
        <f t="shared" si="10"/>
        <v>0</v>
      </c>
      <c r="G58" s="765">
        <f t="shared" si="10"/>
        <v>0</v>
      </c>
      <c r="H58" s="765">
        <f t="shared" si="10"/>
        <v>50000</v>
      </c>
      <c r="I58" s="765">
        <f t="shared" si="10"/>
        <v>0</v>
      </c>
      <c r="J58" s="765">
        <f t="shared" si="10"/>
        <v>0</v>
      </c>
      <c r="K58" s="765">
        <f t="shared" si="10"/>
        <v>0</v>
      </c>
      <c r="L58" s="765">
        <f t="shared" si="10"/>
        <v>50000</v>
      </c>
      <c r="M58" s="765">
        <f t="shared" si="10"/>
        <v>0</v>
      </c>
      <c r="N58" s="765">
        <f t="shared" si="10"/>
        <v>50000</v>
      </c>
      <c r="O58" s="765">
        <f t="shared" si="10"/>
        <v>0</v>
      </c>
      <c r="P58" s="765">
        <f t="shared" si="10"/>
        <v>0</v>
      </c>
      <c r="Q58" s="765">
        <f t="shared" si="10"/>
        <v>50000</v>
      </c>
      <c r="R58" s="765">
        <f t="shared" si="10"/>
        <v>0</v>
      </c>
      <c r="S58" s="765">
        <f t="shared" si="10"/>
        <v>0</v>
      </c>
      <c r="T58" s="765">
        <f t="shared" si="10"/>
        <v>50000</v>
      </c>
      <c r="U58" s="765">
        <f t="shared" si="10"/>
        <v>0</v>
      </c>
      <c r="V58" s="765">
        <f t="shared" si="10"/>
        <v>0</v>
      </c>
      <c r="W58" s="147"/>
    </row>
    <row r="59" spans="1:23" hidden="1">
      <c r="A59" s="148" t="s">
        <v>378</v>
      </c>
      <c r="B59" s="637"/>
      <c r="C59" s="765">
        <f t="shared" ref="C59:V59" si="11">$D44*$D$7</f>
        <v>0</v>
      </c>
      <c r="D59" s="765">
        <f t="shared" si="11"/>
        <v>0</v>
      </c>
      <c r="E59" s="765">
        <f t="shared" si="11"/>
        <v>0</v>
      </c>
      <c r="F59" s="765">
        <f t="shared" si="11"/>
        <v>0</v>
      </c>
      <c r="G59" s="765">
        <f t="shared" si="11"/>
        <v>0</v>
      </c>
      <c r="H59" s="765">
        <f t="shared" si="11"/>
        <v>0</v>
      </c>
      <c r="I59" s="765">
        <f t="shared" si="11"/>
        <v>0</v>
      </c>
      <c r="J59" s="765">
        <f t="shared" si="11"/>
        <v>0</v>
      </c>
      <c r="K59" s="765">
        <f t="shared" si="11"/>
        <v>0</v>
      </c>
      <c r="L59" s="765">
        <f t="shared" si="11"/>
        <v>0</v>
      </c>
      <c r="M59" s="765">
        <f t="shared" si="11"/>
        <v>0</v>
      </c>
      <c r="N59" s="765">
        <f t="shared" si="11"/>
        <v>0</v>
      </c>
      <c r="O59" s="765">
        <f t="shared" si="11"/>
        <v>0</v>
      </c>
      <c r="P59" s="765">
        <f t="shared" si="11"/>
        <v>0</v>
      </c>
      <c r="Q59" s="765">
        <f t="shared" si="11"/>
        <v>0</v>
      </c>
      <c r="R59" s="765">
        <f t="shared" si="11"/>
        <v>0</v>
      </c>
      <c r="S59" s="765">
        <f t="shared" si="11"/>
        <v>0</v>
      </c>
      <c r="T59" s="765">
        <f t="shared" si="11"/>
        <v>0</v>
      </c>
      <c r="U59" s="765">
        <f t="shared" si="11"/>
        <v>0</v>
      </c>
      <c r="V59" s="765">
        <f t="shared" si="11"/>
        <v>0</v>
      </c>
      <c r="W59" s="147"/>
    </row>
    <row r="60" spans="1:23" hidden="1">
      <c r="A60" s="148" t="s">
        <v>379</v>
      </c>
      <c r="B60" s="765">
        <f t="shared" ref="B60:V60" si="12">IF(B55="M",$D$7*($D45*12),0)</f>
        <v>0</v>
      </c>
      <c r="C60" s="765">
        <f t="shared" si="12"/>
        <v>0</v>
      </c>
      <c r="D60" s="765">
        <f t="shared" si="12"/>
        <v>0</v>
      </c>
      <c r="E60" s="765">
        <f t="shared" si="12"/>
        <v>0</v>
      </c>
      <c r="F60" s="765">
        <f t="shared" si="12"/>
        <v>0</v>
      </c>
      <c r="G60" s="765">
        <f t="shared" si="12"/>
        <v>0</v>
      </c>
      <c r="H60" s="765">
        <f t="shared" si="12"/>
        <v>573600</v>
      </c>
      <c r="I60" s="765">
        <f t="shared" si="12"/>
        <v>0</v>
      </c>
      <c r="J60" s="765">
        <f t="shared" si="12"/>
        <v>0</v>
      </c>
      <c r="K60" s="765">
        <f t="shared" si="12"/>
        <v>0</v>
      </c>
      <c r="L60" s="765">
        <f t="shared" si="12"/>
        <v>0</v>
      </c>
      <c r="M60" s="765">
        <f t="shared" si="12"/>
        <v>0</v>
      </c>
      <c r="N60" s="765">
        <f t="shared" si="12"/>
        <v>573600</v>
      </c>
      <c r="O60" s="765">
        <f t="shared" si="12"/>
        <v>0</v>
      </c>
      <c r="P60" s="765">
        <f t="shared" si="12"/>
        <v>0</v>
      </c>
      <c r="Q60" s="765">
        <f t="shared" si="12"/>
        <v>0</v>
      </c>
      <c r="R60" s="765">
        <f t="shared" si="12"/>
        <v>0</v>
      </c>
      <c r="S60" s="765">
        <f t="shared" si="12"/>
        <v>0</v>
      </c>
      <c r="T60" s="765">
        <f t="shared" si="12"/>
        <v>573600</v>
      </c>
      <c r="U60" s="765">
        <f t="shared" si="12"/>
        <v>0</v>
      </c>
      <c r="V60" s="765">
        <f t="shared" si="12"/>
        <v>0</v>
      </c>
      <c r="W60" s="147"/>
    </row>
    <row r="61" spans="1:23" ht="15.75" hidden="1">
      <c r="A61" s="148"/>
      <c r="B61" s="767">
        <f t="shared" ref="B61:V61" si="13">SUM(B56:B60)</f>
        <v>0</v>
      </c>
      <c r="C61" s="767">
        <f t="shared" si="13"/>
        <v>0</v>
      </c>
      <c r="D61" s="767">
        <f t="shared" si="13"/>
        <v>0</v>
      </c>
      <c r="E61" s="767">
        <f t="shared" si="13"/>
        <v>2856000</v>
      </c>
      <c r="F61" s="767">
        <f t="shared" si="13"/>
        <v>0</v>
      </c>
      <c r="G61" s="767">
        <f t="shared" si="13"/>
        <v>0</v>
      </c>
      <c r="H61" s="767">
        <f t="shared" si="13"/>
        <v>6623600</v>
      </c>
      <c r="I61" s="767">
        <f t="shared" si="13"/>
        <v>0</v>
      </c>
      <c r="J61" s="767">
        <f t="shared" si="13"/>
        <v>0</v>
      </c>
      <c r="K61" s="767">
        <f t="shared" si="13"/>
        <v>0</v>
      </c>
      <c r="L61" s="767">
        <f t="shared" si="13"/>
        <v>2856000</v>
      </c>
      <c r="M61" s="767">
        <f t="shared" si="13"/>
        <v>0</v>
      </c>
      <c r="N61" s="767">
        <f t="shared" si="13"/>
        <v>6623600</v>
      </c>
      <c r="O61" s="767">
        <f t="shared" si="13"/>
        <v>0</v>
      </c>
      <c r="P61" s="767">
        <f t="shared" si="13"/>
        <v>0</v>
      </c>
      <c r="Q61" s="767">
        <f t="shared" si="13"/>
        <v>2856000</v>
      </c>
      <c r="R61" s="767">
        <f t="shared" si="13"/>
        <v>0</v>
      </c>
      <c r="S61" s="767">
        <f t="shared" si="13"/>
        <v>0</v>
      </c>
      <c r="T61" s="767">
        <f t="shared" si="13"/>
        <v>6623600</v>
      </c>
      <c r="U61" s="767">
        <f t="shared" si="13"/>
        <v>0</v>
      </c>
      <c r="V61" s="767">
        <f t="shared" si="13"/>
        <v>0</v>
      </c>
      <c r="W61" s="147"/>
    </row>
    <row r="62" spans="1:23" ht="15.75" hidden="1">
      <c r="A62" s="148"/>
      <c r="B62" s="767"/>
      <c r="C62" s="767">
        <f t="shared" ref="C62:V62" si="14">B62+C61</f>
        <v>0</v>
      </c>
      <c r="D62" s="767">
        <f t="shared" si="14"/>
        <v>0</v>
      </c>
      <c r="E62" s="767">
        <f t="shared" si="14"/>
        <v>2856000</v>
      </c>
      <c r="F62" s="767">
        <f t="shared" si="14"/>
        <v>2856000</v>
      </c>
      <c r="G62" s="767">
        <f t="shared" si="14"/>
        <v>2856000</v>
      </c>
      <c r="H62" s="767">
        <f t="shared" si="14"/>
        <v>9479600</v>
      </c>
      <c r="I62" s="767">
        <f t="shared" si="14"/>
        <v>9479600</v>
      </c>
      <c r="J62" s="767">
        <f t="shared" si="14"/>
        <v>9479600</v>
      </c>
      <c r="K62" s="767">
        <f t="shared" si="14"/>
        <v>9479600</v>
      </c>
      <c r="L62" s="767">
        <f t="shared" si="14"/>
        <v>12335600</v>
      </c>
      <c r="M62" s="767">
        <f t="shared" si="14"/>
        <v>12335600</v>
      </c>
      <c r="N62" s="767">
        <f t="shared" si="14"/>
        <v>18959200</v>
      </c>
      <c r="O62" s="767">
        <f t="shared" si="14"/>
        <v>18959200</v>
      </c>
      <c r="P62" s="767">
        <f t="shared" si="14"/>
        <v>18959200</v>
      </c>
      <c r="Q62" s="767">
        <f t="shared" si="14"/>
        <v>21815200</v>
      </c>
      <c r="R62" s="767">
        <f t="shared" si="14"/>
        <v>21815200</v>
      </c>
      <c r="S62" s="767">
        <f t="shared" si="14"/>
        <v>21815200</v>
      </c>
      <c r="T62" s="767">
        <f t="shared" si="14"/>
        <v>28438800</v>
      </c>
      <c r="U62" s="767">
        <f t="shared" si="14"/>
        <v>28438800</v>
      </c>
      <c r="V62" s="767">
        <f t="shared" si="14"/>
        <v>28438800</v>
      </c>
      <c r="W62" s="147"/>
    </row>
    <row r="63" spans="1:23" hidden="1">
      <c r="A63" s="148" t="s">
        <v>609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47"/>
    </row>
    <row r="64" spans="1:23" hidden="1">
      <c r="A64" s="148" t="s">
        <v>390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47"/>
    </row>
    <row r="65" spans="1:23" hidden="1">
      <c r="A65" s="148" t="s">
        <v>391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47"/>
    </row>
    <row r="66" spans="1:23" ht="13.5" hidden="1" thickBot="1">
      <c r="A66" s="149" t="s">
        <v>383</v>
      </c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747"/>
    </row>
    <row r="67" spans="1:23" hidden="1"/>
    <row r="68" spans="1:23" hidden="1"/>
  </sheetData>
  <mergeCells count="5">
    <mergeCell ref="F37:G37"/>
    <mergeCell ref="A1:W1"/>
    <mergeCell ref="A3:M3"/>
    <mergeCell ref="F4:G4"/>
    <mergeCell ref="A36:K36"/>
  </mergeCells>
  <printOptions horizontalCentered="1"/>
  <pageMargins left="0.75" right="0.75" top="1" bottom="1" header="0.5" footer="0.5"/>
  <pageSetup scale="42" orientation="landscape" horizontalDpi="4294967292" verticalDpi="4294967292" r:id="rId1"/>
  <headerFooter alignWithMargins="0">
    <oddFooter>&amp;LRich Bickings
&amp;D&amp;CPage &amp;P&amp;R&amp;F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63"/>
  <sheetViews>
    <sheetView showGridLines="0" topLeftCell="A10" zoomScale="85" zoomScaleNormal="85" workbookViewId="0">
      <selection activeCell="F40" sqref="F40"/>
    </sheetView>
  </sheetViews>
  <sheetFormatPr defaultRowHeight="12.75"/>
  <cols>
    <col min="1" max="1" width="12.28515625" customWidth="1"/>
    <col min="3" max="3" width="4.5703125" customWidth="1"/>
    <col min="4" max="4" width="31.7109375" customWidth="1"/>
    <col min="5" max="5" width="3.42578125" customWidth="1"/>
    <col min="6" max="6" width="20" style="141" customWidth="1"/>
    <col min="11" max="11" width="4.7109375" customWidth="1"/>
  </cols>
  <sheetData>
    <row r="1" spans="1:13" ht="15.75">
      <c r="A1" s="891" t="str">
        <f>CONCATENATE(F7,", ",F9," (",F12," MW)")</f>
        <v>AES Corp, Dallas, TX (640 MW)</v>
      </c>
      <c r="B1" s="891"/>
      <c r="C1" s="891"/>
      <c r="D1" s="891"/>
      <c r="E1" s="891"/>
      <c r="F1" s="891"/>
      <c r="G1" s="24"/>
      <c r="H1" s="24"/>
      <c r="I1" s="24"/>
      <c r="J1" s="24"/>
      <c r="K1" s="24"/>
      <c r="L1" s="24"/>
      <c r="M1" s="24"/>
    </row>
    <row r="2" spans="1:13" ht="15.75">
      <c r="A2" s="892"/>
      <c r="B2" s="892"/>
      <c r="C2" s="892"/>
      <c r="D2" s="892"/>
      <c r="E2" s="892"/>
      <c r="F2" s="892"/>
      <c r="G2" s="24"/>
      <c r="H2" s="24"/>
      <c r="I2" s="24"/>
      <c r="J2" s="24"/>
      <c r="K2" s="24"/>
      <c r="L2" s="24"/>
      <c r="M2" s="24"/>
    </row>
    <row r="3" spans="1:13" ht="15.75">
      <c r="A3" s="890" t="s">
        <v>1127</v>
      </c>
      <c r="B3" s="890"/>
      <c r="C3" s="890"/>
      <c r="D3" s="890"/>
      <c r="E3" s="890"/>
      <c r="F3" s="890"/>
      <c r="G3" s="1"/>
      <c r="H3" s="1"/>
      <c r="I3" s="1"/>
      <c r="J3" s="1"/>
      <c r="K3" s="1"/>
      <c r="L3" s="1"/>
      <c r="M3" s="1"/>
    </row>
    <row r="7" spans="1:13">
      <c r="A7" s="132" t="s">
        <v>1258</v>
      </c>
      <c r="D7" t="s">
        <v>1259</v>
      </c>
      <c r="F7" s="802" t="s">
        <v>437</v>
      </c>
      <c r="G7" s="801"/>
    </row>
    <row r="8" spans="1:13">
      <c r="F8" s="801"/>
      <c r="G8" s="801"/>
    </row>
    <row r="9" spans="1:13">
      <c r="A9" s="56" t="s">
        <v>1463</v>
      </c>
      <c r="D9" s="111" t="s">
        <v>1242</v>
      </c>
      <c r="F9" s="214" t="s">
        <v>438</v>
      </c>
    </row>
    <row r="10" spans="1:13">
      <c r="A10" s="56"/>
      <c r="D10" s="111" t="s">
        <v>1243</v>
      </c>
      <c r="F10" s="214" t="s">
        <v>700</v>
      </c>
    </row>
    <row r="11" spans="1:13" ht="18.75" customHeight="1"/>
    <row r="12" spans="1:13">
      <c r="A12" s="56" t="s">
        <v>1464</v>
      </c>
      <c r="D12" t="s">
        <v>1234</v>
      </c>
      <c r="F12" s="718">
        <f>IF('O&amp;M Backup_Detail'!O7=6,0,(F15*E14))+IF('O&amp;M Backup_Detail'!R7=6,0,(F18*E17))+IF('O&amp;M Backup_Detail'!U7=6,0,(F21*E20))+(F24*E23)+(F26*E25)</f>
        <v>640</v>
      </c>
    </row>
    <row r="13" spans="1:13" ht="21.75" customHeight="1"/>
    <row r="14" spans="1:13">
      <c r="A14" s="56" t="s">
        <v>1465</v>
      </c>
      <c r="D14" t="s">
        <v>1233</v>
      </c>
      <c r="E14" s="213">
        <f>IF('O&amp;M Backup_Detail'!O7=8,0,'O&amp;M Backup_Detail'!$O$26)</f>
        <v>2</v>
      </c>
      <c r="F14" s="214" t="str">
        <f>IF('O&amp;M Backup_Detail'!O7=8,"",'O&amp;M Backup_Detail'!$P$7)</f>
        <v>GE 7FA</v>
      </c>
    </row>
    <row r="15" spans="1:13" ht="12" customHeight="1">
      <c r="D15" t="s">
        <v>1235</v>
      </c>
      <c r="F15" s="215">
        <f>IF('O&amp;M Backup_Detail'!O7=8,0,IF('O&amp;M Backup_Detail'!O7=6,0,HLOOKUP(F14,Plant_Configuration,'Plant Configuration'!A326,FALSE)))</f>
        <v>170</v>
      </c>
    </row>
    <row r="16" spans="1:13" ht="12" customHeight="1">
      <c r="D16" t="s">
        <v>1260</v>
      </c>
      <c r="F16" s="215" t="str">
        <f>'O&amp;M Backup_Detail'!$P$26</f>
        <v>combined</v>
      </c>
    </row>
    <row r="17" spans="1:6" ht="12" hidden="1" customHeight="1">
      <c r="A17" s="56"/>
      <c r="D17" t="s">
        <v>1233</v>
      </c>
      <c r="E17" s="213">
        <f>IF('O&amp;M Backup_Detail'!R7=8,0,'O&amp;M Backup_Detail'!$R$26)</f>
        <v>0</v>
      </c>
      <c r="F17" s="214" t="str">
        <f>IF('O&amp;M Backup_Detail'!R7=8,"",'O&amp;M Backup_Detail'!$S$7)</f>
        <v>None</v>
      </c>
    </row>
    <row r="18" spans="1:6" ht="12" hidden="1" customHeight="1">
      <c r="D18" t="s">
        <v>1235</v>
      </c>
      <c r="F18" s="215">
        <f>IF('O&amp;M Backup_Detail'!R7=8,0,IF('O&amp;M Backup_Detail'!R7=6,0,HLOOKUP(F17,Plant_Configuration,'Plant Configuration'!A326,FALSE)))</f>
        <v>0</v>
      </c>
    </row>
    <row r="19" spans="1:6" ht="12" hidden="1" customHeight="1">
      <c r="D19" t="s">
        <v>1260</v>
      </c>
      <c r="F19" s="214" t="str">
        <f>'O&amp;M Backup_Detail'!$S$26</f>
        <v/>
      </c>
    </row>
    <row r="20" spans="1:6" ht="12" hidden="1" customHeight="1">
      <c r="D20" t="s">
        <v>1233</v>
      </c>
      <c r="E20" s="213">
        <f>IF('O&amp;M Backup_Detail'!U7=8,0,'O&amp;M Backup_Detail'!$U$26)</f>
        <v>0</v>
      </c>
      <c r="F20" s="214" t="str">
        <f>IF('O&amp;M Backup_Detail'!U7=8,"",'O&amp;M Backup_Detail'!V7)</f>
        <v>None</v>
      </c>
    </row>
    <row r="21" spans="1:6" ht="12" hidden="1" customHeight="1">
      <c r="D21" t="s">
        <v>1235</v>
      </c>
      <c r="F21" s="215">
        <f>IF('O&amp;M Backup_Detail'!U7=8,0,IF('O&amp;M Backup_Detail'!U7=5,0,HLOOKUP(F20,Plant_Configuration,'Plant Configuration'!A326,FALSE)))</f>
        <v>0</v>
      </c>
    </row>
    <row r="22" spans="1:6" ht="12" hidden="1" customHeight="1">
      <c r="D22" t="s">
        <v>1260</v>
      </c>
      <c r="F22" s="215" t="str">
        <f>'O&amp;M Backup_Detail'!$V$26</f>
        <v/>
      </c>
    </row>
    <row r="23" spans="1:6" ht="12" customHeight="1" collapsed="1">
      <c r="D23" t="s">
        <v>1003</v>
      </c>
      <c r="E23" s="213">
        <v>2</v>
      </c>
      <c r="F23" s="215" t="s">
        <v>699</v>
      </c>
    </row>
    <row r="24" spans="1:6" ht="12" customHeight="1">
      <c r="D24" t="s">
        <v>1004</v>
      </c>
      <c r="F24" s="215">
        <v>150</v>
      </c>
    </row>
    <row r="25" spans="1:6" ht="12" hidden="1" customHeight="1">
      <c r="D25" t="s">
        <v>1003</v>
      </c>
      <c r="E25" s="213">
        <v>0</v>
      </c>
      <c r="F25" s="215" t="s">
        <v>699</v>
      </c>
    </row>
    <row r="26" spans="1:6" ht="12" hidden="1" customHeight="1">
      <c r="D26" t="s">
        <v>1004</v>
      </c>
      <c r="F26" s="215">
        <v>0</v>
      </c>
    </row>
    <row r="27" spans="1:6" ht="12" hidden="1" customHeight="1">
      <c r="F27" s="845"/>
    </row>
    <row r="28" spans="1:6" ht="12" hidden="1" customHeight="1">
      <c r="D28" t="s">
        <v>1156</v>
      </c>
      <c r="E28" s="213">
        <f>IF('O&amp;M Backup_Detail'!O7=8,'O&amp;M Backup_Detail'!O26,IF('O&amp;M Backup_Detail'!R7=8,'O&amp;M Backup_Detail'!R26,IF('O&amp;M Backup_Detail'!U7=8,'O&amp;M Backup_Detail'!U26,0)))</f>
        <v>0</v>
      </c>
      <c r="F28" s="214" t="str">
        <f>IF('O&amp;M Backup_Detail'!O7=8,'O&amp;M Backup_Detail'!P7,IF('O&amp;M Backup_Detail'!R7=8,'O&amp;M Backup_Detail'!S7,IF('O&amp;M Backup_Detail'!U7=8,'O&amp;M Backup_Detail'!V7,"")))</f>
        <v/>
      </c>
    </row>
    <row r="29" spans="1:6" ht="12" hidden="1" customHeight="1">
      <c r="D29" t="s">
        <v>1155</v>
      </c>
      <c r="F29" s="215" t="str">
        <f>IF(OR('O&amp;M Backup_Detail'!O7=8,'O&amp;M Backup_Detail'!R7=8,'O&amp;M Backup_Detail'!U7=8),'Plant Configuration'!L326,"")</f>
        <v/>
      </c>
    </row>
    <row r="30" spans="1:6" ht="12" hidden="1" customHeight="1">
      <c r="F30" s="845"/>
    </row>
    <row r="31" spans="1:6" ht="12" customHeight="1">
      <c r="D31" t="s">
        <v>1253</v>
      </c>
      <c r="F31" s="214" t="s">
        <v>787</v>
      </c>
    </row>
    <row r="32" spans="1:6" ht="12" hidden="1" customHeight="1">
      <c r="D32" t="s">
        <v>398</v>
      </c>
      <c r="F32" s="215"/>
    </row>
    <row r="33" spans="1:8" ht="12" hidden="1" customHeight="1">
      <c r="D33" t="s">
        <v>399</v>
      </c>
      <c r="F33" s="215"/>
    </row>
    <row r="34" spans="1:8" ht="12" customHeight="1">
      <c r="D34" t="s">
        <v>1254</v>
      </c>
      <c r="F34" s="215" t="s">
        <v>788</v>
      </c>
    </row>
    <row r="35" spans="1:8" ht="19.5" customHeight="1">
      <c r="F35" s="216"/>
    </row>
    <row r="36" spans="1:8">
      <c r="A36" s="56" t="s">
        <v>1466</v>
      </c>
      <c r="D36" s="111" t="s">
        <v>1236</v>
      </c>
      <c r="E36" s="111"/>
      <c r="F36" s="214" t="s">
        <v>91</v>
      </c>
    </row>
    <row r="37" spans="1:8">
      <c r="D37" t="s">
        <v>1250</v>
      </c>
      <c r="F37" s="215" t="s">
        <v>1251</v>
      </c>
    </row>
    <row r="38" spans="1:8" ht="19.5" customHeight="1"/>
    <row r="39" spans="1:8">
      <c r="A39" s="56" t="s">
        <v>1467</v>
      </c>
      <c r="D39" s="111" t="s">
        <v>1237</v>
      </c>
      <c r="E39" s="111"/>
      <c r="F39" s="217">
        <v>0.95</v>
      </c>
      <c r="G39" s="212"/>
    </row>
    <row r="40" spans="1:8">
      <c r="A40" s="56"/>
      <c r="D40" s="111" t="s">
        <v>1231</v>
      </c>
      <c r="E40" s="111"/>
      <c r="F40" s="220">
        <f>8760*F39*F12</f>
        <v>5326080</v>
      </c>
      <c r="G40" s="141"/>
    </row>
    <row r="41" spans="1:8">
      <c r="D41" t="s">
        <v>1239</v>
      </c>
      <c r="F41" s="218">
        <f>F39*8760</f>
        <v>8322</v>
      </c>
    </row>
    <row r="42" spans="1:8">
      <c r="D42" t="s">
        <v>1238</v>
      </c>
      <c r="F42" s="214" t="s">
        <v>1151</v>
      </c>
    </row>
    <row r="43" spans="1:8">
      <c r="D43" t="s">
        <v>1255</v>
      </c>
      <c r="F43" s="215" t="s">
        <v>1152</v>
      </c>
    </row>
    <row r="44" spans="1:8" ht="21" customHeight="1"/>
    <row r="45" spans="1:8">
      <c r="A45" s="56" t="s">
        <v>1468</v>
      </c>
      <c r="D45" t="s">
        <v>1240</v>
      </c>
      <c r="F45" s="214" t="s">
        <v>1381</v>
      </c>
    </row>
    <row r="46" spans="1:8" ht="19.5" customHeight="1"/>
    <row r="47" spans="1:8">
      <c r="A47" s="56" t="s">
        <v>1469</v>
      </c>
      <c r="D47" t="s">
        <v>1248</v>
      </c>
      <c r="F47" s="214" t="s">
        <v>1381</v>
      </c>
      <c r="H47" s="173"/>
    </row>
    <row r="48" spans="1:8">
      <c r="D48" t="s">
        <v>1241</v>
      </c>
      <c r="F48" s="219">
        <v>37622</v>
      </c>
      <c r="H48" s="131"/>
    </row>
    <row r="49" spans="1:6" ht="22.5" customHeight="1">
      <c r="F49" s="216"/>
    </row>
    <row r="50" spans="1:6" hidden="1">
      <c r="A50" s="56" t="s">
        <v>1471</v>
      </c>
      <c r="D50" s="213" t="s">
        <v>1252</v>
      </c>
      <c r="F50" s="216"/>
    </row>
    <row r="51" spans="1:6" hidden="1">
      <c r="F51" s="216"/>
    </row>
    <row r="52" spans="1:6" hidden="1">
      <c r="F52" s="216"/>
    </row>
    <row r="53" spans="1:6" hidden="1">
      <c r="A53" s="56" t="s">
        <v>1472</v>
      </c>
      <c r="D53" t="s">
        <v>1245</v>
      </c>
      <c r="F53" s="214" t="s">
        <v>1232</v>
      </c>
    </row>
    <row r="54" spans="1:6" hidden="1"/>
    <row r="55" spans="1:6" ht="12" hidden="1" customHeight="1">
      <c r="A55" s="56" t="s">
        <v>1473</v>
      </c>
      <c r="D55" t="s">
        <v>1474</v>
      </c>
      <c r="F55" s="216"/>
    </row>
    <row r="56" spans="1:6">
      <c r="A56" s="132" t="s">
        <v>0</v>
      </c>
      <c r="D56" t="s">
        <v>1246</v>
      </c>
      <c r="F56" s="214" t="s">
        <v>1247</v>
      </c>
    </row>
    <row r="57" spans="1:6">
      <c r="F57" s="216"/>
    </row>
    <row r="58" spans="1:6">
      <c r="A58" s="132" t="s">
        <v>1257</v>
      </c>
      <c r="D58" t="s">
        <v>1249</v>
      </c>
      <c r="F58" s="219">
        <f ca="1">NOW()</f>
        <v>36665.533480324077</v>
      </c>
    </row>
    <row r="59" spans="1:6">
      <c r="D59" t="s">
        <v>1256</v>
      </c>
      <c r="F59" s="215" t="s">
        <v>1382</v>
      </c>
    </row>
    <row r="61" spans="1:6">
      <c r="F61" s="216"/>
    </row>
    <row r="62" spans="1:6">
      <c r="F62" s="216"/>
    </row>
    <row r="63" spans="1:6">
      <c r="F63" s="216"/>
    </row>
  </sheetData>
  <mergeCells count="2">
    <mergeCell ref="A3:F3"/>
    <mergeCell ref="A1:F2"/>
  </mergeCells>
  <printOptions horizontalCentered="1"/>
  <pageMargins left="0.75" right="0.75" top="1" bottom="1" header="0.5" footer="0.5"/>
  <pageSetup scale="81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2:X67"/>
  <sheetViews>
    <sheetView zoomScale="75" zoomScaleNormal="75" workbookViewId="0">
      <selection activeCell="F37" sqref="F37:G37"/>
    </sheetView>
  </sheetViews>
  <sheetFormatPr defaultRowHeight="12.75"/>
  <cols>
    <col min="1" max="1" width="18.28515625" style="640" customWidth="1"/>
    <col min="2" max="2" width="10.28515625" customWidth="1"/>
    <col min="3" max="4" width="9.28515625" bestFit="1" customWidth="1"/>
    <col min="24" max="24" width="9.85546875" style="635" bestFit="1" customWidth="1"/>
  </cols>
  <sheetData>
    <row r="2" spans="1:24" ht="18">
      <c r="A2" s="722" t="str">
        <f>CONCATENATE('rotation(7EA)'!$X$7,"x",'GTDB(7EA)'!$B$5," GT Scheduled Maintenance  Cost")</f>
        <v>0xGE-Frame 7EA GT Scheduled Maintenance  Cost</v>
      </c>
      <c r="B2" s="374"/>
    </row>
    <row r="4" spans="1:24">
      <c r="A4" s="636" t="s">
        <v>1220</v>
      </c>
      <c r="B4" s="140"/>
      <c r="C4" s="140"/>
      <c r="D4" s="140">
        <v>1</v>
      </c>
      <c r="E4" s="140">
        <v>2</v>
      </c>
      <c r="F4" s="140">
        <v>3</v>
      </c>
      <c r="G4" s="140">
        <v>4</v>
      </c>
      <c r="H4" s="140">
        <v>5</v>
      </c>
      <c r="I4" s="140">
        <v>6</v>
      </c>
      <c r="J4" s="140">
        <v>7</v>
      </c>
      <c r="K4" s="140">
        <v>8</v>
      </c>
      <c r="L4" s="140">
        <v>9</v>
      </c>
      <c r="M4" s="140">
        <v>10</v>
      </c>
      <c r="N4" s="140">
        <v>11</v>
      </c>
      <c r="O4" s="140">
        <v>12</v>
      </c>
      <c r="P4" s="140">
        <v>13</v>
      </c>
      <c r="Q4" s="140">
        <v>14</v>
      </c>
      <c r="R4" s="140">
        <v>15</v>
      </c>
      <c r="S4" s="140">
        <v>16</v>
      </c>
      <c r="T4" s="140">
        <v>17</v>
      </c>
      <c r="U4" s="140">
        <v>18</v>
      </c>
      <c r="V4" s="140">
        <v>19</v>
      </c>
      <c r="W4" s="140">
        <v>20</v>
      </c>
      <c r="X4" s="635" t="s">
        <v>898</v>
      </c>
    </row>
    <row r="5" spans="1:24">
      <c r="A5" s="636" t="s">
        <v>1226</v>
      </c>
      <c r="B5" s="140"/>
      <c r="C5" s="140"/>
      <c r="D5" s="637" t="str">
        <f>CONCATENATE('rotation(7EA)'!C$12,'rotation(7EA)'!C$13,'rotation(7EA)'!C$14)</f>
        <v xml:space="preserve">   </v>
      </c>
      <c r="E5" s="637" t="str">
        <f>CONCATENATE('rotation(7EA)'!D$12,'rotation(7EA)'!D$13,'rotation(7EA)'!D$14)</f>
        <v xml:space="preserve">   </v>
      </c>
      <c r="F5" s="637" t="str">
        <f>CONCATENATE('rotation(7EA)'!E$12,'rotation(7EA)'!E$13,'rotation(7EA)'!E$14)</f>
        <v xml:space="preserve">   </v>
      </c>
      <c r="G5" s="637" t="str">
        <f>CONCATENATE('rotation(7EA)'!F$12,'rotation(7EA)'!F$13,'rotation(7EA)'!F$14)</f>
        <v xml:space="preserve">   </v>
      </c>
      <c r="H5" s="637" t="str">
        <f>CONCATENATE('rotation(7EA)'!G$12,'rotation(7EA)'!G$13,'rotation(7EA)'!G$14)</f>
        <v xml:space="preserve">   </v>
      </c>
      <c r="I5" s="637" t="str">
        <f>CONCATENATE('rotation(7EA)'!H$12,'rotation(7EA)'!H$13,'rotation(7EA)'!H$14)</f>
        <v xml:space="preserve">   </v>
      </c>
      <c r="J5" s="637" t="str">
        <f>CONCATENATE('rotation(7EA)'!I$12,'rotation(7EA)'!I$13,'rotation(7EA)'!I$14)</f>
        <v xml:space="preserve">   </v>
      </c>
      <c r="K5" s="637" t="str">
        <f>CONCATENATE('rotation(7EA)'!J$12,'rotation(7EA)'!J$13,'rotation(7EA)'!J$14)</f>
        <v xml:space="preserve">   </v>
      </c>
      <c r="L5" s="637" t="str">
        <f>CONCATENATE('rotation(7EA)'!K$12,'rotation(7EA)'!K$13,'rotation(7EA)'!K$14)</f>
        <v xml:space="preserve">   </v>
      </c>
      <c r="M5" s="637" t="str">
        <f>CONCATENATE('rotation(7EA)'!L$12,'rotation(7EA)'!L$13,'rotation(7EA)'!L$14)</f>
        <v xml:space="preserve">   </v>
      </c>
      <c r="N5" s="637" t="str">
        <f>CONCATENATE('rotation(7EA)'!M$12,'rotation(7EA)'!M$13,'rotation(7EA)'!M$14)</f>
        <v xml:space="preserve">   </v>
      </c>
      <c r="O5" s="637" t="str">
        <f>CONCATENATE('rotation(7EA)'!N$12,'rotation(7EA)'!N$13,'rotation(7EA)'!N$14)</f>
        <v xml:space="preserve">   </v>
      </c>
      <c r="P5" s="637" t="str">
        <f>CONCATENATE('rotation(7EA)'!O$12,'rotation(7EA)'!O$13,'rotation(7EA)'!O$14)</f>
        <v xml:space="preserve">   </v>
      </c>
      <c r="Q5" s="637" t="str">
        <f>CONCATENATE('rotation(7EA)'!P$12,'rotation(7EA)'!P$13,'rotation(7EA)'!P$14)</f>
        <v xml:space="preserve">   </v>
      </c>
      <c r="R5" s="637" t="str">
        <f>CONCATENATE('rotation(7EA)'!Q$12,'rotation(7EA)'!Q$13,'rotation(7EA)'!Q$14)</f>
        <v xml:space="preserve">   </v>
      </c>
      <c r="S5" s="637" t="str">
        <f>CONCATENATE('rotation(7EA)'!R$12,'rotation(7EA)'!R$13,'rotation(7EA)'!R$14)</f>
        <v xml:space="preserve">   </v>
      </c>
      <c r="T5" s="637" t="str">
        <f>CONCATENATE('rotation(7EA)'!S$12,'rotation(7EA)'!S$13,'rotation(7EA)'!S$14)</f>
        <v xml:space="preserve">   </v>
      </c>
      <c r="U5" s="637" t="str">
        <f>CONCATENATE('rotation(7EA)'!T$12,'rotation(7EA)'!T$13,'rotation(7EA)'!T$14)</f>
        <v xml:space="preserve">   </v>
      </c>
      <c r="V5" s="637" t="str">
        <f>CONCATENATE('rotation(7EA)'!U$12,'rotation(7EA)'!U$13,'rotation(7EA)'!U$14)</f>
        <v xml:space="preserve">   </v>
      </c>
      <c r="W5" s="637" t="str">
        <f>CONCATENATE('rotation(7EA)'!V$12,'rotation(7EA)'!V$13,'rotation(7EA)'!V$14)</f>
        <v xml:space="preserve">   </v>
      </c>
    </row>
    <row r="6" spans="1:24">
      <c r="A6" s="636" t="s">
        <v>1227</v>
      </c>
      <c r="B6" s="140"/>
      <c r="C6" s="140"/>
      <c r="D6" s="637" t="str">
        <f>IF('rotation(7EA)'!$X$7&lt;2," ",CONCATENATE('rotation(7EA)'!C$12,'rotation(7EA)'!C$13,'rotation(7EA)'!C$14))</f>
        <v xml:space="preserve"> </v>
      </c>
      <c r="E6" s="637" t="str">
        <f>IF('rotation(7EA)'!$X$7&lt;2," ",CONCATENATE('rotation(7EA)'!D$12,'rotation(7EA)'!D$13,'rotation(7EA)'!D$14))</f>
        <v xml:space="preserve"> </v>
      </c>
      <c r="F6" s="637" t="str">
        <f>IF('rotation(7EA)'!$X$7&lt;2," ",CONCATENATE('rotation(7EA)'!E$12,'rotation(7EA)'!E$13,'rotation(7EA)'!E$14))</f>
        <v xml:space="preserve"> </v>
      </c>
      <c r="G6" s="637" t="str">
        <f>IF('rotation(7EA)'!$X$7&lt;2," ",CONCATENATE('rotation(7EA)'!F$12,'rotation(7EA)'!F$13,'rotation(7EA)'!F$14))</f>
        <v xml:space="preserve"> </v>
      </c>
      <c r="H6" s="637" t="str">
        <f>IF('rotation(7EA)'!$X$7&lt;2," ",CONCATENATE('rotation(7EA)'!G$12,'rotation(7EA)'!G$13,'rotation(7EA)'!G$14))</f>
        <v xml:space="preserve"> </v>
      </c>
      <c r="I6" s="637" t="str">
        <f>IF('rotation(7EA)'!$X$7&lt;2," ",CONCATENATE('rotation(7EA)'!H$12,'rotation(7EA)'!H$13,'rotation(7EA)'!H$14))</f>
        <v xml:space="preserve"> </v>
      </c>
      <c r="J6" s="637" t="str">
        <f>IF('rotation(7EA)'!$X$7&lt;2," ",CONCATENATE('rotation(7EA)'!I$12,'rotation(7EA)'!I$13,'rotation(7EA)'!I$14))</f>
        <v xml:space="preserve"> </v>
      </c>
      <c r="K6" s="637" t="str">
        <f>IF('rotation(7EA)'!$X$7&lt;2," ",CONCATENATE('rotation(7EA)'!J$12,'rotation(7EA)'!J$13,'rotation(7EA)'!J$14))</f>
        <v xml:space="preserve"> </v>
      </c>
      <c r="L6" s="637" t="str">
        <f>IF('rotation(7EA)'!$X$7&lt;2," ",CONCATENATE('rotation(7EA)'!K$12,'rotation(7EA)'!K$13,'rotation(7EA)'!K$14))</f>
        <v xml:space="preserve"> </v>
      </c>
      <c r="M6" s="637" t="str">
        <f>IF('rotation(7EA)'!$X$7&lt;2," ",CONCATENATE('rotation(7EA)'!L$12,'rotation(7EA)'!L$13,'rotation(7EA)'!L$14))</f>
        <v xml:space="preserve"> </v>
      </c>
      <c r="N6" s="637" t="str">
        <f>IF('rotation(7EA)'!$X$7&lt;2," ",CONCATENATE('rotation(7EA)'!M$12,'rotation(7EA)'!M$13,'rotation(7EA)'!M$14))</f>
        <v xml:space="preserve"> </v>
      </c>
      <c r="O6" s="637" t="str">
        <f>IF('rotation(7EA)'!$X$7&lt;2," ",CONCATENATE('rotation(7EA)'!N$12,'rotation(7EA)'!N$13,'rotation(7EA)'!N$14))</f>
        <v xml:space="preserve"> </v>
      </c>
      <c r="P6" s="637" t="str">
        <f>IF('rotation(7EA)'!$X$7&lt;2," ",CONCATENATE('rotation(7EA)'!O$12,'rotation(7EA)'!O$13,'rotation(7EA)'!O$14))</f>
        <v xml:space="preserve"> </v>
      </c>
      <c r="Q6" s="637" t="str">
        <f>IF('rotation(7EA)'!$X$7&lt;2," ",CONCATENATE('rotation(7EA)'!P$12,'rotation(7EA)'!P$13,'rotation(7EA)'!P$14))</f>
        <v xml:space="preserve"> </v>
      </c>
      <c r="R6" s="637" t="str">
        <f>IF('rotation(7EA)'!$X$7&lt;2," ",CONCATENATE('rotation(7EA)'!Q$12,'rotation(7EA)'!Q$13,'rotation(7EA)'!Q$14))</f>
        <v xml:space="preserve"> </v>
      </c>
      <c r="S6" s="637" t="str">
        <f>IF('rotation(7EA)'!$X$7&lt;2," ",CONCATENATE('rotation(7EA)'!R$12,'rotation(7EA)'!R$13,'rotation(7EA)'!R$14))</f>
        <v xml:space="preserve"> </v>
      </c>
      <c r="T6" s="637" t="str">
        <f>IF('rotation(7EA)'!$X$7&lt;2," ",CONCATENATE('rotation(7EA)'!S$12,'rotation(7EA)'!S$13,'rotation(7EA)'!S$14))</f>
        <v xml:space="preserve"> </v>
      </c>
      <c r="U6" s="637" t="str">
        <f>IF('rotation(7EA)'!$X$7&lt;2," ",CONCATENATE('rotation(7EA)'!T$12,'rotation(7EA)'!T$13,'rotation(7EA)'!T$14))</f>
        <v xml:space="preserve"> </v>
      </c>
      <c r="V6" s="637" t="str">
        <f>IF('rotation(7EA)'!$X$7&lt;2," ",CONCATENATE('rotation(7EA)'!U$12,'rotation(7EA)'!U$13,'rotation(7EA)'!U$14))</f>
        <v xml:space="preserve"> </v>
      </c>
      <c r="W6" s="637" t="str">
        <f>IF('rotation(7EA)'!$X$7&lt;2," ",CONCATENATE('rotation(7EA)'!V$12,'rotation(7EA)'!V$13,'rotation(7EA)'!V$14))</f>
        <v xml:space="preserve"> </v>
      </c>
    </row>
    <row r="7" spans="1:24">
      <c r="A7" s="636" t="s">
        <v>1228</v>
      </c>
      <c r="B7" s="140"/>
      <c r="C7" s="140"/>
      <c r="D7" s="637" t="str">
        <f>IF('rotation(7EA)'!$X$7&lt;3," ",CONCATENATE('rotation(7EA)'!C$12,'rotation(7EA)'!C$13,'rotation(7EA)'!C$14))</f>
        <v xml:space="preserve"> </v>
      </c>
      <c r="E7" s="637" t="str">
        <f>IF('rotation(7EA)'!$X$7&lt;3," ",CONCATENATE('rotation(7EA)'!D$12,'rotation(7EA)'!D$13,'rotation(7EA)'!D$14))</f>
        <v xml:space="preserve"> </v>
      </c>
      <c r="F7" s="637" t="str">
        <f>IF('rotation(7EA)'!$X$7&lt;3," ",CONCATENATE('rotation(7EA)'!E$12,'rotation(7EA)'!E$13,'rotation(7EA)'!E$14))</f>
        <v xml:space="preserve"> </v>
      </c>
      <c r="G7" s="637" t="str">
        <f>IF('rotation(7EA)'!$X$7&lt;3," ",CONCATENATE('rotation(7EA)'!F$12,'rotation(7EA)'!F$13,'rotation(7EA)'!F$14))</f>
        <v xml:space="preserve"> </v>
      </c>
      <c r="H7" s="637" t="str">
        <f>IF('rotation(7EA)'!$X$7&lt;3," ",CONCATENATE('rotation(7EA)'!G$12,'rotation(7EA)'!G$13,'rotation(7EA)'!G$14))</f>
        <v xml:space="preserve"> </v>
      </c>
      <c r="I7" s="637" t="str">
        <f>IF('rotation(7EA)'!$X$7&lt;3," ",CONCATENATE('rotation(7EA)'!H$12,'rotation(7EA)'!H$13,'rotation(7EA)'!H$14))</f>
        <v xml:space="preserve"> </v>
      </c>
      <c r="J7" s="637" t="str">
        <f>IF('rotation(7EA)'!$X$7&lt;3," ",CONCATENATE('rotation(7EA)'!I$12,'rotation(7EA)'!I$13,'rotation(7EA)'!I$14))</f>
        <v xml:space="preserve"> </v>
      </c>
      <c r="K7" s="637" t="str">
        <f>IF('rotation(7EA)'!$X$7&lt;3," ",CONCATENATE('rotation(7EA)'!J$12,'rotation(7EA)'!J$13,'rotation(7EA)'!J$14))</f>
        <v xml:space="preserve"> </v>
      </c>
      <c r="L7" s="637" t="str">
        <f>IF('rotation(7EA)'!$X$7&lt;3," ",CONCATENATE('rotation(7EA)'!K$12,'rotation(7EA)'!K$13,'rotation(7EA)'!K$14))</f>
        <v xml:space="preserve"> </v>
      </c>
      <c r="M7" s="637" t="str">
        <f>IF('rotation(7EA)'!$X$7&lt;3," ",CONCATENATE('rotation(7EA)'!L$12,'rotation(7EA)'!L$13,'rotation(7EA)'!L$14))</f>
        <v xml:space="preserve"> </v>
      </c>
      <c r="N7" s="637" t="str">
        <f>IF('rotation(7EA)'!$X$7&lt;3," ",CONCATENATE('rotation(7EA)'!M$12,'rotation(7EA)'!M$13,'rotation(7EA)'!M$14))</f>
        <v xml:space="preserve"> </v>
      </c>
      <c r="O7" s="637" t="str">
        <f>IF('rotation(7EA)'!$X$7&lt;3," ",CONCATENATE('rotation(7EA)'!N$12,'rotation(7EA)'!N$13,'rotation(7EA)'!N$14))</f>
        <v xml:space="preserve"> </v>
      </c>
      <c r="P7" s="637" t="str">
        <f>IF('rotation(7EA)'!$X$7&lt;3," ",CONCATENATE('rotation(7EA)'!O$12,'rotation(7EA)'!O$13,'rotation(7EA)'!O$14))</f>
        <v xml:space="preserve"> </v>
      </c>
      <c r="Q7" s="637" t="str">
        <f>IF('rotation(7EA)'!$X$7&lt;3," ",CONCATENATE('rotation(7EA)'!P$12,'rotation(7EA)'!P$13,'rotation(7EA)'!P$14))</f>
        <v xml:space="preserve"> </v>
      </c>
      <c r="R7" s="637" t="str">
        <f>IF('rotation(7EA)'!$X$7&lt;3," ",CONCATENATE('rotation(7EA)'!Q$12,'rotation(7EA)'!Q$13,'rotation(7EA)'!Q$14))</f>
        <v xml:space="preserve"> </v>
      </c>
      <c r="S7" s="637" t="str">
        <f>IF('rotation(7EA)'!$X$7&lt;3," ",CONCATENATE('rotation(7EA)'!R$12,'rotation(7EA)'!R$13,'rotation(7EA)'!R$14))</f>
        <v xml:space="preserve"> </v>
      </c>
      <c r="T7" s="637" t="str">
        <f>IF('rotation(7EA)'!$X$7&lt;3," ",CONCATENATE('rotation(7EA)'!S$12,'rotation(7EA)'!S$13,'rotation(7EA)'!S$14))</f>
        <v xml:space="preserve"> </v>
      </c>
      <c r="U7" s="637" t="str">
        <f>IF('rotation(7EA)'!$X$7&lt;3," ",CONCATENATE('rotation(7EA)'!T$12,'rotation(7EA)'!T$13,'rotation(7EA)'!T$14))</f>
        <v xml:space="preserve"> </v>
      </c>
      <c r="V7" s="637" t="str">
        <f>IF('rotation(7EA)'!$X$7&lt;3," ",CONCATENATE('rotation(7EA)'!U$12,'rotation(7EA)'!U$13,'rotation(7EA)'!U$14))</f>
        <v xml:space="preserve"> </v>
      </c>
      <c r="W7" s="637" t="str">
        <f>IF('rotation(7EA)'!$X$7&lt;3," ",CONCATENATE('rotation(7EA)'!V$12,'rotation(7EA)'!V$13,'rotation(7EA)'!V$14))</f>
        <v xml:space="preserve"> </v>
      </c>
    </row>
    <row r="8" spans="1:24">
      <c r="A8" s="636" t="s">
        <v>899</v>
      </c>
      <c r="B8" s="140"/>
      <c r="C8" s="140"/>
      <c r="D8" s="637" t="str">
        <f>IF('rotation(7EA)'!$X$7&lt;4," ",CONCATENATE('rotation(7EA)'!C$12,'rotation(7EA)'!C$13,'rotation(7EA)'!C$14))</f>
        <v xml:space="preserve"> </v>
      </c>
      <c r="E8" s="637" t="str">
        <f>IF('rotation(7EA)'!$X$7&lt;4," ",CONCATENATE('rotation(7EA)'!D$12,'rotation(7EA)'!D$13,'rotation(7EA)'!D$14))</f>
        <v xml:space="preserve"> </v>
      </c>
      <c r="F8" s="637" t="str">
        <f>IF('rotation(7EA)'!$X$7&lt;4," ",CONCATENATE('rotation(7EA)'!E$12,'rotation(7EA)'!E$13,'rotation(7EA)'!E$14))</f>
        <v xml:space="preserve"> </v>
      </c>
      <c r="G8" s="637" t="str">
        <f>IF('rotation(7EA)'!$X$7&lt;4," ",CONCATENATE('rotation(7EA)'!F$12,'rotation(7EA)'!F$13,'rotation(7EA)'!F$14))</f>
        <v xml:space="preserve"> </v>
      </c>
      <c r="H8" s="637" t="str">
        <f>IF('rotation(7EA)'!$X$7&lt;4," ",CONCATENATE('rotation(7EA)'!G$12,'rotation(7EA)'!G$13,'rotation(7EA)'!G$14))</f>
        <v xml:space="preserve"> </v>
      </c>
      <c r="I8" s="637" t="str">
        <f>IF('rotation(7EA)'!$X$7&lt;4," ",CONCATENATE('rotation(7EA)'!H$12,'rotation(7EA)'!H$13,'rotation(7EA)'!H$14))</f>
        <v xml:space="preserve"> </v>
      </c>
      <c r="J8" s="637" t="str">
        <f>IF('rotation(7EA)'!$X$7&lt;4," ",CONCATENATE('rotation(7EA)'!I$12,'rotation(7EA)'!I$13,'rotation(7EA)'!I$14))</f>
        <v xml:space="preserve"> </v>
      </c>
      <c r="K8" s="637" t="str">
        <f>IF('rotation(7EA)'!$X$7&lt;4," ",CONCATENATE('rotation(7EA)'!J$12,'rotation(7EA)'!J$13,'rotation(7EA)'!J$14))</f>
        <v xml:space="preserve"> </v>
      </c>
      <c r="L8" s="637" t="str">
        <f>IF('rotation(7EA)'!$X$7&lt;4," ",CONCATENATE('rotation(7EA)'!K$12,'rotation(7EA)'!K$13,'rotation(7EA)'!K$14))</f>
        <v xml:space="preserve"> </v>
      </c>
      <c r="M8" s="637" t="str">
        <f>IF('rotation(7EA)'!$X$7&lt;4," ",CONCATENATE('rotation(7EA)'!L$12,'rotation(7EA)'!L$13,'rotation(7EA)'!L$14))</f>
        <v xml:space="preserve"> </v>
      </c>
      <c r="N8" s="637" t="str">
        <f>IF('rotation(7EA)'!$X$7&lt;4," ",CONCATENATE('rotation(7EA)'!M$12,'rotation(7EA)'!M$13,'rotation(7EA)'!M$14))</f>
        <v xml:space="preserve"> </v>
      </c>
      <c r="O8" s="637" t="str">
        <f>IF('rotation(7EA)'!$X$7&lt;4," ",CONCATENATE('rotation(7EA)'!N$12,'rotation(7EA)'!N$13,'rotation(7EA)'!N$14))</f>
        <v xml:space="preserve"> </v>
      </c>
      <c r="P8" s="637" t="str">
        <f>IF('rotation(7EA)'!$X$7&lt;4," ",CONCATENATE('rotation(7EA)'!O$12,'rotation(7EA)'!O$13,'rotation(7EA)'!O$14))</f>
        <v xml:space="preserve"> </v>
      </c>
      <c r="Q8" s="637" t="str">
        <f>IF('rotation(7EA)'!$X$7&lt;4," ",CONCATENATE('rotation(7EA)'!P$12,'rotation(7EA)'!P$13,'rotation(7EA)'!P$14))</f>
        <v xml:space="preserve"> </v>
      </c>
      <c r="R8" s="637" t="str">
        <f>IF('rotation(7EA)'!$X$7&lt;4," ",CONCATENATE('rotation(7EA)'!Q$12,'rotation(7EA)'!Q$13,'rotation(7EA)'!Q$14))</f>
        <v xml:space="preserve"> </v>
      </c>
      <c r="S8" s="637" t="str">
        <f>IF('rotation(7EA)'!$X$7&lt;4," ",CONCATENATE('rotation(7EA)'!R$12,'rotation(7EA)'!R$13,'rotation(7EA)'!R$14))</f>
        <v xml:space="preserve"> </v>
      </c>
      <c r="T8" s="637" t="str">
        <f>IF('rotation(7EA)'!$X$7&lt;4," ",CONCATENATE('rotation(7EA)'!S$12,'rotation(7EA)'!S$13,'rotation(7EA)'!S$14))</f>
        <v xml:space="preserve"> </v>
      </c>
      <c r="U8" s="637" t="str">
        <f>IF('rotation(7EA)'!$X$7&lt;4," ",CONCATENATE('rotation(7EA)'!T$12,'rotation(7EA)'!T$13,'rotation(7EA)'!T$14))</f>
        <v xml:space="preserve"> </v>
      </c>
      <c r="V8" s="637" t="str">
        <f>IF('rotation(7EA)'!$X$7&lt;4," ",CONCATENATE('rotation(7EA)'!U$12,'rotation(7EA)'!U$13,'rotation(7EA)'!U$14))</f>
        <v xml:space="preserve"> </v>
      </c>
      <c r="W8" s="637" t="str">
        <f>IF('rotation(7EA)'!$X$7&lt;4," ",CONCATENATE('rotation(7EA)'!V$12,'rotation(7EA)'!V$13,'rotation(7EA)'!V$14))</f>
        <v xml:space="preserve"> </v>
      </c>
    </row>
    <row r="10" spans="1:24" s="635" customFormat="1">
      <c r="A10" s="636" t="s">
        <v>900</v>
      </c>
      <c r="B10" s="638"/>
      <c r="C10" s="638"/>
      <c r="D10" s="717">
        <f>'rotation(7EA)'!C8*'GTDB(7EA)'!$C12+'rotation(7EA)'!C9*'GTDB(7EA)'!$C13+'rotation(7EA)'!C10*'GTDB(7EA)'!$C14</f>
        <v>0</v>
      </c>
      <c r="E10" s="717">
        <f>'rotation(7EA)'!D8*'GTDB(7EA)'!$C12+'rotation(7EA)'!D9*'GTDB(7EA)'!$C13+'rotation(7EA)'!D10*'GTDB(7EA)'!$C14</f>
        <v>0</v>
      </c>
      <c r="F10" s="717">
        <f>'rotation(7EA)'!E8*'GTDB(7EA)'!$C12+'rotation(7EA)'!E9*'GTDB(7EA)'!$C13+'rotation(7EA)'!E10*'GTDB(7EA)'!$C14</f>
        <v>0</v>
      </c>
      <c r="G10" s="717">
        <f>'rotation(7EA)'!F8*'GTDB(7EA)'!$C12+'rotation(7EA)'!F9*'GTDB(7EA)'!$C13+'rotation(7EA)'!F10*'GTDB(7EA)'!$C14</f>
        <v>0</v>
      </c>
      <c r="H10" s="717">
        <f>'rotation(7EA)'!G8*'GTDB(7EA)'!$C12+'rotation(7EA)'!G9*'GTDB(7EA)'!$C13+'rotation(7EA)'!G10*'GTDB(7EA)'!$C14</f>
        <v>0</v>
      </c>
      <c r="I10" s="717">
        <f>'rotation(7EA)'!H8*'GTDB(7EA)'!$C12+'rotation(7EA)'!H9*'GTDB(7EA)'!$C13+'rotation(7EA)'!H10*'GTDB(7EA)'!$C14</f>
        <v>0</v>
      </c>
      <c r="J10" s="717">
        <f>'rotation(7EA)'!I8*'GTDB(7EA)'!$C12+'rotation(7EA)'!I9*'GTDB(7EA)'!$C13+'rotation(7EA)'!I10*'GTDB(7EA)'!$C14</f>
        <v>0</v>
      </c>
      <c r="K10" s="717">
        <f>'rotation(7EA)'!J8*'GTDB(7EA)'!$C12+'rotation(7EA)'!J9*'GTDB(7EA)'!$C13+'rotation(7EA)'!J10*'GTDB(7EA)'!$C14</f>
        <v>0</v>
      </c>
      <c r="L10" s="717">
        <f>'rotation(7EA)'!K8*'GTDB(7EA)'!$C12+'rotation(7EA)'!K9*'GTDB(7EA)'!$C13+'rotation(7EA)'!K10*'GTDB(7EA)'!$C14</f>
        <v>0</v>
      </c>
      <c r="M10" s="717">
        <f>'rotation(7EA)'!L8*'GTDB(7EA)'!$C12+'rotation(7EA)'!L9*'GTDB(7EA)'!$C13+'rotation(7EA)'!L10*'GTDB(7EA)'!$C14</f>
        <v>0</v>
      </c>
      <c r="N10" s="717">
        <f>'rotation(7EA)'!M8*'GTDB(7EA)'!$C12+'rotation(7EA)'!M9*'GTDB(7EA)'!$C13+'rotation(7EA)'!M10*'GTDB(7EA)'!$C14</f>
        <v>0</v>
      </c>
      <c r="O10" s="717">
        <f>'rotation(7EA)'!N8*'GTDB(7EA)'!$C12+'rotation(7EA)'!N9*'GTDB(7EA)'!$C13+'rotation(7EA)'!N10*'GTDB(7EA)'!$C14</f>
        <v>0</v>
      </c>
      <c r="P10" s="717">
        <f>'rotation(7EA)'!O8*'GTDB(7EA)'!$C12+'rotation(7EA)'!O9*'GTDB(7EA)'!$C13+'rotation(7EA)'!O10*'GTDB(7EA)'!$C14</f>
        <v>0</v>
      </c>
      <c r="Q10" s="717">
        <f>'rotation(7EA)'!P8*'GTDB(7EA)'!$C12+'rotation(7EA)'!P9*'GTDB(7EA)'!$C13+'rotation(7EA)'!P10*'GTDB(7EA)'!$C14</f>
        <v>0</v>
      </c>
      <c r="R10" s="717">
        <f>'rotation(7EA)'!Q8*'GTDB(7EA)'!$C12+'rotation(7EA)'!Q9*'GTDB(7EA)'!$C13+'rotation(7EA)'!Q10*'GTDB(7EA)'!$C14</f>
        <v>0</v>
      </c>
      <c r="S10" s="717">
        <f>'rotation(7EA)'!R8*'GTDB(7EA)'!$C12+'rotation(7EA)'!R9*'GTDB(7EA)'!$C13+'rotation(7EA)'!R10*'GTDB(7EA)'!$C14</f>
        <v>0</v>
      </c>
      <c r="T10" s="717">
        <f>'rotation(7EA)'!S8*'GTDB(7EA)'!$C12+'rotation(7EA)'!S9*'GTDB(7EA)'!$C13+'rotation(7EA)'!S10*'GTDB(7EA)'!$C14</f>
        <v>0</v>
      </c>
      <c r="U10" s="717">
        <f>'rotation(7EA)'!T8*'GTDB(7EA)'!$C12+'rotation(7EA)'!T9*'GTDB(7EA)'!$C13+'rotation(7EA)'!T10*'GTDB(7EA)'!$C14</f>
        <v>0</v>
      </c>
      <c r="V10" s="717">
        <f>'rotation(7EA)'!U8*'GTDB(7EA)'!$C12+'rotation(7EA)'!U9*'GTDB(7EA)'!$C13+'rotation(7EA)'!U10*'GTDB(7EA)'!$C14</f>
        <v>0</v>
      </c>
      <c r="W10" s="717">
        <f>'rotation(7EA)'!V8*'GTDB(7EA)'!$C12+'rotation(7EA)'!V9*'GTDB(7EA)'!$C13+'rotation(7EA)'!V10*'GTDB(7EA)'!$C14</f>
        <v>0</v>
      </c>
      <c r="X10" s="639">
        <f>SUM(D10:W10)</f>
        <v>0</v>
      </c>
    </row>
    <row r="12" spans="1:24">
      <c r="A12" s="640" t="s">
        <v>1222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</row>
    <row r="13" spans="1:24">
      <c r="A13" s="636" t="s">
        <v>901</v>
      </c>
      <c r="B13" s="140" t="s">
        <v>902</v>
      </c>
      <c r="C13" s="140" t="s">
        <v>903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</row>
    <row r="14" spans="1:24" s="21" customFormat="1">
      <c r="A14" s="641" t="str">
        <f>'GTDB(7EA)'!A17</f>
        <v>Combustion Liners</v>
      </c>
      <c r="B14" s="641">
        <f>'GTDB(7EA)'!E17</f>
        <v>1058.9000000000001</v>
      </c>
      <c r="C14" s="641" t="str">
        <f>IF('rotation(7EA)'!AA17=0," ",B14*'rotation(7EA)'!AA17)</f>
        <v xml:space="preserve"> </v>
      </c>
      <c r="D14" s="642" t="str">
        <f>IF('rotation(7EA)'!C18=0," ",$B14*'rotation(7EA)'!C18)</f>
        <v xml:space="preserve"> </v>
      </c>
      <c r="E14" s="642" t="str">
        <f>IF('rotation(7EA)'!D18=0," ",$B14*'rotation(7EA)'!D18)</f>
        <v xml:space="preserve"> </v>
      </c>
      <c r="F14" s="642" t="str">
        <f>IF('rotation(7EA)'!E18=0," ",$B14*'rotation(7EA)'!E18)</f>
        <v xml:space="preserve"> </v>
      </c>
      <c r="G14" s="642" t="str">
        <f>IF('rotation(7EA)'!F18=0," ",$B14*'rotation(7EA)'!F18)</f>
        <v xml:space="preserve"> </v>
      </c>
      <c r="H14" s="642" t="str">
        <f>IF('rotation(7EA)'!G18=0," ",$B14*'rotation(7EA)'!G18)</f>
        <v xml:space="preserve"> </v>
      </c>
      <c r="I14" s="642" t="str">
        <f>IF('rotation(7EA)'!H18=0," ",$B14*'rotation(7EA)'!H18)</f>
        <v xml:space="preserve"> </v>
      </c>
      <c r="J14" s="642" t="str">
        <f>IF('rotation(7EA)'!I18=0," ",$B14*'rotation(7EA)'!I18)</f>
        <v xml:space="preserve"> </v>
      </c>
      <c r="K14" s="642" t="str">
        <f>IF('rotation(7EA)'!J18=0," ",$B14*'rotation(7EA)'!J18)</f>
        <v xml:space="preserve"> </v>
      </c>
      <c r="L14" s="642" t="str">
        <f>IF('rotation(7EA)'!K18=0," ",$B14*'rotation(7EA)'!K18)</f>
        <v xml:space="preserve"> </v>
      </c>
      <c r="M14" s="642" t="str">
        <f>IF('rotation(7EA)'!L18=0," ",$B14*'rotation(7EA)'!L18)</f>
        <v xml:space="preserve"> </v>
      </c>
      <c r="N14" s="642" t="str">
        <f>IF('rotation(7EA)'!M18=0," ",$B14*'rotation(7EA)'!M18)</f>
        <v xml:space="preserve"> </v>
      </c>
      <c r="O14" s="642" t="str">
        <f>IF('rotation(7EA)'!N18=0," ",$B14*'rotation(7EA)'!N18)</f>
        <v xml:space="preserve"> </v>
      </c>
      <c r="P14" s="642" t="str">
        <f>IF('rotation(7EA)'!O18=0," ",$B14*'rotation(7EA)'!O18)</f>
        <v xml:space="preserve"> </v>
      </c>
      <c r="Q14" s="642" t="str">
        <f>IF('rotation(7EA)'!P18=0," ",$B14*'rotation(7EA)'!P18)</f>
        <v xml:space="preserve"> </v>
      </c>
      <c r="R14" s="642" t="str">
        <f>IF('rotation(7EA)'!Q18=0," ",$B14*'rotation(7EA)'!Q18)</f>
        <v xml:space="preserve"> </v>
      </c>
      <c r="S14" s="642" t="str">
        <f>IF('rotation(7EA)'!R18=0," ",$B14*'rotation(7EA)'!R18)</f>
        <v xml:space="preserve"> </v>
      </c>
      <c r="T14" s="642" t="str">
        <f>IF('rotation(7EA)'!S18=0," ",$B14*'rotation(7EA)'!S18)</f>
        <v xml:space="preserve"> </v>
      </c>
      <c r="U14" s="642" t="str">
        <f>IF('rotation(7EA)'!T18=0," ",$B14*'rotation(7EA)'!T18)</f>
        <v xml:space="preserve"> </v>
      </c>
      <c r="V14" s="642" t="str">
        <f>IF('rotation(7EA)'!U18=0," ",$B14*'rotation(7EA)'!U18)</f>
        <v xml:space="preserve"> </v>
      </c>
      <c r="W14" s="642" t="str">
        <f>IF('rotation(7EA)'!V18=0," ",$B14*'rotation(7EA)'!V18)</f>
        <v xml:space="preserve"> </v>
      </c>
      <c r="X14" s="21">
        <f t="shared" ref="X14:X32" si="0">SUM(D14:W14)</f>
        <v>0</v>
      </c>
    </row>
    <row r="15" spans="1:24" s="21" customFormat="1">
      <c r="A15" s="641" t="str">
        <f>'GTDB(7EA)'!A18</f>
        <v>Transition Pieces</v>
      </c>
      <c r="B15" s="641">
        <f>'GTDB(7EA)'!E18</f>
        <v>463.06400000000002</v>
      </c>
      <c r="C15" s="641" t="str">
        <f>IF('rotation(7EA)'!AA21=0," ",B15*'rotation(7EA)'!AA21)</f>
        <v xml:space="preserve"> </v>
      </c>
      <c r="D15" s="642" t="str">
        <f>IF('rotation(7EA)'!C22=0," ",$B15*'rotation(7EA)'!C22)</f>
        <v xml:space="preserve"> </v>
      </c>
      <c r="E15" s="642" t="str">
        <f>IF('rotation(7EA)'!D22=0," ",$B15*'rotation(7EA)'!D22)</f>
        <v xml:space="preserve"> </v>
      </c>
      <c r="F15" s="642" t="str">
        <f>IF('rotation(7EA)'!E22=0," ",$B15*'rotation(7EA)'!E22)</f>
        <v xml:space="preserve"> </v>
      </c>
      <c r="G15" s="642" t="str">
        <f>IF('rotation(7EA)'!F22=0," ",$B15*'rotation(7EA)'!F22)</f>
        <v xml:space="preserve"> </v>
      </c>
      <c r="H15" s="642" t="str">
        <f>IF('rotation(7EA)'!G22=0," ",$B15*'rotation(7EA)'!G22)</f>
        <v xml:space="preserve"> </v>
      </c>
      <c r="I15" s="642" t="str">
        <f>IF('rotation(7EA)'!H22=0," ",$B15*'rotation(7EA)'!H22)</f>
        <v xml:space="preserve"> </v>
      </c>
      <c r="J15" s="642" t="str">
        <f>IF('rotation(7EA)'!I22=0," ",$B15*'rotation(7EA)'!I22)</f>
        <v xml:space="preserve"> </v>
      </c>
      <c r="K15" s="642" t="str">
        <f>IF('rotation(7EA)'!J22=0," ",$B15*'rotation(7EA)'!J22)</f>
        <v xml:space="preserve"> </v>
      </c>
      <c r="L15" s="642" t="str">
        <f>IF('rotation(7EA)'!K22=0," ",$B15*'rotation(7EA)'!K22)</f>
        <v xml:space="preserve"> </v>
      </c>
      <c r="M15" s="642" t="str">
        <f>IF('rotation(7EA)'!L22=0," ",$B15*'rotation(7EA)'!L22)</f>
        <v xml:space="preserve"> </v>
      </c>
      <c r="N15" s="642" t="str">
        <f>IF('rotation(7EA)'!M22=0," ",$B15*'rotation(7EA)'!M22)</f>
        <v xml:space="preserve"> </v>
      </c>
      <c r="O15" s="642" t="str">
        <f>IF('rotation(7EA)'!N22=0," ",$B15*'rotation(7EA)'!N22)</f>
        <v xml:space="preserve"> </v>
      </c>
      <c r="P15" s="642" t="str">
        <f>IF('rotation(7EA)'!O22=0," ",$B15*'rotation(7EA)'!O22)</f>
        <v xml:space="preserve"> </v>
      </c>
      <c r="Q15" s="642" t="str">
        <f>IF('rotation(7EA)'!P22=0," ",$B15*'rotation(7EA)'!P22)</f>
        <v xml:space="preserve"> </v>
      </c>
      <c r="R15" s="642" t="str">
        <f>IF('rotation(7EA)'!Q22=0," ",$B15*'rotation(7EA)'!Q22)</f>
        <v xml:space="preserve"> </v>
      </c>
      <c r="S15" s="642" t="str">
        <f>IF('rotation(7EA)'!R22=0," ",$B15*'rotation(7EA)'!R22)</f>
        <v xml:space="preserve"> </v>
      </c>
      <c r="T15" s="642" t="str">
        <f>IF('rotation(7EA)'!S22=0," ",$B15*'rotation(7EA)'!S22)</f>
        <v xml:space="preserve"> </v>
      </c>
      <c r="U15" s="642" t="str">
        <f>IF('rotation(7EA)'!T22=0," ",$B15*'rotation(7EA)'!T22)</f>
        <v xml:space="preserve"> </v>
      </c>
      <c r="V15" s="642" t="str">
        <f>IF('rotation(7EA)'!U22=0," ",$B15*'rotation(7EA)'!U22)</f>
        <v xml:space="preserve"> </v>
      </c>
      <c r="W15" s="642" t="str">
        <f>IF('rotation(7EA)'!V22=0," ",$B15*'rotation(7EA)'!V22)</f>
        <v xml:space="preserve"> </v>
      </c>
      <c r="X15" s="21">
        <f t="shared" si="0"/>
        <v>0</v>
      </c>
    </row>
    <row r="16" spans="1:24" s="21" customFormat="1">
      <c r="A16" s="641" t="str">
        <f>'GTDB(7EA)'!A19</f>
        <v>Fuel Nozzles</v>
      </c>
      <c r="B16" s="641">
        <f>'GTDB(7EA)'!E19</f>
        <v>489.47</v>
      </c>
      <c r="C16" s="641" t="str">
        <f>IF('rotation(7EA)'!AA29=0," ",B16*'rotation(7EA)'!AA29)</f>
        <v xml:space="preserve"> </v>
      </c>
      <c r="D16" s="642" t="str">
        <f>IF('rotation(7EA)'!C30=0," ",$B16*'rotation(7EA)'!C30)</f>
        <v xml:space="preserve"> </v>
      </c>
      <c r="E16" s="642" t="str">
        <f>IF('rotation(7EA)'!D30=0," ",$B16*'rotation(7EA)'!D30)</f>
        <v xml:space="preserve"> </v>
      </c>
      <c r="F16" s="642" t="str">
        <f>IF('rotation(7EA)'!E30=0," ",$B16*'rotation(7EA)'!E30)</f>
        <v xml:space="preserve"> </v>
      </c>
      <c r="G16" s="642" t="str">
        <f>IF('rotation(7EA)'!F30=0," ",$B16*'rotation(7EA)'!F30)</f>
        <v xml:space="preserve"> </v>
      </c>
      <c r="H16" s="642" t="str">
        <f>IF('rotation(7EA)'!G30=0," ",$B16*'rotation(7EA)'!G30)</f>
        <v xml:space="preserve"> </v>
      </c>
      <c r="I16" s="642" t="str">
        <f>IF('rotation(7EA)'!H30=0," ",$B16*'rotation(7EA)'!H30)</f>
        <v xml:space="preserve"> </v>
      </c>
      <c r="J16" s="642" t="str">
        <f>IF('rotation(7EA)'!I30=0," ",$B16*'rotation(7EA)'!I30)</f>
        <v xml:space="preserve"> </v>
      </c>
      <c r="K16" s="642" t="str">
        <f>IF('rotation(7EA)'!J30=0," ",$B16*'rotation(7EA)'!J30)</f>
        <v xml:space="preserve"> </v>
      </c>
      <c r="L16" s="642" t="str">
        <f>IF('rotation(7EA)'!K30=0," ",$B16*'rotation(7EA)'!K30)</f>
        <v xml:space="preserve"> </v>
      </c>
      <c r="M16" s="642" t="str">
        <f>IF('rotation(7EA)'!L30=0," ",$B16*'rotation(7EA)'!L30)</f>
        <v xml:space="preserve"> </v>
      </c>
      <c r="N16" s="642" t="str">
        <f>IF('rotation(7EA)'!M30=0," ",$B16*'rotation(7EA)'!M30)</f>
        <v xml:space="preserve"> </v>
      </c>
      <c r="O16" s="642" t="str">
        <f>IF('rotation(7EA)'!N30=0," ",$B16*'rotation(7EA)'!N30)</f>
        <v xml:space="preserve"> </v>
      </c>
      <c r="P16" s="642" t="str">
        <f>IF('rotation(7EA)'!O30=0," ",$B16*'rotation(7EA)'!O30)</f>
        <v xml:space="preserve"> </v>
      </c>
      <c r="Q16" s="642" t="str">
        <f>IF('rotation(7EA)'!P30=0," ",$B16*'rotation(7EA)'!P30)</f>
        <v xml:space="preserve"> </v>
      </c>
      <c r="R16" s="642" t="str">
        <f>IF('rotation(7EA)'!Q30=0," ",$B16*'rotation(7EA)'!Q30)</f>
        <v xml:space="preserve"> </v>
      </c>
      <c r="S16" s="642" t="str">
        <f>IF('rotation(7EA)'!R30=0," ",$B16*'rotation(7EA)'!R30)</f>
        <v xml:space="preserve"> </v>
      </c>
      <c r="T16" s="642" t="str">
        <f>IF('rotation(7EA)'!S30=0," ",$B16*'rotation(7EA)'!S30)</f>
        <v xml:space="preserve"> </v>
      </c>
      <c r="U16" s="642" t="str">
        <f>IF('rotation(7EA)'!T30=0," ",$B16*'rotation(7EA)'!T30)</f>
        <v xml:space="preserve"> </v>
      </c>
      <c r="V16" s="642" t="str">
        <f>IF('rotation(7EA)'!U30=0," ",$B16*'rotation(7EA)'!U30)</f>
        <v xml:space="preserve"> </v>
      </c>
      <c r="W16" s="642" t="str">
        <f>IF('rotation(7EA)'!V30=0," ",$B16*'rotation(7EA)'!V30)</f>
        <v xml:space="preserve"> </v>
      </c>
      <c r="X16" s="21">
        <f t="shared" si="0"/>
        <v>0</v>
      </c>
    </row>
    <row r="17" spans="1:24" s="21" customFormat="1">
      <c r="A17" s="641" t="str">
        <f>'GTDB(7EA)'!A20</f>
        <v>Stage 1 Nozzles</v>
      </c>
      <c r="B17" s="641">
        <f>'GTDB(7EA)'!E20</f>
        <v>899.48800000000006</v>
      </c>
      <c r="C17" s="641" t="str">
        <f>IF('rotation(7EA)'!AA33=0," ",B17*'rotation(7EA)'!AA33)</f>
        <v xml:space="preserve"> </v>
      </c>
      <c r="D17" s="642" t="str">
        <f>IF('rotation(7EA)'!C34=0," ",$B17*'rotation(7EA)'!C34)</f>
        <v xml:space="preserve"> </v>
      </c>
      <c r="E17" s="642" t="str">
        <f>IF('rotation(7EA)'!D34=0," ",$B17*'rotation(7EA)'!D34)</f>
        <v xml:space="preserve"> </v>
      </c>
      <c r="F17" s="642" t="str">
        <f>IF('rotation(7EA)'!E34=0," ",$B17*'rotation(7EA)'!E34)</f>
        <v xml:space="preserve"> </v>
      </c>
      <c r="G17" s="642" t="str">
        <f>IF('rotation(7EA)'!F34=0," ",$B17*'rotation(7EA)'!F34)</f>
        <v xml:space="preserve"> </v>
      </c>
      <c r="H17" s="642" t="str">
        <f>IF('rotation(7EA)'!G34=0," ",$B17*'rotation(7EA)'!G34)</f>
        <v xml:space="preserve"> </v>
      </c>
      <c r="I17" s="642" t="str">
        <f>IF('rotation(7EA)'!H34=0," ",$B17*'rotation(7EA)'!H34)</f>
        <v xml:space="preserve"> </v>
      </c>
      <c r="J17" s="642" t="str">
        <f>IF('rotation(7EA)'!I34=0," ",$B17*'rotation(7EA)'!I34)</f>
        <v xml:space="preserve"> </v>
      </c>
      <c r="K17" s="642" t="str">
        <f>IF('rotation(7EA)'!J34=0," ",$B17*'rotation(7EA)'!J34)</f>
        <v xml:space="preserve"> </v>
      </c>
      <c r="L17" s="642" t="str">
        <f>IF('rotation(7EA)'!K34=0," ",$B17*'rotation(7EA)'!K34)</f>
        <v xml:space="preserve"> </v>
      </c>
      <c r="M17" s="642" t="str">
        <f>IF('rotation(7EA)'!L34=0," ",$B17*'rotation(7EA)'!L34)</f>
        <v xml:space="preserve"> </v>
      </c>
      <c r="N17" s="642" t="str">
        <f>IF('rotation(7EA)'!M34=0," ",$B17*'rotation(7EA)'!M34)</f>
        <v xml:space="preserve"> </v>
      </c>
      <c r="O17" s="642" t="str">
        <f>IF('rotation(7EA)'!N34=0," ",$B17*'rotation(7EA)'!N34)</f>
        <v xml:space="preserve"> </v>
      </c>
      <c r="P17" s="642" t="str">
        <f>IF('rotation(7EA)'!O34=0," ",$B17*'rotation(7EA)'!O34)</f>
        <v xml:space="preserve"> </v>
      </c>
      <c r="Q17" s="642" t="str">
        <f>IF('rotation(7EA)'!P34=0," ",$B17*'rotation(7EA)'!P34)</f>
        <v xml:space="preserve"> </v>
      </c>
      <c r="R17" s="642" t="str">
        <f>IF('rotation(7EA)'!Q34=0," ",$B17*'rotation(7EA)'!Q34)</f>
        <v xml:space="preserve"> </v>
      </c>
      <c r="S17" s="642" t="str">
        <f>IF('rotation(7EA)'!R34=0," ",$B17*'rotation(7EA)'!R34)</f>
        <v xml:space="preserve"> </v>
      </c>
      <c r="T17" s="642" t="str">
        <f>IF('rotation(7EA)'!S34=0," ",$B17*'rotation(7EA)'!S34)</f>
        <v xml:space="preserve"> </v>
      </c>
      <c r="U17" s="642" t="str">
        <f>IF('rotation(7EA)'!T34=0," ",$B17*'rotation(7EA)'!T34)</f>
        <v xml:space="preserve"> </v>
      </c>
      <c r="V17" s="642" t="str">
        <f>IF('rotation(7EA)'!U34=0," ",$B17*'rotation(7EA)'!U34)</f>
        <v xml:space="preserve"> </v>
      </c>
      <c r="W17" s="642" t="str">
        <f>IF('rotation(7EA)'!V34=0," ",$B17*'rotation(7EA)'!V34)</f>
        <v xml:space="preserve"> </v>
      </c>
      <c r="X17" s="21">
        <f t="shared" si="0"/>
        <v>0</v>
      </c>
    </row>
    <row r="18" spans="1:24" s="21" customFormat="1">
      <c r="A18" s="641" t="str">
        <f>'GTDB(7EA)'!A21</f>
        <v>Stage 2 Nozzles</v>
      </c>
      <c r="B18" s="641">
        <f>'GTDB(7EA)'!E21</f>
        <v>926.971</v>
      </c>
      <c r="C18" s="641" t="str">
        <f>IF('rotation(7EA)'!AA37=0," ",B18*'rotation(7EA)'!AA37)</f>
        <v xml:space="preserve"> </v>
      </c>
      <c r="D18" s="642" t="str">
        <f>IF('rotation(7EA)'!C38=0," ",$B18*'rotation(7EA)'!C38)</f>
        <v xml:space="preserve"> </v>
      </c>
      <c r="E18" s="642" t="str">
        <f>IF('rotation(7EA)'!D38=0," ",$B18*'rotation(7EA)'!D38)</f>
        <v xml:space="preserve"> </v>
      </c>
      <c r="F18" s="642" t="str">
        <f>IF('rotation(7EA)'!E38=0," ",$B18*'rotation(7EA)'!E38)</f>
        <v xml:space="preserve"> </v>
      </c>
      <c r="G18" s="642" t="str">
        <f>IF('rotation(7EA)'!F38=0," ",$B18*'rotation(7EA)'!F38)</f>
        <v xml:space="preserve"> </v>
      </c>
      <c r="H18" s="642" t="str">
        <f>IF('rotation(7EA)'!G38=0," ",$B18*'rotation(7EA)'!G38)</f>
        <v xml:space="preserve"> </v>
      </c>
      <c r="I18" s="642" t="str">
        <f>IF('rotation(7EA)'!H38=0," ",$B18*'rotation(7EA)'!H38)</f>
        <v xml:space="preserve"> </v>
      </c>
      <c r="J18" s="642" t="str">
        <f>IF('rotation(7EA)'!I38=0," ",$B18*'rotation(7EA)'!I38)</f>
        <v xml:space="preserve"> </v>
      </c>
      <c r="K18" s="642" t="str">
        <f>IF('rotation(7EA)'!J38=0," ",$B18*'rotation(7EA)'!J38)</f>
        <v xml:space="preserve"> </v>
      </c>
      <c r="L18" s="642" t="str">
        <f>IF('rotation(7EA)'!K38=0," ",$B18*'rotation(7EA)'!K38)</f>
        <v xml:space="preserve"> </v>
      </c>
      <c r="M18" s="642" t="str">
        <f>IF('rotation(7EA)'!L38=0," ",$B18*'rotation(7EA)'!L38)</f>
        <v xml:space="preserve"> </v>
      </c>
      <c r="N18" s="642" t="str">
        <f>IF('rotation(7EA)'!M38=0," ",$B18*'rotation(7EA)'!M38)</f>
        <v xml:space="preserve"> </v>
      </c>
      <c r="O18" s="642" t="str">
        <f>IF('rotation(7EA)'!N38=0," ",$B18*'rotation(7EA)'!N38)</f>
        <v xml:space="preserve"> </v>
      </c>
      <c r="P18" s="642" t="str">
        <f>IF('rotation(7EA)'!O38=0," ",$B18*'rotation(7EA)'!O38)</f>
        <v xml:space="preserve"> </v>
      </c>
      <c r="Q18" s="642" t="str">
        <f>IF('rotation(7EA)'!P38=0," ",$B18*'rotation(7EA)'!P38)</f>
        <v xml:space="preserve"> </v>
      </c>
      <c r="R18" s="642" t="str">
        <f>IF('rotation(7EA)'!Q38=0," ",$B18*'rotation(7EA)'!Q38)</f>
        <v xml:space="preserve"> </v>
      </c>
      <c r="S18" s="642" t="str">
        <f>IF('rotation(7EA)'!R38=0," ",$B18*'rotation(7EA)'!R38)</f>
        <v xml:space="preserve"> </v>
      </c>
      <c r="T18" s="642" t="str">
        <f>IF('rotation(7EA)'!S38=0," ",$B18*'rotation(7EA)'!S38)</f>
        <v xml:space="preserve"> </v>
      </c>
      <c r="U18" s="642" t="str">
        <f>IF('rotation(7EA)'!T38=0," ",$B18*'rotation(7EA)'!T38)</f>
        <v xml:space="preserve"> </v>
      </c>
      <c r="V18" s="642" t="str">
        <f>IF('rotation(7EA)'!U38=0," ",$B18*'rotation(7EA)'!U38)</f>
        <v xml:space="preserve"> </v>
      </c>
      <c r="W18" s="642" t="str">
        <f>IF('rotation(7EA)'!V38=0," ",$B18*'rotation(7EA)'!V38)</f>
        <v xml:space="preserve"> </v>
      </c>
      <c r="X18" s="21">
        <f t="shared" si="0"/>
        <v>0</v>
      </c>
    </row>
    <row r="19" spans="1:24" s="21" customFormat="1">
      <c r="A19" s="641" t="str">
        <f>'GTDB(7EA)'!A22</f>
        <v>Stage 3 Nozzles</v>
      </c>
      <c r="B19" s="641">
        <f>'GTDB(7EA)'!E22</f>
        <v>986.56799999999998</v>
      </c>
      <c r="C19" s="641" t="str">
        <f>IF('rotation(7EA)'!AA41=0," ",B19*'rotation(7EA)'!AA41)</f>
        <v xml:space="preserve"> </v>
      </c>
      <c r="D19" s="642" t="str">
        <f>IF('rotation(7EA)'!C42=0," ",$B19*'rotation(7EA)'!C42)</f>
        <v xml:space="preserve"> </v>
      </c>
      <c r="E19" s="642" t="str">
        <f>IF('rotation(7EA)'!D42=0," ",$B19*'rotation(7EA)'!D42)</f>
        <v xml:space="preserve"> </v>
      </c>
      <c r="F19" s="642" t="str">
        <f>IF('rotation(7EA)'!E42=0," ",$B19*'rotation(7EA)'!E42)</f>
        <v xml:space="preserve"> </v>
      </c>
      <c r="G19" s="642" t="str">
        <f>IF('rotation(7EA)'!F42=0," ",$B19*'rotation(7EA)'!F42)</f>
        <v xml:space="preserve"> </v>
      </c>
      <c r="H19" s="642" t="str">
        <f>IF('rotation(7EA)'!G42=0," ",$B19*'rotation(7EA)'!G42)</f>
        <v xml:space="preserve"> </v>
      </c>
      <c r="I19" s="642" t="str">
        <f>IF('rotation(7EA)'!H42=0," ",$B19*'rotation(7EA)'!H42)</f>
        <v xml:space="preserve"> </v>
      </c>
      <c r="J19" s="642" t="str">
        <f>IF('rotation(7EA)'!I42=0," ",$B19*'rotation(7EA)'!I42)</f>
        <v xml:space="preserve"> </v>
      </c>
      <c r="K19" s="642" t="str">
        <f>IF('rotation(7EA)'!J42=0," ",$B19*'rotation(7EA)'!J42)</f>
        <v xml:space="preserve"> </v>
      </c>
      <c r="L19" s="642" t="str">
        <f>IF('rotation(7EA)'!K42=0," ",$B19*'rotation(7EA)'!K42)</f>
        <v xml:space="preserve"> </v>
      </c>
      <c r="M19" s="642" t="str">
        <f>IF('rotation(7EA)'!L42=0," ",$B19*'rotation(7EA)'!L42)</f>
        <v xml:space="preserve"> </v>
      </c>
      <c r="N19" s="642" t="str">
        <f>IF('rotation(7EA)'!M42=0," ",$B19*'rotation(7EA)'!M42)</f>
        <v xml:space="preserve"> </v>
      </c>
      <c r="O19" s="642" t="str">
        <f>IF('rotation(7EA)'!N42=0," ",$B19*'rotation(7EA)'!N42)</f>
        <v xml:space="preserve"> </v>
      </c>
      <c r="P19" s="642" t="str">
        <f>IF('rotation(7EA)'!O42=0," ",$B19*'rotation(7EA)'!O42)</f>
        <v xml:space="preserve"> </v>
      </c>
      <c r="Q19" s="642" t="str">
        <f>IF('rotation(7EA)'!P42=0," ",$B19*'rotation(7EA)'!P42)</f>
        <v xml:space="preserve"> </v>
      </c>
      <c r="R19" s="642" t="str">
        <f>IF('rotation(7EA)'!Q42=0," ",$B19*'rotation(7EA)'!Q42)</f>
        <v xml:space="preserve"> </v>
      </c>
      <c r="S19" s="642" t="str">
        <f>IF('rotation(7EA)'!R42=0," ",$B19*'rotation(7EA)'!R42)</f>
        <v xml:space="preserve"> </v>
      </c>
      <c r="T19" s="642" t="str">
        <f>IF('rotation(7EA)'!S42=0," ",$B19*'rotation(7EA)'!S42)</f>
        <v xml:space="preserve"> </v>
      </c>
      <c r="U19" s="642" t="str">
        <f>IF('rotation(7EA)'!T42=0," ",$B19*'rotation(7EA)'!T42)</f>
        <v xml:space="preserve"> </v>
      </c>
      <c r="V19" s="642" t="str">
        <f>IF('rotation(7EA)'!U42=0," ",$B19*'rotation(7EA)'!U42)</f>
        <v xml:space="preserve"> </v>
      </c>
      <c r="W19" s="642" t="str">
        <f>IF('rotation(7EA)'!V42=0," ",$B19*'rotation(7EA)'!V42)</f>
        <v xml:space="preserve"> </v>
      </c>
      <c r="X19" s="21">
        <f t="shared" si="0"/>
        <v>0</v>
      </c>
    </row>
    <row r="20" spans="1:24" s="21" customFormat="1">
      <c r="A20" s="641" t="str">
        <f>'GTDB(7EA)'!A23</f>
        <v>Stage 1 Buckets</v>
      </c>
      <c r="B20" s="641">
        <f>'GTDB(7EA)'!E23</f>
        <v>910.54</v>
      </c>
      <c r="C20" s="641" t="str">
        <f>IF('rotation(7EA)'!AA45=0," ",B20*'rotation(7EA)'!AA45)</f>
        <v xml:space="preserve"> </v>
      </c>
      <c r="D20" s="642" t="str">
        <f>IF('rotation(7EA)'!C46=0," ",$B20*'rotation(7EA)'!C46)</f>
        <v xml:space="preserve"> </v>
      </c>
      <c r="E20" s="642" t="str">
        <f>IF('rotation(7EA)'!D46=0," ",$B20*'rotation(7EA)'!D46)</f>
        <v xml:space="preserve"> </v>
      </c>
      <c r="F20" s="642" t="str">
        <f>IF('rotation(7EA)'!E46=0," ",$B20*'rotation(7EA)'!E46)</f>
        <v xml:space="preserve"> </v>
      </c>
      <c r="G20" s="642" t="str">
        <f>IF('rotation(7EA)'!F46=0," ",$B20*'rotation(7EA)'!F46)</f>
        <v xml:space="preserve"> </v>
      </c>
      <c r="H20" s="642" t="str">
        <f>IF('rotation(7EA)'!G46=0," ",$B20*'rotation(7EA)'!G46)</f>
        <v xml:space="preserve"> </v>
      </c>
      <c r="I20" s="642" t="str">
        <f>IF('rotation(7EA)'!H46=0," ",$B20*'rotation(7EA)'!H46)</f>
        <v xml:space="preserve"> </v>
      </c>
      <c r="J20" s="642" t="str">
        <f>IF('rotation(7EA)'!I46=0," ",$B20*'rotation(7EA)'!I46)</f>
        <v xml:space="preserve"> </v>
      </c>
      <c r="K20" s="642" t="str">
        <f>IF('rotation(7EA)'!J46=0," ",$B20*'rotation(7EA)'!J46)</f>
        <v xml:space="preserve"> </v>
      </c>
      <c r="L20" s="642" t="str">
        <f>IF('rotation(7EA)'!K46=0," ",$B20*'rotation(7EA)'!K46)</f>
        <v xml:space="preserve"> </v>
      </c>
      <c r="M20" s="642" t="str">
        <f>IF('rotation(7EA)'!L46=0," ",$B20*'rotation(7EA)'!L46)</f>
        <v xml:space="preserve"> </v>
      </c>
      <c r="N20" s="642" t="str">
        <f>IF('rotation(7EA)'!M46=0," ",$B20*'rotation(7EA)'!M46)</f>
        <v xml:space="preserve"> </v>
      </c>
      <c r="O20" s="642" t="str">
        <f>IF('rotation(7EA)'!N46=0," ",$B20*'rotation(7EA)'!N46)</f>
        <v xml:space="preserve"> </v>
      </c>
      <c r="P20" s="642" t="str">
        <f>IF('rotation(7EA)'!O46=0," ",$B20*'rotation(7EA)'!O46)</f>
        <v xml:space="preserve"> </v>
      </c>
      <c r="Q20" s="642" t="str">
        <f>IF('rotation(7EA)'!P46=0," ",$B20*'rotation(7EA)'!P46)</f>
        <v xml:space="preserve"> </v>
      </c>
      <c r="R20" s="642" t="str">
        <f>IF('rotation(7EA)'!Q46=0," ",$B20*'rotation(7EA)'!Q46)</f>
        <v xml:space="preserve"> </v>
      </c>
      <c r="S20" s="642" t="str">
        <f>IF('rotation(7EA)'!R46=0," ",$B20*'rotation(7EA)'!R46)</f>
        <v xml:space="preserve"> </v>
      </c>
      <c r="T20" s="642" t="str">
        <f>IF('rotation(7EA)'!S46=0," ",$B20*'rotation(7EA)'!S46)</f>
        <v xml:space="preserve"> </v>
      </c>
      <c r="U20" s="642" t="str">
        <f>IF('rotation(7EA)'!T46=0," ",$B20*'rotation(7EA)'!T46)</f>
        <v xml:space="preserve"> </v>
      </c>
      <c r="V20" s="642" t="str">
        <f>IF('rotation(7EA)'!U46=0," ",$B20*'rotation(7EA)'!U46)</f>
        <v xml:space="preserve"> </v>
      </c>
      <c r="W20" s="642" t="str">
        <f>IF('rotation(7EA)'!V46=0," ",$B20*'rotation(7EA)'!V46)</f>
        <v xml:space="preserve"> </v>
      </c>
      <c r="X20" s="21">
        <f t="shared" si="0"/>
        <v>0</v>
      </c>
    </row>
    <row r="21" spans="1:24" s="21" customFormat="1">
      <c r="A21" s="641" t="str">
        <f>'GTDB(7EA)'!A24</f>
        <v>Stage 2 Buckets</v>
      </c>
      <c r="B21" s="641">
        <f>'GTDB(7EA)'!E24</f>
        <v>901.96500000000003</v>
      </c>
      <c r="C21" s="641" t="str">
        <f>IF('rotation(7EA)'!AA49=0," ",B21*'rotation(7EA)'!AA49)</f>
        <v xml:space="preserve"> </v>
      </c>
      <c r="D21" s="642" t="str">
        <f>IF('rotation(7EA)'!C50=0," ",$B21*'rotation(7EA)'!C50)</f>
        <v xml:space="preserve"> </v>
      </c>
      <c r="E21" s="642" t="str">
        <f>IF('rotation(7EA)'!D50=0," ",$B21*'rotation(7EA)'!D50)</f>
        <v xml:space="preserve"> </v>
      </c>
      <c r="F21" s="642" t="str">
        <f>IF('rotation(7EA)'!E50=0," ",$B21*'rotation(7EA)'!E50)</f>
        <v xml:space="preserve"> </v>
      </c>
      <c r="G21" s="642" t="str">
        <f>IF('rotation(7EA)'!F50=0," ",$B21*'rotation(7EA)'!F50)</f>
        <v xml:space="preserve"> </v>
      </c>
      <c r="H21" s="642" t="str">
        <f>IF('rotation(7EA)'!G50=0," ",$B21*'rotation(7EA)'!G50)</f>
        <v xml:space="preserve"> </v>
      </c>
      <c r="I21" s="642" t="str">
        <f>IF('rotation(7EA)'!H50=0," ",$B21*'rotation(7EA)'!H50)</f>
        <v xml:space="preserve"> </v>
      </c>
      <c r="J21" s="642" t="str">
        <f>IF('rotation(7EA)'!I50=0," ",$B21*'rotation(7EA)'!I50)</f>
        <v xml:space="preserve"> </v>
      </c>
      <c r="K21" s="642" t="str">
        <f>IF('rotation(7EA)'!J50=0," ",$B21*'rotation(7EA)'!J50)</f>
        <v xml:space="preserve"> </v>
      </c>
      <c r="L21" s="642" t="str">
        <f>IF('rotation(7EA)'!K50=0," ",$B21*'rotation(7EA)'!K50)</f>
        <v xml:space="preserve"> </v>
      </c>
      <c r="M21" s="642" t="str">
        <f>IF('rotation(7EA)'!L50=0," ",$B21*'rotation(7EA)'!L50)</f>
        <v xml:space="preserve"> </v>
      </c>
      <c r="N21" s="642" t="str">
        <f>IF('rotation(7EA)'!M50=0," ",$B21*'rotation(7EA)'!M50)</f>
        <v xml:space="preserve"> </v>
      </c>
      <c r="O21" s="642" t="str">
        <f>IF('rotation(7EA)'!N50=0," ",$B21*'rotation(7EA)'!N50)</f>
        <v xml:space="preserve"> </v>
      </c>
      <c r="P21" s="642" t="str">
        <f>IF('rotation(7EA)'!O50=0," ",$B21*'rotation(7EA)'!O50)</f>
        <v xml:space="preserve"> </v>
      </c>
      <c r="Q21" s="642" t="str">
        <f>IF('rotation(7EA)'!P50=0," ",$B21*'rotation(7EA)'!P50)</f>
        <v xml:space="preserve"> </v>
      </c>
      <c r="R21" s="642" t="str">
        <f>IF('rotation(7EA)'!Q50=0," ",$B21*'rotation(7EA)'!Q50)</f>
        <v xml:space="preserve"> </v>
      </c>
      <c r="S21" s="642" t="str">
        <f>IF('rotation(7EA)'!R50=0," ",$B21*'rotation(7EA)'!R50)</f>
        <v xml:space="preserve"> </v>
      </c>
      <c r="T21" s="642" t="str">
        <f>IF('rotation(7EA)'!S50=0," ",$B21*'rotation(7EA)'!S50)</f>
        <v xml:space="preserve"> </v>
      </c>
      <c r="U21" s="642" t="str">
        <f>IF('rotation(7EA)'!T50=0," ",$B21*'rotation(7EA)'!T50)</f>
        <v xml:space="preserve"> </v>
      </c>
      <c r="V21" s="642" t="str">
        <f>IF('rotation(7EA)'!U50=0," ",$B21*'rotation(7EA)'!U50)</f>
        <v xml:space="preserve"> </v>
      </c>
      <c r="W21" s="642" t="str">
        <f>IF('rotation(7EA)'!V50=0," ",$B21*'rotation(7EA)'!V50)</f>
        <v xml:space="preserve"> </v>
      </c>
      <c r="X21" s="21">
        <f t="shared" si="0"/>
        <v>0</v>
      </c>
    </row>
    <row r="22" spans="1:24" s="21" customFormat="1">
      <c r="A22" s="641" t="str">
        <f>'GTDB(7EA)'!A25</f>
        <v>Stage 3 Buckets</v>
      </c>
      <c r="B22" s="641">
        <f>'GTDB(7EA)'!E25</f>
        <v>791.255</v>
      </c>
      <c r="C22" s="641" t="str">
        <f>IF('rotation(7EA)'!AA53=0," ",B22*'rotation(7EA)'!AA53)</f>
        <v xml:space="preserve"> </v>
      </c>
      <c r="D22" s="642" t="str">
        <f>IF('rotation(7EA)'!C54=0," ",$B22*'rotation(7EA)'!C54)</f>
        <v xml:space="preserve"> </v>
      </c>
      <c r="E22" s="642" t="str">
        <f>IF('rotation(7EA)'!D54=0," ",$B22*'rotation(7EA)'!D54)</f>
        <v xml:space="preserve"> </v>
      </c>
      <c r="F22" s="642" t="str">
        <f>IF('rotation(7EA)'!E54=0," ",$B22*'rotation(7EA)'!E54)</f>
        <v xml:space="preserve"> </v>
      </c>
      <c r="G22" s="642" t="str">
        <f>IF('rotation(7EA)'!F54=0," ",$B22*'rotation(7EA)'!F54)</f>
        <v xml:space="preserve"> </v>
      </c>
      <c r="H22" s="642" t="str">
        <f>IF('rotation(7EA)'!G54=0," ",$B22*'rotation(7EA)'!G54)</f>
        <v xml:space="preserve"> </v>
      </c>
      <c r="I22" s="642" t="str">
        <f>IF('rotation(7EA)'!H54=0," ",$B22*'rotation(7EA)'!H54)</f>
        <v xml:space="preserve"> </v>
      </c>
      <c r="J22" s="642" t="str">
        <f>IF('rotation(7EA)'!I54=0," ",$B22*'rotation(7EA)'!I54)</f>
        <v xml:space="preserve"> </v>
      </c>
      <c r="K22" s="642" t="str">
        <f>IF('rotation(7EA)'!J54=0," ",$B22*'rotation(7EA)'!J54)</f>
        <v xml:space="preserve"> </v>
      </c>
      <c r="L22" s="642" t="str">
        <f>IF('rotation(7EA)'!K54=0," ",$B22*'rotation(7EA)'!K54)</f>
        <v xml:space="preserve"> </v>
      </c>
      <c r="M22" s="642" t="str">
        <f>IF('rotation(7EA)'!L54=0," ",$B22*'rotation(7EA)'!L54)</f>
        <v xml:space="preserve"> </v>
      </c>
      <c r="N22" s="642" t="str">
        <f>IF('rotation(7EA)'!M54=0," ",$B22*'rotation(7EA)'!M54)</f>
        <v xml:space="preserve"> </v>
      </c>
      <c r="O22" s="642" t="str">
        <f>IF('rotation(7EA)'!N54=0," ",$B22*'rotation(7EA)'!N54)</f>
        <v xml:space="preserve"> </v>
      </c>
      <c r="P22" s="642" t="str">
        <f>IF('rotation(7EA)'!O54=0," ",$B22*'rotation(7EA)'!O54)</f>
        <v xml:space="preserve"> </v>
      </c>
      <c r="Q22" s="642" t="str">
        <f>IF('rotation(7EA)'!P54=0," ",$B22*'rotation(7EA)'!P54)</f>
        <v xml:space="preserve"> </v>
      </c>
      <c r="R22" s="642" t="str">
        <f>IF('rotation(7EA)'!Q54=0," ",$B22*'rotation(7EA)'!Q54)</f>
        <v xml:space="preserve"> </v>
      </c>
      <c r="S22" s="642" t="str">
        <f>IF('rotation(7EA)'!R54=0," ",$B22*'rotation(7EA)'!R54)</f>
        <v xml:space="preserve"> </v>
      </c>
      <c r="T22" s="642" t="str">
        <f>IF('rotation(7EA)'!S54=0," ",$B22*'rotation(7EA)'!S54)</f>
        <v xml:space="preserve"> </v>
      </c>
      <c r="U22" s="642" t="str">
        <f>IF('rotation(7EA)'!T54=0," ",$B22*'rotation(7EA)'!T54)</f>
        <v xml:space="preserve"> </v>
      </c>
      <c r="V22" s="642" t="str">
        <f>IF('rotation(7EA)'!U54=0," ",$B22*'rotation(7EA)'!U54)</f>
        <v xml:space="preserve"> </v>
      </c>
      <c r="W22" s="642" t="str">
        <f>IF('rotation(7EA)'!V54=0," ",$B22*'rotation(7EA)'!V54)</f>
        <v xml:space="preserve"> </v>
      </c>
      <c r="X22" s="21">
        <f t="shared" si="0"/>
        <v>0</v>
      </c>
    </row>
    <row r="23" spans="1:24" s="21" customFormat="1">
      <c r="A23" s="641" t="str">
        <f>'GTDB(7EA)'!A26</f>
        <v>Row 1 Support Ring</v>
      </c>
      <c r="B23" s="641">
        <f>'GTDB(7EA)'!E26</f>
        <v>36.558</v>
      </c>
      <c r="C23" s="641" t="str">
        <f>IF('rotation(7EA)'!AA57=0," ",B23*'rotation(7EA)'!AA57)</f>
        <v xml:space="preserve"> </v>
      </c>
      <c r="D23" s="642" t="str">
        <f>IF('rotation(7EA)'!C58=0," ",$B23*'rotation(7EA)'!C58)</f>
        <v xml:space="preserve"> </v>
      </c>
      <c r="E23" s="642" t="str">
        <f>IF('rotation(7EA)'!D58=0," ",$B23*'rotation(7EA)'!D58)</f>
        <v xml:space="preserve"> </v>
      </c>
      <c r="F23" s="642" t="str">
        <f>IF('rotation(7EA)'!E58=0," ",$B23*'rotation(7EA)'!E58)</f>
        <v xml:space="preserve"> </v>
      </c>
      <c r="G23" s="642" t="str">
        <f>IF('rotation(7EA)'!F58=0," ",$B23*'rotation(7EA)'!F58)</f>
        <v xml:space="preserve"> </v>
      </c>
      <c r="H23" s="642" t="str">
        <f>IF('rotation(7EA)'!G58=0," ",$B23*'rotation(7EA)'!G58)</f>
        <v xml:space="preserve"> </v>
      </c>
      <c r="I23" s="642" t="str">
        <f>IF('rotation(7EA)'!H58=0," ",$B23*'rotation(7EA)'!H58)</f>
        <v xml:space="preserve"> </v>
      </c>
      <c r="J23" s="642" t="str">
        <f>IF('rotation(7EA)'!I58=0," ",$B23*'rotation(7EA)'!I58)</f>
        <v xml:space="preserve"> </v>
      </c>
      <c r="K23" s="642" t="str">
        <f>IF('rotation(7EA)'!J58=0," ",$B23*'rotation(7EA)'!J58)</f>
        <v xml:space="preserve"> </v>
      </c>
      <c r="L23" s="642" t="str">
        <f>IF('rotation(7EA)'!K58=0," ",$B23*'rotation(7EA)'!K58)</f>
        <v xml:space="preserve"> </v>
      </c>
      <c r="M23" s="642" t="str">
        <f>IF('rotation(7EA)'!L58=0," ",$B23*'rotation(7EA)'!L58)</f>
        <v xml:space="preserve"> </v>
      </c>
      <c r="N23" s="642" t="str">
        <f>IF('rotation(7EA)'!M58=0," ",$B23*'rotation(7EA)'!M58)</f>
        <v xml:space="preserve"> </v>
      </c>
      <c r="O23" s="642" t="str">
        <f>IF('rotation(7EA)'!N58=0," ",$B23*'rotation(7EA)'!N58)</f>
        <v xml:space="preserve"> </v>
      </c>
      <c r="P23" s="642" t="str">
        <f>IF('rotation(7EA)'!O58=0," ",$B23*'rotation(7EA)'!O58)</f>
        <v xml:space="preserve"> </v>
      </c>
      <c r="Q23" s="642" t="str">
        <f>IF('rotation(7EA)'!P58=0," ",$B23*'rotation(7EA)'!P58)</f>
        <v xml:space="preserve"> </v>
      </c>
      <c r="R23" s="642" t="str">
        <f>IF('rotation(7EA)'!Q58=0," ",$B23*'rotation(7EA)'!Q58)</f>
        <v xml:space="preserve"> </v>
      </c>
      <c r="S23" s="642" t="str">
        <f>IF('rotation(7EA)'!R58=0," ",$B23*'rotation(7EA)'!R58)</f>
        <v xml:space="preserve"> </v>
      </c>
      <c r="T23" s="642" t="str">
        <f>IF('rotation(7EA)'!S58=0," ",$B23*'rotation(7EA)'!S58)</f>
        <v xml:space="preserve"> </v>
      </c>
      <c r="U23" s="642" t="str">
        <f>IF('rotation(7EA)'!T58=0," ",$B23*'rotation(7EA)'!T58)</f>
        <v xml:space="preserve"> </v>
      </c>
      <c r="V23" s="642" t="str">
        <f>IF('rotation(7EA)'!U58=0," ",$B23*'rotation(7EA)'!U58)</f>
        <v xml:space="preserve"> </v>
      </c>
      <c r="W23" s="642" t="str">
        <f>IF('rotation(7EA)'!V58=0," ",$B23*'rotation(7EA)'!V58)</f>
        <v xml:space="preserve"> </v>
      </c>
      <c r="X23" s="21">
        <f t="shared" si="0"/>
        <v>0</v>
      </c>
    </row>
    <row r="24" spans="1:24" s="21" customFormat="1">
      <c r="A24" s="641" t="str">
        <f>'GTDB(7EA)'!A27</f>
        <v xml:space="preserve">1st Stage Shroud Blocks </v>
      </c>
      <c r="B24" s="641">
        <f>'GTDB(7EA)'!E27</f>
        <v>182.90199999999999</v>
      </c>
      <c r="C24" s="641" t="str">
        <f>IF('rotation(7EA)'!AA61=0," ",B24*'rotation(7EA)'!AA61)</f>
        <v xml:space="preserve"> </v>
      </c>
      <c r="D24" s="642" t="str">
        <f>IF('rotation(7EA)'!C62=0," ",$B24*'rotation(7EA)'!C62)</f>
        <v xml:space="preserve"> </v>
      </c>
      <c r="E24" s="642" t="str">
        <f>IF('rotation(7EA)'!D62=0," ",$B24*'rotation(7EA)'!D62)</f>
        <v xml:space="preserve"> </v>
      </c>
      <c r="F24" s="642" t="str">
        <f>IF('rotation(7EA)'!E62=0," ",$B24*'rotation(7EA)'!E62)</f>
        <v xml:space="preserve"> </v>
      </c>
      <c r="G24" s="642" t="str">
        <f>IF('rotation(7EA)'!F62=0," ",$B24*'rotation(7EA)'!F62)</f>
        <v xml:space="preserve"> </v>
      </c>
      <c r="H24" s="642" t="str">
        <f>IF('rotation(7EA)'!G62=0," ",$B24*'rotation(7EA)'!G62)</f>
        <v xml:space="preserve"> </v>
      </c>
      <c r="I24" s="642" t="str">
        <f>IF('rotation(7EA)'!H62=0," ",$B24*'rotation(7EA)'!H62)</f>
        <v xml:space="preserve"> </v>
      </c>
      <c r="J24" s="642" t="str">
        <f>IF('rotation(7EA)'!I62=0," ",$B24*'rotation(7EA)'!I62)</f>
        <v xml:space="preserve"> </v>
      </c>
      <c r="K24" s="642" t="str">
        <f>IF('rotation(7EA)'!J62=0," ",$B24*'rotation(7EA)'!J62)</f>
        <v xml:space="preserve"> </v>
      </c>
      <c r="L24" s="642" t="str">
        <f>IF('rotation(7EA)'!K62=0," ",$B24*'rotation(7EA)'!K62)</f>
        <v xml:space="preserve"> </v>
      </c>
      <c r="M24" s="642" t="str">
        <f>IF('rotation(7EA)'!L62=0," ",$B24*'rotation(7EA)'!L62)</f>
        <v xml:space="preserve"> </v>
      </c>
      <c r="N24" s="642" t="str">
        <f>IF('rotation(7EA)'!M62=0," ",$B24*'rotation(7EA)'!M62)</f>
        <v xml:space="preserve"> </v>
      </c>
      <c r="O24" s="642" t="str">
        <f>IF('rotation(7EA)'!N62=0," ",$B24*'rotation(7EA)'!N62)</f>
        <v xml:space="preserve"> </v>
      </c>
      <c r="P24" s="642" t="str">
        <f>IF('rotation(7EA)'!O62=0," ",$B24*'rotation(7EA)'!O62)</f>
        <v xml:space="preserve"> </v>
      </c>
      <c r="Q24" s="642" t="str">
        <f>IF('rotation(7EA)'!P62=0," ",$B24*'rotation(7EA)'!P62)</f>
        <v xml:space="preserve"> </v>
      </c>
      <c r="R24" s="642" t="str">
        <f>IF('rotation(7EA)'!Q62=0," ",$B24*'rotation(7EA)'!Q62)</f>
        <v xml:space="preserve"> </v>
      </c>
      <c r="S24" s="642" t="str">
        <f>IF('rotation(7EA)'!R62=0," ",$B24*'rotation(7EA)'!R62)</f>
        <v xml:space="preserve"> </v>
      </c>
      <c r="T24" s="642" t="str">
        <f>IF('rotation(7EA)'!S62=0," ",$B24*'rotation(7EA)'!S62)</f>
        <v xml:space="preserve"> </v>
      </c>
      <c r="U24" s="642" t="str">
        <f>IF('rotation(7EA)'!T62=0," ",$B24*'rotation(7EA)'!T62)</f>
        <v xml:space="preserve"> </v>
      </c>
      <c r="V24" s="642" t="str">
        <f>IF('rotation(7EA)'!U62=0," ",$B24*'rotation(7EA)'!U62)</f>
        <v xml:space="preserve"> </v>
      </c>
      <c r="W24" s="642" t="str">
        <f>IF('rotation(7EA)'!V62=0," ",$B24*'rotation(7EA)'!V62)</f>
        <v xml:space="preserve"> </v>
      </c>
      <c r="X24" s="21">
        <f t="shared" si="0"/>
        <v>0</v>
      </c>
    </row>
    <row r="25" spans="1:24" s="21" customFormat="1">
      <c r="A25" s="641" t="str">
        <f>'GTDB(7EA)'!A28</f>
        <v>2nd Stage Shroud Blocks</v>
      </c>
      <c r="B25" s="641">
        <f>'GTDB(7EA)'!E28</f>
        <v>137.41399999999999</v>
      </c>
      <c r="C25" s="641" t="str">
        <f>IF('rotation(7EA)'!AA65=0," ",B25*'rotation(7EA)'!AA65)</f>
        <v xml:space="preserve"> </v>
      </c>
      <c r="D25" s="642" t="str">
        <f>IF('rotation(7EA)'!C66=0," ",$B25*'rotation(7EA)'!C66)</f>
        <v xml:space="preserve"> </v>
      </c>
      <c r="E25" s="642" t="str">
        <f>IF('rotation(7EA)'!D66=0," ",$B25*'rotation(7EA)'!D66)</f>
        <v xml:space="preserve"> </v>
      </c>
      <c r="F25" s="642" t="str">
        <f>IF('rotation(7EA)'!E66=0," ",$B25*'rotation(7EA)'!E66)</f>
        <v xml:space="preserve"> </v>
      </c>
      <c r="G25" s="642" t="str">
        <f>IF('rotation(7EA)'!F66=0," ",$B25*'rotation(7EA)'!F66)</f>
        <v xml:space="preserve"> </v>
      </c>
      <c r="H25" s="642" t="str">
        <f>IF('rotation(7EA)'!G66=0," ",$B25*'rotation(7EA)'!G66)</f>
        <v xml:space="preserve"> </v>
      </c>
      <c r="I25" s="642" t="str">
        <f>IF('rotation(7EA)'!H66=0," ",$B25*'rotation(7EA)'!H66)</f>
        <v xml:space="preserve"> </v>
      </c>
      <c r="J25" s="642" t="str">
        <f>IF('rotation(7EA)'!I66=0," ",$B25*'rotation(7EA)'!I66)</f>
        <v xml:space="preserve"> </v>
      </c>
      <c r="K25" s="642" t="str">
        <f>IF('rotation(7EA)'!J66=0," ",$B25*'rotation(7EA)'!J66)</f>
        <v xml:space="preserve"> </v>
      </c>
      <c r="L25" s="642" t="str">
        <f>IF('rotation(7EA)'!K66=0," ",$B25*'rotation(7EA)'!K66)</f>
        <v xml:space="preserve"> </v>
      </c>
      <c r="M25" s="642" t="str">
        <f>IF('rotation(7EA)'!L66=0," ",$B25*'rotation(7EA)'!L66)</f>
        <v xml:space="preserve"> </v>
      </c>
      <c r="N25" s="642" t="str">
        <f>IF('rotation(7EA)'!M66=0," ",$B25*'rotation(7EA)'!M66)</f>
        <v xml:space="preserve"> </v>
      </c>
      <c r="O25" s="642" t="str">
        <f>IF('rotation(7EA)'!N66=0," ",$B25*'rotation(7EA)'!N66)</f>
        <v xml:space="preserve"> </v>
      </c>
      <c r="P25" s="642" t="str">
        <f>IF('rotation(7EA)'!O66=0," ",$B25*'rotation(7EA)'!O66)</f>
        <v xml:space="preserve"> </v>
      </c>
      <c r="Q25" s="642" t="str">
        <f>IF('rotation(7EA)'!P66=0," ",$B25*'rotation(7EA)'!P66)</f>
        <v xml:space="preserve"> </v>
      </c>
      <c r="R25" s="642" t="str">
        <f>IF('rotation(7EA)'!Q66=0," ",$B25*'rotation(7EA)'!Q66)</f>
        <v xml:space="preserve"> </v>
      </c>
      <c r="S25" s="642" t="str">
        <f>IF('rotation(7EA)'!R66=0," ",$B25*'rotation(7EA)'!R66)</f>
        <v xml:space="preserve"> </v>
      </c>
      <c r="T25" s="642" t="str">
        <f>IF('rotation(7EA)'!S66=0," ",$B25*'rotation(7EA)'!S66)</f>
        <v xml:space="preserve"> </v>
      </c>
      <c r="U25" s="642" t="str">
        <f>IF('rotation(7EA)'!T66=0," ",$B25*'rotation(7EA)'!T66)</f>
        <v xml:space="preserve"> </v>
      </c>
      <c r="V25" s="642" t="str">
        <f>IF('rotation(7EA)'!U66=0," ",$B25*'rotation(7EA)'!U66)</f>
        <v xml:space="preserve"> </v>
      </c>
      <c r="W25" s="642" t="str">
        <f>IF('rotation(7EA)'!V66=0," ",$B25*'rotation(7EA)'!V66)</f>
        <v xml:space="preserve"> </v>
      </c>
      <c r="X25" s="21">
        <f t="shared" si="0"/>
        <v>0</v>
      </c>
    </row>
    <row r="26" spans="1:24" s="21" customFormat="1">
      <c r="A26" s="641" t="str">
        <f>'GTDB(7EA)'!A29</f>
        <v>3rd Stage Shroud Blocks</v>
      </c>
      <c r="B26" s="641">
        <f>'GTDB(7EA)'!E29</f>
        <v>74.762</v>
      </c>
      <c r="C26" s="641" t="str">
        <f>IF('rotation(7EA)'!AA69=0," ",B26*'rotation(7EA)'!AA69)</f>
        <v xml:space="preserve"> </v>
      </c>
      <c r="D26" s="642" t="str">
        <f>IF('rotation(7EA)'!C70=0," ",$B26*'rotation(7EA)'!C70)</f>
        <v xml:space="preserve"> </v>
      </c>
      <c r="E26" s="642" t="str">
        <f>IF('rotation(7EA)'!D70=0," ",$B26*'rotation(7EA)'!D70)</f>
        <v xml:space="preserve"> </v>
      </c>
      <c r="F26" s="642" t="str">
        <f>IF('rotation(7EA)'!E70=0," ",$B26*'rotation(7EA)'!E70)</f>
        <v xml:space="preserve"> </v>
      </c>
      <c r="G26" s="642" t="str">
        <f>IF('rotation(7EA)'!F70=0," ",$B26*'rotation(7EA)'!F70)</f>
        <v xml:space="preserve"> </v>
      </c>
      <c r="H26" s="642" t="str">
        <f>IF('rotation(7EA)'!G70=0," ",$B26*'rotation(7EA)'!G70)</f>
        <v xml:space="preserve"> </v>
      </c>
      <c r="I26" s="642" t="str">
        <f>IF('rotation(7EA)'!H70=0," ",$B26*'rotation(7EA)'!H70)</f>
        <v xml:space="preserve"> </v>
      </c>
      <c r="J26" s="642" t="str">
        <f>IF('rotation(7EA)'!I70=0," ",$B26*'rotation(7EA)'!I70)</f>
        <v xml:space="preserve"> </v>
      </c>
      <c r="K26" s="642" t="str">
        <f>IF('rotation(7EA)'!J70=0," ",$B26*'rotation(7EA)'!J70)</f>
        <v xml:space="preserve"> </v>
      </c>
      <c r="L26" s="642" t="str">
        <f>IF('rotation(7EA)'!K70=0," ",$B26*'rotation(7EA)'!K70)</f>
        <v xml:space="preserve"> </v>
      </c>
      <c r="M26" s="642" t="str">
        <f>IF('rotation(7EA)'!L70=0," ",$B26*'rotation(7EA)'!L70)</f>
        <v xml:space="preserve"> </v>
      </c>
      <c r="N26" s="642" t="str">
        <f>IF('rotation(7EA)'!M70=0," ",$B26*'rotation(7EA)'!M70)</f>
        <v xml:space="preserve"> </v>
      </c>
      <c r="O26" s="642" t="str">
        <f>IF('rotation(7EA)'!N70=0," ",$B26*'rotation(7EA)'!N70)</f>
        <v xml:space="preserve"> </v>
      </c>
      <c r="P26" s="642" t="str">
        <f>IF('rotation(7EA)'!O70=0," ",$B26*'rotation(7EA)'!O70)</f>
        <v xml:space="preserve"> </v>
      </c>
      <c r="Q26" s="642" t="str">
        <f>IF('rotation(7EA)'!P70=0," ",$B26*'rotation(7EA)'!P70)</f>
        <v xml:space="preserve"> </v>
      </c>
      <c r="R26" s="642" t="str">
        <f>IF('rotation(7EA)'!Q70=0," ",$B26*'rotation(7EA)'!Q70)</f>
        <v xml:space="preserve"> </v>
      </c>
      <c r="S26" s="642" t="str">
        <f>IF('rotation(7EA)'!R70=0," ",$B26*'rotation(7EA)'!R70)</f>
        <v xml:space="preserve"> </v>
      </c>
      <c r="T26" s="642" t="str">
        <f>IF('rotation(7EA)'!S70=0," ",$B26*'rotation(7EA)'!S70)</f>
        <v xml:space="preserve"> </v>
      </c>
      <c r="U26" s="642" t="str">
        <f>IF('rotation(7EA)'!T70=0," ",$B26*'rotation(7EA)'!T70)</f>
        <v xml:space="preserve"> </v>
      </c>
      <c r="V26" s="642" t="str">
        <f>IF('rotation(7EA)'!U70=0," ",$B26*'rotation(7EA)'!U70)</f>
        <v xml:space="preserve"> </v>
      </c>
      <c r="W26" s="642" t="str">
        <f>IF('rotation(7EA)'!V70=0," ",$B26*'rotation(7EA)'!V70)</f>
        <v xml:space="preserve"> </v>
      </c>
      <c r="X26" s="21">
        <f t="shared" si="0"/>
        <v>0</v>
      </c>
    </row>
    <row r="27" spans="1:24" s="21" customFormat="1">
      <c r="A27" s="636" t="s">
        <v>904</v>
      </c>
      <c r="B27" s="641">
        <f>'GTDB(7EA)'!D12</f>
        <v>20.332000000000001</v>
      </c>
      <c r="C27" s="641"/>
      <c r="D27" s="642" t="str">
        <f>IF('rotation(7EA)'!C8=0," ",$B27*'rotation(7EA)'!C8)</f>
        <v xml:space="preserve"> </v>
      </c>
      <c r="E27" s="642" t="str">
        <f>IF('rotation(7EA)'!D8=0," ",$B27*'rotation(7EA)'!D8)</f>
        <v xml:space="preserve"> </v>
      </c>
      <c r="F27" s="642" t="str">
        <f>IF('rotation(7EA)'!E8=0," ",$B27*'rotation(7EA)'!E8)</f>
        <v xml:space="preserve"> </v>
      </c>
      <c r="G27" s="642" t="str">
        <f>IF('rotation(7EA)'!F8=0," ",$B27*'rotation(7EA)'!F8)</f>
        <v xml:space="preserve"> </v>
      </c>
      <c r="H27" s="642" t="str">
        <f>IF('rotation(7EA)'!G8=0," ",$B27*'rotation(7EA)'!G8)</f>
        <v xml:space="preserve"> </v>
      </c>
      <c r="I27" s="642" t="str">
        <f>IF('rotation(7EA)'!H8=0," ",$B27*'rotation(7EA)'!H8)</f>
        <v xml:space="preserve"> </v>
      </c>
      <c r="J27" s="642" t="str">
        <f>IF('rotation(7EA)'!I8=0," ",$B27*'rotation(7EA)'!I8)</f>
        <v xml:space="preserve"> </v>
      </c>
      <c r="K27" s="642" t="str">
        <f>IF('rotation(7EA)'!J8=0," ",$B27*'rotation(7EA)'!J8)</f>
        <v xml:space="preserve"> </v>
      </c>
      <c r="L27" s="642" t="str">
        <f>IF('rotation(7EA)'!K8=0," ",$B27*'rotation(7EA)'!K8)</f>
        <v xml:space="preserve"> </v>
      </c>
      <c r="M27" s="642" t="str">
        <f>IF('rotation(7EA)'!L8=0," ",$B27*'rotation(7EA)'!L8)</f>
        <v xml:space="preserve"> </v>
      </c>
      <c r="N27" s="642" t="str">
        <f>IF('rotation(7EA)'!M8=0," ",$B27*'rotation(7EA)'!M8)</f>
        <v xml:space="preserve"> </v>
      </c>
      <c r="O27" s="642" t="str">
        <f>IF('rotation(7EA)'!N8=0," ",$B27*'rotation(7EA)'!N8)</f>
        <v xml:space="preserve"> </v>
      </c>
      <c r="P27" s="642" t="str">
        <f>IF('rotation(7EA)'!O8=0," ",$B27*'rotation(7EA)'!O8)</f>
        <v xml:space="preserve"> </v>
      </c>
      <c r="Q27" s="642" t="str">
        <f>IF('rotation(7EA)'!P8=0," ",$B27*'rotation(7EA)'!P8)</f>
        <v xml:space="preserve"> </v>
      </c>
      <c r="R27" s="642" t="str">
        <f>IF('rotation(7EA)'!Q8=0," ",$B27*'rotation(7EA)'!Q8)</f>
        <v xml:space="preserve"> </v>
      </c>
      <c r="S27" s="642" t="str">
        <f>IF('rotation(7EA)'!R8=0," ",$B27*'rotation(7EA)'!R8)</f>
        <v xml:space="preserve"> </v>
      </c>
      <c r="T27" s="642" t="str">
        <f>IF('rotation(7EA)'!S8=0," ",$B27*'rotation(7EA)'!S8)</f>
        <v xml:space="preserve"> </v>
      </c>
      <c r="U27" s="642" t="str">
        <f>IF('rotation(7EA)'!T8=0," ",$B27*'rotation(7EA)'!T8)</f>
        <v xml:space="preserve"> </v>
      </c>
      <c r="V27" s="642" t="str">
        <f>IF('rotation(7EA)'!U8=0," ",$B27*'rotation(7EA)'!U8)</f>
        <v xml:space="preserve"> </v>
      </c>
      <c r="W27" s="642" t="str">
        <f>IF('rotation(7EA)'!V8=0," ",$B27*'rotation(7EA)'!V8)</f>
        <v xml:space="preserve"> </v>
      </c>
      <c r="X27" s="21">
        <f t="shared" si="0"/>
        <v>0</v>
      </c>
    </row>
    <row r="28" spans="1:24" s="21" customFormat="1">
      <c r="A28" s="636" t="s">
        <v>905</v>
      </c>
      <c r="B28" s="641">
        <f>'GTDB(7EA)'!D13</f>
        <v>32.328000000000003</v>
      </c>
      <c r="C28" s="641"/>
      <c r="D28" s="642" t="str">
        <f>IF('rotation(7EA)'!C9=0," ",$B28*'rotation(7EA)'!C9)</f>
        <v xml:space="preserve"> </v>
      </c>
      <c r="E28" s="642" t="str">
        <f>IF('rotation(7EA)'!D9=0," ",$B28*'rotation(7EA)'!D9)</f>
        <v xml:space="preserve"> </v>
      </c>
      <c r="F28" s="642" t="str">
        <f>IF('rotation(7EA)'!E9=0," ",$B28*'rotation(7EA)'!E9)</f>
        <v xml:space="preserve"> </v>
      </c>
      <c r="G28" s="642" t="str">
        <f>IF('rotation(7EA)'!F9=0," ",$B28*'rotation(7EA)'!F9)</f>
        <v xml:space="preserve"> </v>
      </c>
      <c r="H28" s="642" t="str">
        <f>IF('rotation(7EA)'!G9=0," ",$B28*'rotation(7EA)'!G9)</f>
        <v xml:space="preserve"> </v>
      </c>
      <c r="I28" s="642" t="str">
        <f>IF('rotation(7EA)'!H9=0," ",$B28*'rotation(7EA)'!H9)</f>
        <v xml:space="preserve"> </v>
      </c>
      <c r="J28" s="642" t="str">
        <f>IF('rotation(7EA)'!I9=0," ",$B28*'rotation(7EA)'!I9)</f>
        <v xml:space="preserve"> </v>
      </c>
      <c r="K28" s="642" t="str">
        <f>IF('rotation(7EA)'!J9=0," ",$B28*'rotation(7EA)'!J9)</f>
        <v xml:space="preserve"> </v>
      </c>
      <c r="L28" s="642" t="str">
        <f>IF('rotation(7EA)'!K9=0," ",$B28*'rotation(7EA)'!K9)</f>
        <v xml:space="preserve"> </v>
      </c>
      <c r="M28" s="642" t="str">
        <f>IF('rotation(7EA)'!L9=0," ",$B28*'rotation(7EA)'!L9)</f>
        <v xml:space="preserve"> </v>
      </c>
      <c r="N28" s="642" t="str">
        <f>IF('rotation(7EA)'!M9=0," ",$B28*'rotation(7EA)'!M9)</f>
        <v xml:space="preserve"> </v>
      </c>
      <c r="O28" s="642" t="str">
        <f>IF('rotation(7EA)'!N9=0," ",$B28*'rotation(7EA)'!N9)</f>
        <v xml:space="preserve"> </v>
      </c>
      <c r="P28" s="642" t="str">
        <f>IF('rotation(7EA)'!O9=0," ",$B28*'rotation(7EA)'!O9)</f>
        <v xml:space="preserve"> </v>
      </c>
      <c r="Q28" s="642" t="str">
        <f>IF('rotation(7EA)'!P9=0," ",$B28*'rotation(7EA)'!P9)</f>
        <v xml:space="preserve"> </v>
      </c>
      <c r="R28" s="642" t="str">
        <f>IF('rotation(7EA)'!Q9=0," ",$B28*'rotation(7EA)'!Q9)</f>
        <v xml:space="preserve"> </v>
      </c>
      <c r="S28" s="642" t="str">
        <f>IF('rotation(7EA)'!R9=0," ",$B28*'rotation(7EA)'!R9)</f>
        <v xml:space="preserve"> </v>
      </c>
      <c r="T28" s="642" t="str">
        <f>IF('rotation(7EA)'!S9=0," ",$B28*'rotation(7EA)'!S9)</f>
        <v xml:space="preserve"> </v>
      </c>
      <c r="U28" s="642" t="str">
        <f>IF('rotation(7EA)'!T9=0," ",$B28*'rotation(7EA)'!T9)</f>
        <v xml:space="preserve"> </v>
      </c>
      <c r="V28" s="642" t="str">
        <f>IF('rotation(7EA)'!U9=0," ",$B28*'rotation(7EA)'!U9)</f>
        <v xml:space="preserve"> </v>
      </c>
      <c r="W28" s="642" t="str">
        <f>IF('rotation(7EA)'!V9=0," ",$B28*'rotation(7EA)'!V9)</f>
        <v xml:space="preserve"> </v>
      </c>
      <c r="X28" s="21">
        <f t="shared" si="0"/>
        <v>0</v>
      </c>
    </row>
    <row r="29" spans="1:24" s="21" customFormat="1">
      <c r="A29" s="636" t="s">
        <v>906</v>
      </c>
      <c r="B29" s="641">
        <f>'GTDB(7EA)'!D14</f>
        <v>154.464</v>
      </c>
      <c r="C29" s="641"/>
      <c r="D29" s="642" t="str">
        <f>IF('rotation(7EA)'!C10=0," ",$B29*'rotation(7EA)'!C10)</f>
        <v xml:space="preserve"> </v>
      </c>
      <c r="E29" s="642" t="str">
        <f>IF('rotation(7EA)'!D10=0," ",$B29*'rotation(7EA)'!D10)</f>
        <v xml:space="preserve"> </v>
      </c>
      <c r="F29" s="642" t="str">
        <f>IF('rotation(7EA)'!E10=0," ",$B29*'rotation(7EA)'!E10)</f>
        <v xml:space="preserve"> </v>
      </c>
      <c r="G29" s="642" t="str">
        <f>IF('rotation(7EA)'!F10=0," ",$B29*'rotation(7EA)'!F10)</f>
        <v xml:space="preserve"> </v>
      </c>
      <c r="H29" s="642" t="str">
        <f>IF('rotation(7EA)'!G10=0," ",$B29*'rotation(7EA)'!G10)</f>
        <v xml:space="preserve"> </v>
      </c>
      <c r="I29" s="642" t="str">
        <f>IF('rotation(7EA)'!H10=0," ",$B29*'rotation(7EA)'!H10)</f>
        <v xml:space="preserve"> </v>
      </c>
      <c r="J29" s="642" t="str">
        <f>IF('rotation(7EA)'!I10=0," ",$B29*'rotation(7EA)'!I10)</f>
        <v xml:space="preserve"> </v>
      </c>
      <c r="K29" s="642" t="str">
        <f>IF('rotation(7EA)'!J10=0," ",$B29*'rotation(7EA)'!J10)</f>
        <v xml:space="preserve"> </v>
      </c>
      <c r="L29" s="642" t="str">
        <f>IF('rotation(7EA)'!K10=0," ",$B29*'rotation(7EA)'!K10)</f>
        <v xml:space="preserve"> </v>
      </c>
      <c r="M29" s="642" t="str">
        <f>IF('rotation(7EA)'!L10=0," ",$B29*'rotation(7EA)'!L10)</f>
        <v xml:space="preserve"> </v>
      </c>
      <c r="N29" s="642" t="str">
        <f>IF('rotation(7EA)'!M10=0," ",$B29*'rotation(7EA)'!M10)</f>
        <v xml:space="preserve"> </v>
      </c>
      <c r="O29" s="642" t="str">
        <f>IF('rotation(7EA)'!N10=0," ",$B29*'rotation(7EA)'!N10)</f>
        <v xml:space="preserve"> </v>
      </c>
      <c r="P29" s="642" t="str">
        <f>IF('rotation(7EA)'!O10=0," ",$B29*'rotation(7EA)'!O10)</f>
        <v xml:space="preserve"> </v>
      </c>
      <c r="Q29" s="642" t="str">
        <f>IF('rotation(7EA)'!P10=0," ",$B29*'rotation(7EA)'!P10)</f>
        <v xml:space="preserve"> </v>
      </c>
      <c r="R29" s="642" t="str">
        <f>IF('rotation(7EA)'!Q10=0," ",$B29*'rotation(7EA)'!Q10)</f>
        <v xml:space="preserve"> </v>
      </c>
      <c r="S29" s="642" t="str">
        <f>IF('rotation(7EA)'!R10=0," ",$B29*'rotation(7EA)'!R10)</f>
        <v xml:space="preserve"> </v>
      </c>
      <c r="T29" s="642" t="str">
        <f>IF('rotation(7EA)'!S10=0," ",$B29*'rotation(7EA)'!S10)</f>
        <v xml:space="preserve"> </v>
      </c>
      <c r="U29" s="642" t="str">
        <f>IF('rotation(7EA)'!T10=0," ",$B29*'rotation(7EA)'!T10)</f>
        <v xml:space="preserve"> </v>
      </c>
      <c r="V29" s="642" t="str">
        <f>IF('rotation(7EA)'!U10=0," ",$B29*'rotation(7EA)'!U10)</f>
        <v xml:space="preserve"> </v>
      </c>
      <c r="W29" s="642" t="str">
        <f>IF('rotation(7EA)'!V10=0," ",$B29*'rotation(7EA)'!V10)</f>
        <v xml:space="preserve"> </v>
      </c>
      <c r="X29" s="21">
        <f t="shared" si="0"/>
        <v>0</v>
      </c>
    </row>
    <row r="30" spans="1:24" s="21" customFormat="1" ht="15.75" customHeight="1">
      <c r="A30" s="640" t="s">
        <v>907</v>
      </c>
      <c r="C30" s="21">
        <f t="shared" ref="C30:W30" si="1">SUM(C14:C29)</f>
        <v>0</v>
      </c>
      <c r="D30" s="21">
        <f t="shared" si="1"/>
        <v>0</v>
      </c>
      <c r="E30" s="21">
        <f t="shared" si="1"/>
        <v>0</v>
      </c>
      <c r="F30" s="21">
        <f t="shared" si="1"/>
        <v>0</v>
      </c>
      <c r="G30" s="21">
        <f t="shared" si="1"/>
        <v>0</v>
      </c>
      <c r="H30" s="21">
        <f t="shared" si="1"/>
        <v>0</v>
      </c>
      <c r="I30" s="21">
        <f t="shared" si="1"/>
        <v>0</v>
      </c>
      <c r="J30" s="21">
        <f t="shared" si="1"/>
        <v>0</v>
      </c>
      <c r="K30" s="21">
        <f t="shared" si="1"/>
        <v>0</v>
      </c>
      <c r="L30" s="21">
        <f t="shared" si="1"/>
        <v>0</v>
      </c>
      <c r="M30" s="21">
        <f t="shared" si="1"/>
        <v>0</v>
      </c>
      <c r="N30" s="21">
        <f t="shared" si="1"/>
        <v>0</v>
      </c>
      <c r="O30" s="21">
        <f t="shared" si="1"/>
        <v>0</v>
      </c>
      <c r="P30" s="21">
        <f t="shared" si="1"/>
        <v>0</v>
      </c>
      <c r="Q30" s="21">
        <f t="shared" si="1"/>
        <v>0</v>
      </c>
      <c r="R30" s="21">
        <f t="shared" si="1"/>
        <v>0</v>
      </c>
      <c r="S30" s="21">
        <f t="shared" si="1"/>
        <v>0</v>
      </c>
      <c r="T30" s="21">
        <f t="shared" si="1"/>
        <v>0</v>
      </c>
      <c r="U30" s="21">
        <f t="shared" si="1"/>
        <v>0</v>
      </c>
      <c r="V30" s="21">
        <f t="shared" si="1"/>
        <v>0</v>
      </c>
      <c r="W30" s="21">
        <f t="shared" si="1"/>
        <v>0</v>
      </c>
      <c r="X30" s="21">
        <f t="shared" si="0"/>
        <v>0</v>
      </c>
    </row>
    <row r="31" spans="1:24" s="21" customFormat="1" ht="16.5" customHeight="1">
      <c r="A31" s="640" t="s">
        <v>960</v>
      </c>
      <c r="B31" s="643">
        <v>0.1</v>
      </c>
      <c r="C31" s="21">
        <f t="shared" ref="C31:W31" si="2">C30*(1-$B31)</f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0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0"/>
        <v>0</v>
      </c>
    </row>
    <row r="32" spans="1:24" s="21" customFormat="1" ht="12.75" customHeight="1">
      <c r="A32" s="640" t="s">
        <v>908</v>
      </c>
      <c r="B32" s="643">
        <v>0.03</v>
      </c>
      <c r="C32" s="21">
        <f t="shared" ref="C32:W32" si="3">C31*(1+$B32)</f>
        <v>0</v>
      </c>
      <c r="D32" s="21">
        <f t="shared" si="3"/>
        <v>0</v>
      </c>
      <c r="E32" s="21">
        <f t="shared" si="3"/>
        <v>0</v>
      </c>
      <c r="F32" s="21">
        <f t="shared" si="3"/>
        <v>0</v>
      </c>
      <c r="G32" s="21">
        <f t="shared" si="3"/>
        <v>0</v>
      </c>
      <c r="H32" s="21">
        <f t="shared" si="3"/>
        <v>0</v>
      </c>
      <c r="I32" s="21">
        <f t="shared" si="3"/>
        <v>0</v>
      </c>
      <c r="J32" s="21">
        <f t="shared" si="3"/>
        <v>0</v>
      </c>
      <c r="K32" s="21">
        <f t="shared" si="3"/>
        <v>0</v>
      </c>
      <c r="L32" s="21">
        <f t="shared" si="3"/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644">
        <f t="shared" si="0"/>
        <v>0</v>
      </c>
    </row>
    <row r="33" spans="1:24" s="21" customFormat="1">
      <c r="A33" s="640"/>
    </row>
    <row r="34" spans="1:24" s="21" customFormat="1">
      <c r="A34" s="640"/>
    </row>
    <row r="35" spans="1:24" s="21" customFormat="1">
      <c r="A35" s="645" t="s">
        <v>909</v>
      </c>
      <c r="D35" s="21">
        <v>1</v>
      </c>
      <c r="E35" s="21">
        <v>2</v>
      </c>
      <c r="F35" s="21">
        <v>3</v>
      </c>
      <c r="G35" s="21">
        <v>4</v>
      </c>
      <c r="H35" s="21">
        <v>5</v>
      </c>
      <c r="I35" s="21">
        <v>6</v>
      </c>
      <c r="J35" s="21">
        <v>7</v>
      </c>
      <c r="K35" s="21">
        <v>8</v>
      </c>
      <c r="L35" s="21">
        <v>9</v>
      </c>
      <c r="M35" s="21">
        <v>10</v>
      </c>
      <c r="N35" s="21">
        <v>11</v>
      </c>
      <c r="O35" s="21">
        <v>12</v>
      </c>
      <c r="P35" s="21">
        <v>13</v>
      </c>
      <c r="Q35" s="21">
        <v>14</v>
      </c>
      <c r="R35" s="21">
        <v>15</v>
      </c>
      <c r="S35" s="21">
        <v>16</v>
      </c>
      <c r="T35" s="21">
        <v>17</v>
      </c>
      <c r="U35" s="21">
        <v>18</v>
      </c>
      <c r="V35" s="21">
        <v>19</v>
      </c>
      <c r="W35" s="21">
        <v>20</v>
      </c>
    </row>
    <row r="36" spans="1:24" s="21" customFormat="1">
      <c r="A36" s="646" t="s">
        <v>901</v>
      </c>
      <c r="B36" s="647" t="s">
        <v>910</v>
      </c>
      <c r="C36" s="642"/>
      <c r="D36" s="642"/>
      <c r="E36" s="642"/>
      <c r="F36" s="642"/>
      <c r="G36" s="642"/>
      <c r="H36" s="642"/>
      <c r="I36" s="642"/>
      <c r="J36" s="642"/>
      <c r="K36" s="642"/>
      <c r="L36" s="642"/>
      <c r="M36" s="642"/>
      <c r="N36" s="642"/>
      <c r="O36" s="642"/>
      <c r="P36" s="642"/>
      <c r="Q36" s="642"/>
      <c r="R36" s="642"/>
      <c r="S36" s="642"/>
      <c r="T36" s="642"/>
      <c r="U36" s="642"/>
      <c r="V36" s="642"/>
      <c r="W36" s="642"/>
    </row>
    <row r="37" spans="1:24" s="21" customFormat="1">
      <c r="A37" s="648" t="str">
        <f>'GTDB(7EA)'!A17</f>
        <v>Combustion Liners</v>
      </c>
      <c r="B37" s="641">
        <f>'GTDB(7EA)'!D17</f>
        <v>18</v>
      </c>
      <c r="C37" s="642">
        <v>0</v>
      </c>
      <c r="D37" s="642" t="str">
        <f>IF('rotation(7EA)'!C17=0," ",$B37*'rotation(7EA)'!C17)</f>
        <v xml:space="preserve"> </v>
      </c>
      <c r="E37" s="642" t="str">
        <f>IF('rotation(7EA)'!D17=0," ",$B37*'rotation(7EA)'!D17)</f>
        <v xml:space="preserve"> </v>
      </c>
      <c r="F37" s="642" t="str">
        <f>IF('rotation(7EA)'!E17=0," ",$B37*'rotation(7EA)'!E17)</f>
        <v xml:space="preserve"> </v>
      </c>
      <c r="G37" s="642" t="str">
        <f>IF('rotation(7EA)'!F17=0," ",$B37*'rotation(7EA)'!F17)</f>
        <v xml:space="preserve"> </v>
      </c>
      <c r="H37" s="642" t="str">
        <f>IF('rotation(7EA)'!G17=0," ",$B37*'rotation(7EA)'!G17)</f>
        <v xml:space="preserve"> </v>
      </c>
      <c r="I37" s="642" t="str">
        <f>IF('rotation(7EA)'!H17=0," ",$B37*'rotation(7EA)'!H17)</f>
        <v xml:space="preserve"> </v>
      </c>
      <c r="J37" s="642" t="str">
        <f>IF('rotation(7EA)'!I17=0," ",$B37*'rotation(7EA)'!I17)</f>
        <v xml:space="preserve"> </v>
      </c>
      <c r="K37" s="642" t="str">
        <f>IF('rotation(7EA)'!J17=0," ",$B37*'rotation(7EA)'!J17)</f>
        <v xml:space="preserve"> </v>
      </c>
      <c r="L37" s="642" t="str">
        <f>IF('rotation(7EA)'!K17=0," ",$B37*'rotation(7EA)'!K17)</f>
        <v xml:space="preserve"> </v>
      </c>
      <c r="M37" s="642" t="str">
        <f>IF('rotation(7EA)'!L17=0," ",$B37*'rotation(7EA)'!L17)</f>
        <v xml:space="preserve"> </v>
      </c>
      <c r="N37" s="642" t="str">
        <f>IF('rotation(7EA)'!M17=0," ",$B37*'rotation(7EA)'!M17)</f>
        <v xml:space="preserve"> </v>
      </c>
      <c r="O37" s="642" t="str">
        <f>IF('rotation(7EA)'!N17=0," ",$B37*'rotation(7EA)'!N17)</f>
        <v xml:space="preserve"> </v>
      </c>
      <c r="P37" s="642" t="str">
        <f>IF('rotation(7EA)'!O17=0," ",$B37*'rotation(7EA)'!O17)</f>
        <v xml:space="preserve"> </v>
      </c>
      <c r="Q37" s="642" t="str">
        <f>IF('rotation(7EA)'!P17=0," ",$B37*'rotation(7EA)'!P17)</f>
        <v xml:space="preserve"> </v>
      </c>
      <c r="R37" s="642" t="str">
        <f>IF('rotation(7EA)'!Q17=0," ",$B37*'rotation(7EA)'!Q17)</f>
        <v xml:space="preserve"> </v>
      </c>
      <c r="S37" s="642" t="str">
        <f>IF('rotation(7EA)'!R17=0," ",$B37*'rotation(7EA)'!R17)</f>
        <v xml:space="preserve"> </v>
      </c>
      <c r="T37" s="642" t="str">
        <f>IF('rotation(7EA)'!S17=0," ",$B37*'rotation(7EA)'!S17)</f>
        <v xml:space="preserve"> </v>
      </c>
      <c r="U37" s="642" t="str">
        <f>IF('rotation(7EA)'!T17=0," ",$B37*'rotation(7EA)'!T17)</f>
        <v xml:space="preserve"> </v>
      </c>
      <c r="V37" s="642" t="str">
        <f>IF('rotation(7EA)'!U17=0," ",$B37*'rotation(7EA)'!U17)</f>
        <v xml:space="preserve"> </v>
      </c>
      <c r="W37" s="642" t="str">
        <f>IF('rotation(7EA)'!V17=0," ",$B37*'rotation(7EA)'!V17)</f>
        <v xml:space="preserve"> </v>
      </c>
      <c r="X37" s="21">
        <f t="shared" ref="X37:X49" si="4">SUM(D37:W37)</f>
        <v>0</v>
      </c>
    </row>
    <row r="38" spans="1:24" s="21" customFormat="1">
      <c r="A38" s="648" t="str">
        <f>'GTDB(7EA)'!A18</f>
        <v>Transition Pieces</v>
      </c>
      <c r="B38" s="641">
        <f>'GTDB(7EA)'!D18</f>
        <v>18.5</v>
      </c>
      <c r="C38" s="642"/>
      <c r="D38" s="642" t="str">
        <f>IF('rotation(7EA)'!C21=0," ",$B38*'rotation(7EA)'!C21)</f>
        <v xml:space="preserve"> </v>
      </c>
      <c r="E38" s="642" t="str">
        <f>IF('rotation(7EA)'!D21=0," ",$B38*'rotation(7EA)'!D21)</f>
        <v xml:space="preserve"> </v>
      </c>
      <c r="F38" s="642" t="str">
        <f>IF('rotation(7EA)'!E21=0," ",$B38*'rotation(7EA)'!E21)</f>
        <v xml:space="preserve"> </v>
      </c>
      <c r="G38" s="642" t="str">
        <f>IF('rotation(7EA)'!F21=0," ",$B38*'rotation(7EA)'!F21)</f>
        <v xml:space="preserve"> </v>
      </c>
      <c r="H38" s="642" t="str">
        <f>IF('rotation(7EA)'!G21=0," ",$B38*'rotation(7EA)'!G21)</f>
        <v xml:space="preserve"> </v>
      </c>
      <c r="I38" s="642" t="str">
        <f>IF('rotation(7EA)'!H21=0," ",$B38*'rotation(7EA)'!H21)</f>
        <v xml:space="preserve"> </v>
      </c>
      <c r="J38" s="642" t="str">
        <f>IF('rotation(7EA)'!I21=0," ",$B38*'rotation(7EA)'!I21)</f>
        <v xml:space="preserve"> </v>
      </c>
      <c r="K38" s="642" t="str">
        <f>IF('rotation(7EA)'!J21=0," ",$B38*'rotation(7EA)'!J21)</f>
        <v xml:space="preserve"> </v>
      </c>
      <c r="L38" s="642" t="str">
        <f>IF('rotation(7EA)'!K21=0," ",$B38*'rotation(7EA)'!K21)</f>
        <v xml:space="preserve"> </v>
      </c>
      <c r="M38" s="642" t="str">
        <f>IF('rotation(7EA)'!L21=0," ",$B38*'rotation(7EA)'!L21)</f>
        <v xml:space="preserve"> </v>
      </c>
      <c r="N38" s="642" t="str">
        <f>IF('rotation(7EA)'!M21=0," ",$B38*'rotation(7EA)'!M21)</f>
        <v xml:space="preserve"> </v>
      </c>
      <c r="O38" s="642" t="str">
        <f>IF('rotation(7EA)'!N21=0," ",$B38*'rotation(7EA)'!N21)</f>
        <v xml:space="preserve"> </v>
      </c>
      <c r="P38" s="642" t="str">
        <f>IF('rotation(7EA)'!O21=0," ",$B38*'rotation(7EA)'!O21)</f>
        <v xml:space="preserve"> </v>
      </c>
      <c r="Q38" s="642" t="str">
        <f>IF('rotation(7EA)'!P21=0," ",$B38*'rotation(7EA)'!P21)</f>
        <v xml:space="preserve"> </v>
      </c>
      <c r="R38" s="642" t="str">
        <f>IF('rotation(7EA)'!Q21=0," ",$B38*'rotation(7EA)'!Q21)</f>
        <v xml:space="preserve"> </v>
      </c>
      <c r="S38" s="642" t="str">
        <f>IF('rotation(7EA)'!R21=0," ",$B38*'rotation(7EA)'!R21)</f>
        <v xml:space="preserve"> </v>
      </c>
      <c r="T38" s="642" t="str">
        <f>IF('rotation(7EA)'!S21=0," ",$B38*'rotation(7EA)'!S21)</f>
        <v xml:space="preserve"> </v>
      </c>
      <c r="U38" s="642" t="str">
        <f>IF('rotation(7EA)'!T21=0," ",$B38*'rotation(7EA)'!T21)</f>
        <v xml:space="preserve"> </v>
      </c>
      <c r="V38" s="642" t="str">
        <f>IF('rotation(7EA)'!U21=0," ",$B38*'rotation(7EA)'!U21)</f>
        <v xml:space="preserve"> </v>
      </c>
      <c r="W38" s="642" t="str">
        <f>IF('rotation(7EA)'!V21=0," ",$B38*'rotation(7EA)'!V21)</f>
        <v xml:space="preserve"> </v>
      </c>
      <c r="X38" s="21">
        <f t="shared" si="4"/>
        <v>0</v>
      </c>
    </row>
    <row r="39" spans="1:24" s="21" customFormat="1">
      <c r="A39" s="648" t="str">
        <f>'GTDB(7EA)'!A19</f>
        <v>Fuel Nozzles</v>
      </c>
      <c r="B39" s="641">
        <f>'GTDB(7EA)'!D19</f>
        <v>120</v>
      </c>
      <c r="C39" s="642"/>
      <c r="D39" s="642" t="str">
        <f>IF('rotation(7EA)'!C29=0," ",$B39*'rotation(7EA)'!C29)</f>
        <v xml:space="preserve"> </v>
      </c>
      <c r="E39" s="642" t="str">
        <f>IF('rotation(7EA)'!D29=0," ",$B39*'rotation(7EA)'!D29)</f>
        <v xml:space="preserve"> </v>
      </c>
      <c r="F39" s="642" t="str">
        <f>IF('rotation(7EA)'!E29=0," ",$B39*'rotation(7EA)'!E29)</f>
        <v xml:space="preserve"> </v>
      </c>
      <c r="G39" s="642" t="str">
        <f>IF('rotation(7EA)'!F29=0," ",$B39*'rotation(7EA)'!F29)</f>
        <v xml:space="preserve"> </v>
      </c>
      <c r="H39" s="642" t="str">
        <f>IF('rotation(7EA)'!G29=0," ",$B39*'rotation(7EA)'!G29)</f>
        <v xml:space="preserve"> </v>
      </c>
      <c r="I39" s="642" t="str">
        <f>IF('rotation(7EA)'!H29=0," ",$B39*'rotation(7EA)'!H29)</f>
        <v xml:space="preserve"> </v>
      </c>
      <c r="J39" s="642" t="str">
        <f>IF('rotation(7EA)'!I29=0," ",$B39*'rotation(7EA)'!I29)</f>
        <v xml:space="preserve"> </v>
      </c>
      <c r="K39" s="642" t="str">
        <f>IF('rotation(7EA)'!J29=0," ",$B39*'rotation(7EA)'!J29)</f>
        <v xml:space="preserve"> </v>
      </c>
      <c r="L39" s="642" t="str">
        <f>IF('rotation(7EA)'!K29=0," ",$B39*'rotation(7EA)'!K29)</f>
        <v xml:space="preserve"> </v>
      </c>
      <c r="M39" s="642" t="str">
        <f>IF('rotation(7EA)'!L29=0," ",$B39*'rotation(7EA)'!L29)</f>
        <v xml:space="preserve"> </v>
      </c>
      <c r="N39" s="642" t="str">
        <f>IF('rotation(7EA)'!M29=0," ",$B39*'rotation(7EA)'!M29)</f>
        <v xml:space="preserve"> </v>
      </c>
      <c r="O39" s="642" t="str">
        <f>IF('rotation(7EA)'!N29=0," ",$B39*'rotation(7EA)'!N29)</f>
        <v xml:space="preserve"> </v>
      </c>
      <c r="P39" s="642" t="str">
        <f>IF('rotation(7EA)'!O29=0," ",$B39*'rotation(7EA)'!O29)</f>
        <v xml:space="preserve"> </v>
      </c>
      <c r="Q39" s="642" t="str">
        <f>IF('rotation(7EA)'!P29=0," ",$B39*'rotation(7EA)'!P29)</f>
        <v xml:space="preserve"> </v>
      </c>
      <c r="R39" s="642" t="str">
        <f>IF('rotation(7EA)'!Q29=0," ",$B39*'rotation(7EA)'!Q29)</f>
        <v xml:space="preserve"> </v>
      </c>
      <c r="S39" s="642" t="str">
        <f>IF('rotation(7EA)'!R29=0," ",$B39*'rotation(7EA)'!R29)</f>
        <v xml:space="preserve"> </v>
      </c>
      <c r="T39" s="642" t="str">
        <f>IF('rotation(7EA)'!S29=0," ",$B39*'rotation(7EA)'!S29)</f>
        <v xml:space="preserve"> </v>
      </c>
      <c r="U39" s="642" t="str">
        <f>IF('rotation(7EA)'!T29=0," ",$B39*'rotation(7EA)'!T29)</f>
        <v xml:space="preserve"> </v>
      </c>
      <c r="V39" s="642" t="str">
        <f>IF('rotation(7EA)'!U29=0," ",$B39*'rotation(7EA)'!U29)</f>
        <v xml:space="preserve"> </v>
      </c>
      <c r="W39" s="642" t="str">
        <f>IF('rotation(7EA)'!V29=0," ",$B39*'rotation(7EA)'!V29)</f>
        <v xml:space="preserve"> </v>
      </c>
      <c r="X39" s="21">
        <f t="shared" si="4"/>
        <v>0</v>
      </c>
    </row>
    <row r="40" spans="1:24" s="21" customFormat="1">
      <c r="A40" s="648" t="str">
        <f>'GTDB(7EA)'!A20</f>
        <v>Stage 1 Nozzles</v>
      </c>
      <c r="B40" s="641">
        <f>'GTDB(7EA)'!D20</f>
        <v>46</v>
      </c>
      <c r="C40" s="642"/>
      <c r="D40" s="642" t="str">
        <f>IF('rotation(7EA)'!C33=0," ",$B40*'rotation(7EA)'!C33)</f>
        <v xml:space="preserve"> </v>
      </c>
      <c r="E40" s="642" t="str">
        <f>IF('rotation(7EA)'!D33=0," ",$B40*'rotation(7EA)'!D33)</f>
        <v xml:space="preserve"> </v>
      </c>
      <c r="F40" s="642" t="str">
        <f>IF('rotation(7EA)'!E33=0," ",$B40*'rotation(7EA)'!E33)</f>
        <v xml:space="preserve"> </v>
      </c>
      <c r="G40" s="642" t="str">
        <f>IF('rotation(7EA)'!F33=0," ",$B40*'rotation(7EA)'!F33)</f>
        <v xml:space="preserve"> </v>
      </c>
      <c r="H40" s="642" t="str">
        <f>IF('rotation(7EA)'!G33=0," ",$B40*'rotation(7EA)'!G33)</f>
        <v xml:space="preserve"> </v>
      </c>
      <c r="I40" s="642" t="str">
        <f>IF('rotation(7EA)'!H33=0," ",$B40*'rotation(7EA)'!H33)</f>
        <v xml:space="preserve"> </v>
      </c>
      <c r="J40" s="642" t="str">
        <f>IF('rotation(7EA)'!I33=0," ",$B40*'rotation(7EA)'!I33)</f>
        <v xml:space="preserve"> </v>
      </c>
      <c r="K40" s="642" t="str">
        <f>IF('rotation(7EA)'!J33=0," ",$B40*'rotation(7EA)'!J33)</f>
        <v xml:space="preserve"> </v>
      </c>
      <c r="L40" s="642" t="str">
        <f>IF('rotation(7EA)'!K33=0," ",$B40*'rotation(7EA)'!K33)</f>
        <v xml:space="preserve"> </v>
      </c>
      <c r="M40" s="642" t="str">
        <f>IF('rotation(7EA)'!L33=0," ",$B40*'rotation(7EA)'!L33)</f>
        <v xml:space="preserve"> </v>
      </c>
      <c r="N40" s="642" t="str">
        <f>IF('rotation(7EA)'!M33=0," ",$B40*'rotation(7EA)'!M33)</f>
        <v xml:space="preserve"> </v>
      </c>
      <c r="O40" s="642" t="str">
        <f>IF('rotation(7EA)'!N33=0," ",$B40*'rotation(7EA)'!N33)</f>
        <v xml:space="preserve"> </v>
      </c>
      <c r="P40" s="642" t="str">
        <f>IF('rotation(7EA)'!O33=0," ",$B40*'rotation(7EA)'!O33)</f>
        <v xml:space="preserve"> </v>
      </c>
      <c r="Q40" s="642" t="str">
        <f>IF('rotation(7EA)'!P33=0," ",$B40*'rotation(7EA)'!P33)</f>
        <v xml:space="preserve"> </v>
      </c>
      <c r="R40" s="642" t="str">
        <f>IF('rotation(7EA)'!Q33=0," ",$B40*'rotation(7EA)'!Q33)</f>
        <v xml:space="preserve"> </v>
      </c>
      <c r="S40" s="642" t="str">
        <f>IF('rotation(7EA)'!R33=0," ",$B40*'rotation(7EA)'!R33)</f>
        <v xml:space="preserve"> </v>
      </c>
      <c r="T40" s="642" t="str">
        <f>IF('rotation(7EA)'!S33=0," ",$B40*'rotation(7EA)'!S33)</f>
        <v xml:space="preserve"> </v>
      </c>
      <c r="U40" s="642" t="str">
        <f>IF('rotation(7EA)'!T33=0," ",$B40*'rotation(7EA)'!T33)</f>
        <v xml:space="preserve"> </v>
      </c>
      <c r="V40" s="642" t="str">
        <f>IF('rotation(7EA)'!U33=0," ",$B40*'rotation(7EA)'!U33)</f>
        <v xml:space="preserve"> </v>
      </c>
      <c r="W40" s="642" t="str">
        <f>IF('rotation(7EA)'!V33=0," ",$B40*'rotation(7EA)'!V33)</f>
        <v xml:space="preserve"> </v>
      </c>
      <c r="X40" s="21">
        <f t="shared" si="4"/>
        <v>0</v>
      </c>
    </row>
    <row r="41" spans="1:24" s="21" customFormat="1">
      <c r="A41" s="648" t="str">
        <f>'GTDB(7EA)'!A21</f>
        <v>Stage 2 Nozzles</v>
      </c>
      <c r="B41" s="641">
        <f>'GTDB(7EA)'!D21</f>
        <v>29.5</v>
      </c>
      <c r="C41" s="642"/>
      <c r="D41" s="642" t="str">
        <f>IF('rotation(7EA)'!C37=0," ",$B41*'rotation(7EA)'!C37)</f>
        <v xml:space="preserve"> </v>
      </c>
      <c r="E41" s="642" t="str">
        <f>IF('rotation(7EA)'!D37=0," ",$B41*'rotation(7EA)'!D37)</f>
        <v xml:space="preserve"> </v>
      </c>
      <c r="F41" s="642" t="str">
        <f>IF('rotation(7EA)'!E37=0," ",$B41*'rotation(7EA)'!E37)</f>
        <v xml:space="preserve"> </v>
      </c>
      <c r="G41" s="642" t="str">
        <f>IF('rotation(7EA)'!F37=0," ",$B41*'rotation(7EA)'!F37)</f>
        <v xml:space="preserve"> </v>
      </c>
      <c r="H41" s="642" t="str">
        <f>IF('rotation(7EA)'!G37=0," ",$B41*'rotation(7EA)'!G37)</f>
        <v xml:space="preserve"> </v>
      </c>
      <c r="I41" s="642" t="str">
        <f>IF('rotation(7EA)'!H37=0," ",$B41*'rotation(7EA)'!H37)</f>
        <v xml:space="preserve"> </v>
      </c>
      <c r="J41" s="642" t="str">
        <f>IF('rotation(7EA)'!I37=0," ",$B41*'rotation(7EA)'!I37)</f>
        <v xml:space="preserve"> </v>
      </c>
      <c r="K41" s="642" t="str">
        <f>IF('rotation(7EA)'!J37=0," ",$B41*'rotation(7EA)'!J37)</f>
        <v xml:space="preserve"> </v>
      </c>
      <c r="L41" s="642" t="str">
        <f>IF('rotation(7EA)'!K37=0," ",$B41*'rotation(7EA)'!K37)</f>
        <v xml:space="preserve"> </v>
      </c>
      <c r="M41" s="642" t="str">
        <f>IF('rotation(7EA)'!L37=0," ",$B41*'rotation(7EA)'!L37)</f>
        <v xml:space="preserve"> </v>
      </c>
      <c r="N41" s="642" t="str">
        <f>IF('rotation(7EA)'!M37=0," ",$B41*'rotation(7EA)'!M37)</f>
        <v xml:space="preserve"> </v>
      </c>
      <c r="O41" s="642" t="str">
        <f>IF('rotation(7EA)'!N37=0," ",$B41*'rotation(7EA)'!N37)</f>
        <v xml:space="preserve"> </v>
      </c>
      <c r="P41" s="642" t="str">
        <f>IF('rotation(7EA)'!O37=0," ",$B41*'rotation(7EA)'!O37)</f>
        <v xml:space="preserve"> </v>
      </c>
      <c r="Q41" s="642" t="str">
        <f>IF('rotation(7EA)'!P37=0," ",$B41*'rotation(7EA)'!P37)</f>
        <v xml:space="preserve"> </v>
      </c>
      <c r="R41" s="642" t="str">
        <f>IF('rotation(7EA)'!Q37=0," ",$B41*'rotation(7EA)'!Q37)</f>
        <v xml:space="preserve"> </v>
      </c>
      <c r="S41" s="642" t="str">
        <f>IF('rotation(7EA)'!R37=0," ",$B41*'rotation(7EA)'!R37)</f>
        <v xml:space="preserve"> </v>
      </c>
      <c r="T41" s="642" t="str">
        <f>IF('rotation(7EA)'!S37=0," ",$B41*'rotation(7EA)'!S37)</f>
        <v xml:space="preserve"> </v>
      </c>
      <c r="U41" s="642" t="str">
        <f>IF('rotation(7EA)'!T37=0," ",$B41*'rotation(7EA)'!T37)</f>
        <v xml:space="preserve"> </v>
      </c>
      <c r="V41" s="642" t="str">
        <f>IF('rotation(7EA)'!U37=0," ",$B41*'rotation(7EA)'!U37)</f>
        <v xml:space="preserve"> </v>
      </c>
      <c r="W41" s="642" t="str">
        <f>IF('rotation(7EA)'!V37=0," ",$B41*'rotation(7EA)'!V37)</f>
        <v xml:space="preserve"> </v>
      </c>
      <c r="X41" s="21">
        <f t="shared" si="4"/>
        <v>0</v>
      </c>
    </row>
    <row r="42" spans="1:24" s="21" customFormat="1">
      <c r="A42" s="648" t="str">
        <f>'GTDB(7EA)'!A22</f>
        <v>Stage 3 Nozzles</v>
      </c>
      <c r="B42" s="641">
        <f>'GTDB(7EA)'!D22</f>
        <v>26</v>
      </c>
      <c r="C42" s="642"/>
      <c r="D42" s="642" t="str">
        <f>IF('rotation(7EA)'!C41=0," ",$B42*'rotation(7EA)'!C41)</f>
        <v xml:space="preserve"> </v>
      </c>
      <c r="E42" s="642" t="str">
        <f>IF('rotation(7EA)'!D41=0," ",$B42*'rotation(7EA)'!D41)</f>
        <v xml:space="preserve"> </v>
      </c>
      <c r="F42" s="642" t="str">
        <f>IF('rotation(7EA)'!E41=0," ",$B42*'rotation(7EA)'!E41)</f>
        <v xml:space="preserve"> </v>
      </c>
      <c r="G42" s="642" t="str">
        <f>IF('rotation(7EA)'!F41=0," ",$B42*'rotation(7EA)'!F41)</f>
        <v xml:space="preserve"> </v>
      </c>
      <c r="H42" s="642" t="str">
        <f>IF('rotation(7EA)'!G41=0," ",$B42*'rotation(7EA)'!G41)</f>
        <v xml:space="preserve"> </v>
      </c>
      <c r="I42" s="642" t="str">
        <f>IF('rotation(7EA)'!H41=0," ",$B42*'rotation(7EA)'!H41)</f>
        <v xml:space="preserve"> </v>
      </c>
      <c r="J42" s="642" t="str">
        <f>IF('rotation(7EA)'!I41=0," ",$B42*'rotation(7EA)'!I41)</f>
        <v xml:space="preserve"> </v>
      </c>
      <c r="K42" s="642" t="str">
        <f>IF('rotation(7EA)'!J41=0," ",$B42*'rotation(7EA)'!J41)</f>
        <v xml:space="preserve"> </v>
      </c>
      <c r="L42" s="642" t="str">
        <f>IF('rotation(7EA)'!K41=0," ",$B42*'rotation(7EA)'!K41)</f>
        <v xml:space="preserve"> </v>
      </c>
      <c r="M42" s="642" t="str">
        <f>IF('rotation(7EA)'!L41=0," ",$B42*'rotation(7EA)'!L41)</f>
        <v xml:space="preserve"> </v>
      </c>
      <c r="N42" s="642" t="str">
        <f>IF('rotation(7EA)'!M41=0," ",$B42*'rotation(7EA)'!M41)</f>
        <v xml:space="preserve"> </v>
      </c>
      <c r="O42" s="642" t="str">
        <f>IF('rotation(7EA)'!N41=0," ",$B42*'rotation(7EA)'!N41)</f>
        <v xml:space="preserve"> </v>
      </c>
      <c r="P42" s="642" t="str">
        <f>IF('rotation(7EA)'!O41=0," ",$B42*'rotation(7EA)'!O41)</f>
        <v xml:space="preserve"> </v>
      </c>
      <c r="Q42" s="642" t="str">
        <f>IF('rotation(7EA)'!P41=0," ",$B42*'rotation(7EA)'!P41)</f>
        <v xml:space="preserve"> </v>
      </c>
      <c r="R42" s="642" t="str">
        <f>IF('rotation(7EA)'!Q41=0," ",$B42*'rotation(7EA)'!Q41)</f>
        <v xml:space="preserve"> </v>
      </c>
      <c r="S42" s="642" t="str">
        <f>IF('rotation(7EA)'!R41=0," ",$B42*'rotation(7EA)'!R41)</f>
        <v xml:space="preserve"> </v>
      </c>
      <c r="T42" s="642" t="str">
        <f>IF('rotation(7EA)'!S41=0," ",$B42*'rotation(7EA)'!S41)</f>
        <v xml:space="preserve"> </v>
      </c>
      <c r="U42" s="642" t="str">
        <f>IF('rotation(7EA)'!T41=0," ",$B42*'rotation(7EA)'!T41)</f>
        <v xml:space="preserve"> </v>
      </c>
      <c r="V42" s="642" t="str">
        <f>IF('rotation(7EA)'!U41=0," ",$B42*'rotation(7EA)'!U41)</f>
        <v xml:space="preserve"> </v>
      </c>
      <c r="W42" s="642" t="str">
        <f>IF('rotation(7EA)'!V41=0," ",$B42*'rotation(7EA)'!V41)</f>
        <v xml:space="preserve"> </v>
      </c>
      <c r="X42" s="21">
        <f t="shared" si="4"/>
        <v>0</v>
      </c>
    </row>
    <row r="43" spans="1:24" s="21" customFormat="1">
      <c r="A43" s="648" t="str">
        <f>'GTDB(7EA)'!A23</f>
        <v>Stage 1 Buckets</v>
      </c>
      <c r="B43" s="641">
        <f>'GTDB(7EA)'!D23</f>
        <v>74.5</v>
      </c>
      <c r="C43" s="642"/>
      <c r="D43" s="642" t="str">
        <f>IF('rotation(7EA)'!C45=0," ",$B43*'rotation(7EA)'!C45)</f>
        <v xml:space="preserve"> </v>
      </c>
      <c r="E43" s="642" t="str">
        <f>IF('rotation(7EA)'!D45=0," ",$B43*'rotation(7EA)'!D45)</f>
        <v xml:space="preserve"> </v>
      </c>
      <c r="F43" s="642" t="str">
        <f>IF('rotation(7EA)'!E45=0," ",$B43*'rotation(7EA)'!E45)</f>
        <v xml:space="preserve"> </v>
      </c>
      <c r="G43" s="642" t="str">
        <f>IF('rotation(7EA)'!F45=0," ",$B43*'rotation(7EA)'!F45)</f>
        <v xml:space="preserve"> </v>
      </c>
      <c r="H43" s="642" t="str">
        <f>IF('rotation(7EA)'!G45=0," ",$B43*'rotation(7EA)'!G45)</f>
        <v xml:space="preserve"> </v>
      </c>
      <c r="I43" s="642" t="str">
        <f>IF('rotation(7EA)'!H45=0," ",$B43*'rotation(7EA)'!H45)</f>
        <v xml:space="preserve"> </v>
      </c>
      <c r="J43" s="642" t="str">
        <f>IF('rotation(7EA)'!I45=0," ",$B43*'rotation(7EA)'!I45)</f>
        <v xml:space="preserve"> </v>
      </c>
      <c r="K43" s="642" t="str">
        <f>IF('rotation(7EA)'!J45=0," ",$B43*'rotation(7EA)'!J45)</f>
        <v xml:space="preserve"> </v>
      </c>
      <c r="L43" s="642" t="str">
        <f>IF('rotation(7EA)'!K45=0," ",$B43*'rotation(7EA)'!K45)</f>
        <v xml:space="preserve"> </v>
      </c>
      <c r="M43" s="642" t="str">
        <f>IF('rotation(7EA)'!L45=0," ",$B43*'rotation(7EA)'!L45)</f>
        <v xml:space="preserve"> </v>
      </c>
      <c r="N43" s="642" t="str">
        <f>IF('rotation(7EA)'!M45=0," ",$B43*'rotation(7EA)'!M45)</f>
        <v xml:space="preserve"> </v>
      </c>
      <c r="O43" s="642" t="str">
        <f>IF('rotation(7EA)'!N45=0," ",$B43*'rotation(7EA)'!N45)</f>
        <v xml:space="preserve"> </v>
      </c>
      <c r="P43" s="642" t="str">
        <f>IF('rotation(7EA)'!O45=0," ",$B43*'rotation(7EA)'!O45)</f>
        <v xml:space="preserve"> </v>
      </c>
      <c r="Q43" s="642" t="str">
        <f>IF('rotation(7EA)'!P45=0," ",$B43*'rotation(7EA)'!P45)</f>
        <v xml:space="preserve"> </v>
      </c>
      <c r="R43" s="642" t="str">
        <f>IF('rotation(7EA)'!Q45=0," ",$B43*'rotation(7EA)'!Q45)</f>
        <v xml:space="preserve"> </v>
      </c>
      <c r="S43" s="642" t="str">
        <f>IF('rotation(7EA)'!R45=0," ",$B43*'rotation(7EA)'!R45)</f>
        <v xml:space="preserve"> </v>
      </c>
      <c r="T43" s="642" t="str">
        <f>IF('rotation(7EA)'!S45=0," ",$B43*'rotation(7EA)'!S45)</f>
        <v xml:space="preserve"> </v>
      </c>
      <c r="U43" s="642" t="str">
        <f>IF('rotation(7EA)'!T45=0," ",$B43*'rotation(7EA)'!T45)</f>
        <v xml:space="preserve"> </v>
      </c>
      <c r="V43" s="642" t="str">
        <f>IF('rotation(7EA)'!U45=0," ",$B43*'rotation(7EA)'!U45)</f>
        <v xml:space="preserve"> </v>
      </c>
      <c r="W43" s="642" t="str">
        <f>IF('rotation(7EA)'!V45=0," ",$B43*'rotation(7EA)'!V45)</f>
        <v xml:space="preserve"> </v>
      </c>
      <c r="X43" s="21">
        <f t="shared" si="4"/>
        <v>0</v>
      </c>
    </row>
    <row r="44" spans="1:24" s="21" customFormat="1">
      <c r="A44" s="648" t="str">
        <f>'GTDB(7EA)'!A24</f>
        <v>Stage 2 Buckets</v>
      </c>
      <c r="B44" s="641">
        <f>'GTDB(7EA)'!D24</f>
        <v>39</v>
      </c>
      <c r="C44" s="642"/>
      <c r="D44" s="642" t="str">
        <f>IF('rotation(7EA)'!C49=0," ",$B44*'rotation(7EA)'!C49)</f>
        <v xml:space="preserve"> </v>
      </c>
      <c r="E44" s="642" t="str">
        <f>IF('rotation(7EA)'!D49=0," ",$B44*'rotation(7EA)'!D49)</f>
        <v xml:space="preserve"> </v>
      </c>
      <c r="F44" s="642" t="str">
        <f>IF('rotation(7EA)'!E49=0," ",$B44*'rotation(7EA)'!E49)</f>
        <v xml:space="preserve"> </v>
      </c>
      <c r="G44" s="642" t="str">
        <f>IF('rotation(7EA)'!F49=0," ",$B44*'rotation(7EA)'!F49)</f>
        <v xml:space="preserve"> </v>
      </c>
      <c r="H44" s="642" t="str">
        <f>IF('rotation(7EA)'!G49=0," ",$B44*'rotation(7EA)'!G49)</f>
        <v xml:space="preserve"> </v>
      </c>
      <c r="I44" s="642" t="str">
        <f>IF('rotation(7EA)'!H49=0," ",$B44*'rotation(7EA)'!H49)</f>
        <v xml:space="preserve"> </v>
      </c>
      <c r="J44" s="642" t="str">
        <f>IF('rotation(7EA)'!I49=0," ",$B44*'rotation(7EA)'!I49)</f>
        <v xml:space="preserve"> </v>
      </c>
      <c r="K44" s="642" t="str">
        <f>IF('rotation(7EA)'!J49=0," ",$B44*'rotation(7EA)'!J49)</f>
        <v xml:space="preserve"> </v>
      </c>
      <c r="L44" s="642" t="str">
        <f>IF('rotation(7EA)'!K49=0," ",$B44*'rotation(7EA)'!K49)</f>
        <v xml:space="preserve"> </v>
      </c>
      <c r="M44" s="642" t="str">
        <f>IF('rotation(7EA)'!L49=0," ",$B44*'rotation(7EA)'!L49)</f>
        <v xml:space="preserve"> </v>
      </c>
      <c r="N44" s="642" t="str">
        <f>IF('rotation(7EA)'!M49=0," ",$B44*'rotation(7EA)'!M49)</f>
        <v xml:space="preserve"> </v>
      </c>
      <c r="O44" s="642" t="str">
        <f>IF('rotation(7EA)'!N49=0," ",$B44*'rotation(7EA)'!N49)</f>
        <v xml:space="preserve"> </v>
      </c>
      <c r="P44" s="642" t="str">
        <f>IF('rotation(7EA)'!O49=0," ",$B44*'rotation(7EA)'!O49)</f>
        <v xml:space="preserve"> </v>
      </c>
      <c r="Q44" s="642" t="str">
        <f>IF('rotation(7EA)'!P49=0," ",$B44*'rotation(7EA)'!P49)</f>
        <v xml:space="preserve"> </v>
      </c>
      <c r="R44" s="642" t="str">
        <f>IF('rotation(7EA)'!Q49=0," ",$B44*'rotation(7EA)'!Q49)</f>
        <v xml:space="preserve"> </v>
      </c>
      <c r="S44" s="642" t="str">
        <f>IF('rotation(7EA)'!R49=0," ",$B44*'rotation(7EA)'!R49)</f>
        <v xml:space="preserve"> </v>
      </c>
      <c r="T44" s="642" t="str">
        <f>IF('rotation(7EA)'!S49=0," ",$B44*'rotation(7EA)'!S49)</f>
        <v xml:space="preserve"> </v>
      </c>
      <c r="U44" s="642" t="str">
        <f>IF('rotation(7EA)'!T49=0," ",$B44*'rotation(7EA)'!T49)</f>
        <v xml:space="preserve"> </v>
      </c>
      <c r="V44" s="642" t="str">
        <f>IF('rotation(7EA)'!U49=0," ",$B44*'rotation(7EA)'!U49)</f>
        <v xml:space="preserve"> </v>
      </c>
      <c r="W44" s="642" t="str">
        <f>IF('rotation(7EA)'!V49=0," ",$B44*'rotation(7EA)'!V49)</f>
        <v xml:space="preserve"> </v>
      </c>
      <c r="X44" s="21">
        <f t="shared" si="4"/>
        <v>0</v>
      </c>
    </row>
    <row r="45" spans="1:24" s="21" customFormat="1">
      <c r="A45" s="648" t="str">
        <f>'GTDB(7EA)'!A25</f>
        <v>Stage 3 Buckets</v>
      </c>
      <c r="B45" s="641">
        <f>'GTDB(7EA)'!D25</f>
        <v>42</v>
      </c>
      <c r="C45" s="642"/>
      <c r="D45" s="642" t="str">
        <f>IF('rotation(7EA)'!C53=0," ",$B45*'rotation(7EA)'!C53)</f>
        <v xml:space="preserve"> </v>
      </c>
      <c r="E45" s="642" t="str">
        <f>IF('rotation(7EA)'!D53=0," ",$B45*'rotation(7EA)'!D53)</f>
        <v xml:space="preserve"> </v>
      </c>
      <c r="F45" s="642" t="str">
        <f>IF('rotation(7EA)'!E53=0," ",$B45*'rotation(7EA)'!E53)</f>
        <v xml:space="preserve"> </v>
      </c>
      <c r="G45" s="642" t="str">
        <f>IF('rotation(7EA)'!F53=0," ",$B45*'rotation(7EA)'!F53)</f>
        <v xml:space="preserve"> </v>
      </c>
      <c r="H45" s="642" t="str">
        <f>IF('rotation(7EA)'!G53=0," ",$B45*'rotation(7EA)'!G53)</f>
        <v xml:space="preserve"> </v>
      </c>
      <c r="I45" s="642" t="str">
        <f>IF('rotation(7EA)'!H53=0," ",$B45*'rotation(7EA)'!H53)</f>
        <v xml:space="preserve"> </v>
      </c>
      <c r="J45" s="642" t="str">
        <f>IF('rotation(7EA)'!I53=0," ",$B45*'rotation(7EA)'!I53)</f>
        <v xml:space="preserve"> </v>
      </c>
      <c r="K45" s="642" t="str">
        <f>IF('rotation(7EA)'!J53=0," ",$B45*'rotation(7EA)'!J53)</f>
        <v xml:space="preserve"> </v>
      </c>
      <c r="L45" s="642" t="str">
        <f>IF('rotation(7EA)'!K53=0," ",$B45*'rotation(7EA)'!K53)</f>
        <v xml:space="preserve"> </v>
      </c>
      <c r="M45" s="642" t="str">
        <f>IF('rotation(7EA)'!L53=0," ",$B45*'rotation(7EA)'!L53)</f>
        <v xml:space="preserve"> </v>
      </c>
      <c r="N45" s="642" t="str">
        <f>IF('rotation(7EA)'!M53=0," ",$B45*'rotation(7EA)'!M53)</f>
        <v xml:space="preserve"> </v>
      </c>
      <c r="O45" s="642" t="str">
        <f>IF('rotation(7EA)'!N53=0," ",$B45*'rotation(7EA)'!N53)</f>
        <v xml:space="preserve"> </v>
      </c>
      <c r="P45" s="642" t="str">
        <f>IF('rotation(7EA)'!O53=0," ",$B45*'rotation(7EA)'!O53)</f>
        <v xml:space="preserve"> </v>
      </c>
      <c r="Q45" s="642" t="str">
        <f>IF('rotation(7EA)'!P53=0," ",$B45*'rotation(7EA)'!P53)</f>
        <v xml:space="preserve"> </v>
      </c>
      <c r="R45" s="642" t="str">
        <f>IF('rotation(7EA)'!Q53=0," ",$B45*'rotation(7EA)'!Q53)</f>
        <v xml:space="preserve"> </v>
      </c>
      <c r="S45" s="642" t="str">
        <f>IF('rotation(7EA)'!R53=0," ",$B45*'rotation(7EA)'!R53)</f>
        <v xml:space="preserve"> </v>
      </c>
      <c r="T45" s="642" t="str">
        <f>IF('rotation(7EA)'!S53=0," ",$B45*'rotation(7EA)'!S53)</f>
        <v xml:space="preserve"> </v>
      </c>
      <c r="U45" s="642" t="str">
        <f>IF('rotation(7EA)'!T53=0," ",$B45*'rotation(7EA)'!T53)</f>
        <v xml:space="preserve"> </v>
      </c>
      <c r="V45" s="642" t="str">
        <f>IF('rotation(7EA)'!U53=0," ",$B45*'rotation(7EA)'!U53)</f>
        <v xml:space="preserve"> </v>
      </c>
      <c r="W45" s="642" t="str">
        <f>IF('rotation(7EA)'!V53=0," ",$B45*'rotation(7EA)'!V53)</f>
        <v xml:space="preserve"> </v>
      </c>
      <c r="X45" s="21">
        <f t="shared" si="4"/>
        <v>0</v>
      </c>
    </row>
    <row r="46" spans="1:24" s="21" customFormat="1">
      <c r="A46" s="648" t="str">
        <f>'GTDB(7EA)'!A26</f>
        <v>Row 1 Support Ring</v>
      </c>
      <c r="B46" s="641">
        <f>'GTDB(7EA)'!D26</f>
        <v>25</v>
      </c>
      <c r="C46" s="642"/>
      <c r="D46" s="642" t="str">
        <f>IF('rotation(7EA)'!C57=0," ",$B46*'rotation(7EA)'!C57)</f>
        <v xml:space="preserve"> </v>
      </c>
      <c r="E46" s="642" t="str">
        <f>IF('rotation(7EA)'!D57=0," ",$B46*'rotation(7EA)'!D57)</f>
        <v xml:space="preserve"> </v>
      </c>
      <c r="F46" s="642" t="str">
        <f>IF('rotation(7EA)'!E57=0," ",$B46*'rotation(7EA)'!E57)</f>
        <v xml:space="preserve"> </v>
      </c>
      <c r="G46" s="642" t="str">
        <f>IF('rotation(7EA)'!F57=0," ",$B46*'rotation(7EA)'!F57)</f>
        <v xml:space="preserve"> </v>
      </c>
      <c r="H46" s="642" t="str">
        <f>IF('rotation(7EA)'!G57=0," ",$B46*'rotation(7EA)'!G57)</f>
        <v xml:space="preserve"> </v>
      </c>
      <c r="I46" s="642" t="str">
        <f>IF('rotation(7EA)'!H57=0," ",$B46*'rotation(7EA)'!H57)</f>
        <v xml:space="preserve"> </v>
      </c>
      <c r="J46" s="642" t="str">
        <f>IF('rotation(7EA)'!I57=0," ",$B46*'rotation(7EA)'!I57)</f>
        <v xml:space="preserve"> </v>
      </c>
      <c r="K46" s="642" t="str">
        <f>IF('rotation(7EA)'!J57=0," ",$B46*'rotation(7EA)'!J57)</f>
        <v xml:space="preserve"> </v>
      </c>
      <c r="L46" s="642" t="str">
        <f>IF('rotation(7EA)'!K57=0," ",$B46*'rotation(7EA)'!K57)</f>
        <v xml:space="preserve"> </v>
      </c>
      <c r="M46" s="642" t="str">
        <f>IF('rotation(7EA)'!L57=0," ",$B46*'rotation(7EA)'!L57)</f>
        <v xml:space="preserve"> </v>
      </c>
      <c r="N46" s="642" t="str">
        <f>IF('rotation(7EA)'!M57=0," ",$B46*'rotation(7EA)'!M57)</f>
        <v xml:space="preserve"> </v>
      </c>
      <c r="O46" s="642" t="str">
        <f>IF('rotation(7EA)'!N57=0," ",$B46*'rotation(7EA)'!N57)</f>
        <v xml:space="preserve"> </v>
      </c>
      <c r="P46" s="642" t="str">
        <f>IF('rotation(7EA)'!O57=0," ",$B46*'rotation(7EA)'!O57)</f>
        <v xml:space="preserve"> </v>
      </c>
      <c r="Q46" s="642" t="str">
        <f>IF('rotation(7EA)'!P57=0," ",$B46*'rotation(7EA)'!P57)</f>
        <v xml:space="preserve"> </v>
      </c>
      <c r="R46" s="642" t="str">
        <f>IF('rotation(7EA)'!Q57=0," ",$B46*'rotation(7EA)'!Q57)</f>
        <v xml:space="preserve"> </v>
      </c>
      <c r="S46" s="642" t="str">
        <f>IF('rotation(7EA)'!R57=0," ",$B46*'rotation(7EA)'!R57)</f>
        <v xml:space="preserve"> </v>
      </c>
      <c r="T46" s="642" t="str">
        <f>IF('rotation(7EA)'!S57=0," ",$B46*'rotation(7EA)'!S57)</f>
        <v xml:space="preserve"> </v>
      </c>
      <c r="U46" s="642" t="str">
        <f>IF('rotation(7EA)'!T57=0," ",$B46*'rotation(7EA)'!T57)</f>
        <v xml:space="preserve"> </v>
      </c>
      <c r="V46" s="642" t="str">
        <f>IF('rotation(7EA)'!U57=0," ",$B46*'rotation(7EA)'!U57)</f>
        <v xml:space="preserve"> </v>
      </c>
      <c r="W46" s="642" t="str">
        <f>IF('rotation(7EA)'!V57=0," ",$B46*'rotation(7EA)'!V57)</f>
        <v xml:space="preserve"> </v>
      </c>
      <c r="X46" s="21">
        <f t="shared" si="4"/>
        <v>0</v>
      </c>
    </row>
    <row r="47" spans="1:24" s="21" customFormat="1">
      <c r="A47" s="648" t="str">
        <f>'GTDB(7EA)'!A27</f>
        <v xml:space="preserve">1st Stage Shroud Blocks </v>
      </c>
      <c r="B47" s="641">
        <f>'GTDB(7EA)'!D27</f>
        <v>15.4</v>
      </c>
      <c r="C47" s="642"/>
      <c r="D47" s="642" t="str">
        <f>IF('rotation(7EA)'!C61=0," ",$B47*'rotation(7EA)'!C61)</f>
        <v xml:space="preserve"> </v>
      </c>
      <c r="E47" s="642" t="str">
        <f>IF('rotation(7EA)'!D61=0," ",$B47*'rotation(7EA)'!D61)</f>
        <v xml:space="preserve"> </v>
      </c>
      <c r="F47" s="642" t="str">
        <f>IF('rotation(7EA)'!E61=0," ",$B47*'rotation(7EA)'!E61)</f>
        <v xml:space="preserve"> </v>
      </c>
      <c r="G47" s="642" t="str">
        <f>IF('rotation(7EA)'!F61=0," ",$B47*'rotation(7EA)'!F61)</f>
        <v xml:space="preserve"> </v>
      </c>
      <c r="H47" s="642" t="str">
        <f>IF('rotation(7EA)'!G61=0," ",$B47*'rotation(7EA)'!G61)</f>
        <v xml:space="preserve"> </v>
      </c>
      <c r="I47" s="642" t="str">
        <f>IF('rotation(7EA)'!H61=0," ",$B47*'rotation(7EA)'!H61)</f>
        <v xml:space="preserve"> </v>
      </c>
      <c r="J47" s="642" t="str">
        <f>IF('rotation(7EA)'!I61=0," ",$B47*'rotation(7EA)'!I61)</f>
        <v xml:space="preserve"> </v>
      </c>
      <c r="K47" s="642" t="str">
        <f>IF('rotation(7EA)'!J61=0," ",$B47*'rotation(7EA)'!J61)</f>
        <v xml:space="preserve"> </v>
      </c>
      <c r="L47" s="642" t="str">
        <f>IF('rotation(7EA)'!K61=0," ",$B47*'rotation(7EA)'!K61)</f>
        <v xml:space="preserve"> </v>
      </c>
      <c r="M47" s="642" t="str">
        <f>IF('rotation(7EA)'!L61=0," ",$B47*'rotation(7EA)'!L61)</f>
        <v xml:space="preserve"> </v>
      </c>
      <c r="N47" s="642" t="str">
        <f>IF('rotation(7EA)'!M61=0," ",$B47*'rotation(7EA)'!M61)</f>
        <v xml:space="preserve"> </v>
      </c>
      <c r="O47" s="642" t="str">
        <f>IF('rotation(7EA)'!N61=0," ",$B47*'rotation(7EA)'!N61)</f>
        <v xml:space="preserve"> </v>
      </c>
      <c r="P47" s="642" t="str">
        <f>IF('rotation(7EA)'!O61=0," ",$B47*'rotation(7EA)'!O61)</f>
        <v xml:space="preserve"> </v>
      </c>
      <c r="Q47" s="642" t="str">
        <f>IF('rotation(7EA)'!P61=0," ",$B47*'rotation(7EA)'!P61)</f>
        <v xml:space="preserve"> </v>
      </c>
      <c r="R47" s="642" t="str">
        <f>IF('rotation(7EA)'!Q61=0," ",$B47*'rotation(7EA)'!Q61)</f>
        <v xml:space="preserve"> </v>
      </c>
      <c r="S47" s="642" t="str">
        <f>IF('rotation(7EA)'!R61=0," ",$B47*'rotation(7EA)'!R61)</f>
        <v xml:space="preserve"> </v>
      </c>
      <c r="T47" s="642" t="str">
        <f>IF('rotation(7EA)'!S61=0," ",$B47*'rotation(7EA)'!S61)</f>
        <v xml:space="preserve"> </v>
      </c>
      <c r="U47" s="642" t="str">
        <f>IF('rotation(7EA)'!T61=0," ",$B47*'rotation(7EA)'!T61)</f>
        <v xml:space="preserve"> </v>
      </c>
      <c r="V47" s="642" t="str">
        <f>IF('rotation(7EA)'!U61=0," ",$B47*'rotation(7EA)'!U61)</f>
        <v xml:space="preserve"> </v>
      </c>
      <c r="W47" s="642" t="str">
        <f>IF('rotation(7EA)'!V61=0," ",$B47*'rotation(7EA)'!V61)</f>
        <v xml:space="preserve"> </v>
      </c>
      <c r="X47" s="21">
        <f t="shared" si="4"/>
        <v>0</v>
      </c>
    </row>
    <row r="48" spans="1:24" s="21" customFormat="1">
      <c r="A48" s="648" t="str">
        <f>'GTDB(7EA)'!A28</f>
        <v>2nd Stage Shroud Blocks</v>
      </c>
      <c r="B48" s="641">
        <f>'GTDB(7EA)'!D28</f>
        <v>14.4</v>
      </c>
      <c r="C48" s="642"/>
      <c r="D48" s="642" t="str">
        <f>IF('rotation(7EA)'!C65=0," ",$B48*'rotation(7EA)'!C65)</f>
        <v xml:space="preserve"> </v>
      </c>
      <c r="E48" s="642" t="str">
        <f>IF('rotation(7EA)'!D65=0," ",$B48*'rotation(7EA)'!D65)</f>
        <v xml:space="preserve"> </v>
      </c>
      <c r="F48" s="642" t="str">
        <f>IF('rotation(7EA)'!E65=0," ",$B48*'rotation(7EA)'!E65)</f>
        <v xml:space="preserve"> </v>
      </c>
      <c r="G48" s="642" t="str">
        <f>IF('rotation(7EA)'!F65=0," ",$B48*'rotation(7EA)'!F65)</f>
        <v xml:space="preserve"> </v>
      </c>
      <c r="H48" s="642" t="str">
        <f>IF('rotation(7EA)'!G65=0," ",$B48*'rotation(7EA)'!G65)</f>
        <v xml:space="preserve"> </v>
      </c>
      <c r="I48" s="642" t="str">
        <f>IF('rotation(7EA)'!H65=0," ",$B48*'rotation(7EA)'!H65)</f>
        <v xml:space="preserve"> </v>
      </c>
      <c r="J48" s="642" t="str">
        <f>IF('rotation(7EA)'!I65=0," ",$B48*'rotation(7EA)'!I65)</f>
        <v xml:space="preserve"> </v>
      </c>
      <c r="K48" s="642" t="str">
        <f>IF('rotation(7EA)'!J65=0," ",$B48*'rotation(7EA)'!J65)</f>
        <v xml:space="preserve"> </v>
      </c>
      <c r="L48" s="642" t="str">
        <f>IF('rotation(7EA)'!K65=0," ",$B48*'rotation(7EA)'!K65)</f>
        <v xml:space="preserve"> </v>
      </c>
      <c r="M48" s="642" t="str">
        <f>IF('rotation(7EA)'!L65=0," ",$B48*'rotation(7EA)'!L65)</f>
        <v xml:space="preserve"> </v>
      </c>
      <c r="N48" s="642" t="str">
        <f>IF('rotation(7EA)'!M65=0," ",$B48*'rotation(7EA)'!M65)</f>
        <v xml:space="preserve"> </v>
      </c>
      <c r="O48" s="642" t="str">
        <f>IF('rotation(7EA)'!N65=0," ",$B48*'rotation(7EA)'!N65)</f>
        <v xml:space="preserve"> </v>
      </c>
      <c r="P48" s="642" t="str">
        <f>IF('rotation(7EA)'!O65=0," ",$B48*'rotation(7EA)'!O65)</f>
        <v xml:space="preserve"> </v>
      </c>
      <c r="Q48" s="642" t="str">
        <f>IF('rotation(7EA)'!P65=0," ",$B48*'rotation(7EA)'!P65)</f>
        <v xml:space="preserve"> </v>
      </c>
      <c r="R48" s="642" t="str">
        <f>IF('rotation(7EA)'!Q65=0," ",$B48*'rotation(7EA)'!Q65)</f>
        <v xml:space="preserve"> </v>
      </c>
      <c r="S48" s="642" t="str">
        <f>IF('rotation(7EA)'!R65=0," ",$B48*'rotation(7EA)'!R65)</f>
        <v xml:space="preserve"> </v>
      </c>
      <c r="T48" s="642" t="str">
        <f>IF('rotation(7EA)'!S65=0," ",$B48*'rotation(7EA)'!S65)</f>
        <v xml:space="preserve"> </v>
      </c>
      <c r="U48" s="642" t="str">
        <f>IF('rotation(7EA)'!T65=0," ",$B48*'rotation(7EA)'!T65)</f>
        <v xml:space="preserve"> </v>
      </c>
      <c r="V48" s="642" t="str">
        <f>IF('rotation(7EA)'!U65=0," ",$B48*'rotation(7EA)'!U65)</f>
        <v xml:space="preserve"> </v>
      </c>
      <c r="W48" s="642" t="str">
        <f>IF('rotation(7EA)'!V65=0," ",$B48*'rotation(7EA)'!V65)</f>
        <v xml:space="preserve"> </v>
      </c>
      <c r="X48" s="21">
        <f t="shared" si="4"/>
        <v>0</v>
      </c>
    </row>
    <row r="49" spans="1:24" s="21" customFormat="1">
      <c r="A49" s="648" t="str">
        <f>'GTDB(7EA)'!A29</f>
        <v>3rd Stage Shroud Blocks</v>
      </c>
      <c r="B49" s="641">
        <f>'GTDB(7EA)'!D29</f>
        <v>13.4</v>
      </c>
      <c r="C49" s="642"/>
      <c r="D49" s="642" t="str">
        <f>IF('rotation(7EA)'!C69=0," ",$B49*'rotation(7EA)'!C69)</f>
        <v xml:space="preserve"> </v>
      </c>
      <c r="E49" s="642" t="str">
        <f>IF('rotation(7EA)'!D69=0," ",$B49*'rotation(7EA)'!D69)</f>
        <v xml:space="preserve"> </v>
      </c>
      <c r="F49" s="642" t="str">
        <f>IF('rotation(7EA)'!E69=0," ",$B49*'rotation(7EA)'!E69)</f>
        <v xml:space="preserve"> </v>
      </c>
      <c r="G49" s="642" t="str">
        <f>IF('rotation(7EA)'!F69=0," ",$B49*'rotation(7EA)'!F69)</f>
        <v xml:space="preserve"> </v>
      </c>
      <c r="H49" s="642" t="str">
        <f>IF('rotation(7EA)'!G69=0," ",$B49*'rotation(7EA)'!G69)</f>
        <v xml:space="preserve"> </v>
      </c>
      <c r="I49" s="642" t="str">
        <f>IF('rotation(7EA)'!H69=0," ",$B49*'rotation(7EA)'!H69)</f>
        <v xml:space="preserve"> </v>
      </c>
      <c r="J49" s="642" t="str">
        <f>IF('rotation(7EA)'!I69=0," ",$B49*'rotation(7EA)'!I69)</f>
        <v xml:space="preserve"> </v>
      </c>
      <c r="K49" s="642" t="str">
        <f>IF('rotation(7EA)'!J69=0," ",$B49*'rotation(7EA)'!J69)</f>
        <v xml:space="preserve"> </v>
      </c>
      <c r="L49" s="642" t="str">
        <f>IF('rotation(7EA)'!K69=0," ",$B49*'rotation(7EA)'!K69)</f>
        <v xml:space="preserve"> </v>
      </c>
      <c r="M49" s="642" t="str">
        <f>IF('rotation(7EA)'!L69=0," ",$B49*'rotation(7EA)'!L69)</f>
        <v xml:space="preserve"> </v>
      </c>
      <c r="N49" s="642" t="str">
        <f>IF('rotation(7EA)'!M69=0," ",$B49*'rotation(7EA)'!M69)</f>
        <v xml:space="preserve"> </v>
      </c>
      <c r="O49" s="642" t="str">
        <f>IF('rotation(7EA)'!N69=0," ",$B49*'rotation(7EA)'!N69)</f>
        <v xml:space="preserve"> </v>
      </c>
      <c r="P49" s="642" t="str">
        <f>IF('rotation(7EA)'!O69=0," ",$B49*'rotation(7EA)'!O69)</f>
        <v xml:space="preserve"> </v>
      </c>
      <c r="Q49" s="642" t="str">
        <f>IF('rotation(7EA)'!P69=0," ",$B49*'rotation(7EA)'!P69)</f>
        <v xml:space="preserve"> </v>
      </c>
      <c r="R49" s="642" t="str">
        <f>IF('rotation(7EA)'!Q69=0," ",$B49*'rotation(7EA)'!Q69)</f>
        <v xml:space="preserve"> </v>
      </c>
      <c r="S49" s="642" t="str">
        <f>IF('rotation(7EA)'!R69=0," ",$B49*'rotation(7EA)'!R69)</f>
        <v xml:space="preserve"> </v>
      </c>
      <c r="T49" s="642" t="str">
        <f>IF('rotation(7EA)'!S69=0," ",$B49*'rotation(7EA)'!S69)</f>
        <v xml:space="preserve"> </v>
      </c>
      <c r="U49" s="642" t="str">
        <f>IF('rotation(7EA)'!T69=0," ",$B49*'rotation(7EA)'!T69)</f>
        <v xml:space="preserve"> </v>
      </c>
      <c r="V49" s="642" t="str">
        <f>IF('rotation(7EA)'!U69=0," ",$B49*'rotation(7EA)'!U69)</f>
        <v xml:space="preserve"> </v>
      </c>
      <c r="W49" s="642" t="str">
        <f>IF('rotation(7EA)'!V69=0," ",$B49*'rotation(7EA)'!V69)</f>
        <v xml:space="preserve"> </v>
      </c>
      <c r="X49" s="21">
        <f t="shared" si="4"/>
        <v>0</v>
      </c>
    </row>
    <row r="50" spans="1:24" s="21" customFormat="1">
      <c r="A50" s="64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</row>
    <row r="51" spans="1:24" s="21" customFormat="1">
      <c r="A51" s="651" t="s">
        <v>911</v>
      </c>
      <c r="B51" s="643">
        <v>0.02</v>
      </c>
      <c r="C51" s="79"/>
      <c r="D51" s="79">
        <f t="shared" ref="D51:W51" si="5">SUM(D37:D49)*(1-$B51)</f>
        <v>0</v>
      </c>
      <c r="E51" s="79">
        <f t="shared" si="5"/>
        <v>0</v>
      </c>
      <c r="F51" s="79">
        <f t="shared" si="5"/>
        <v>0</v>
      </c>
      <c r="G51" s="79">
        <f t="shared" si="5"/>
        <v>0</v>
      </c>
      <c r="H51" s="79">
        <f t="shared" si="5"/>
        <v>0</v>
      </c>
      <c r="I51" s="79">
        <f t="shared" si="5"/>
        <v>0</v>
      </c>
      <c r="J51" s="79">
        <f t="shared" si="5"/>
        <v>0</v>
      </c>
      <c r="K51" s="79">
        <f t="shared" si="5"/>
        <v>0</v>
      </c>
      <c r="L51" s="79">
        <f t="shared" si="5"/>
        <v>0</v>
      </c>
      <c r="M51" s="79">
        <f t="shared" si="5"/>
        <v>0</v>
      </c>
      <c r="N51" s="79">
        <f t="shared" si="5"/>
        <v>0</v>
      </c>
      <c r="O51" s="79">
        <f t="shared" si="5"/>
        <v>0</v>
      </c>
      <c r="P51" s="79">
        <f t="shared" si="5"/>
        <v>0</v>
      </c>
      <c r="Q51" s="79">
        <f t="shared" si="5"/>
        <v>0</v>
      </c>
      <c r="R51" s="79">
        <f t="shared" si="5"/>
        <v>0</v>
      </c>
      <c r="S51" s="79">
        <f t="shared" si="5"/>
        <v>0</v>
      </c>
      <c r="T51" s="79">
        <f t="shared" si="5"/>
        <v>0</v>
      </c>
      <c r="U51" s="79">
        <f t="shared" si="5"/>
        <v>0</v>
      </c>
      <c r="V51" s="79">
        <f t="shared" si="5"/>
        <v>0</v>
      </c>
      <c r="W51" s="79">
        <f t="shared" si="5"/>
        <v>0</v>
      </c>
      <c r="X51" s="21">
        <f>SUM(D51:W51)</f>
        <v>0</v>
      </c>
    </row>
    <row r="52" spans="1:24" s="21" customFormat="1">
      <c r="A52" s="651" t="s">
        <v>912</v>
      </c>
      <c r="B52" s="643">
        <v>0.01</v>
      </c>
      <c r="C52" s="79"/>
      <c r="D52" s="79">
        <f t="shared" ref="D52:W52" si="6">D51*(1+$B52)</f>
        <v>0</v>
      </c>
      <c r="E52" s="79">
        <f t="shared" si="6"/>
        <v>0</v>
      </c>
      <c r="F52" s="79">
        <f t="shared" si="6"/>
        <v>0</v>
      </c>
      <c r="G52" s="79">
        <f t="shared" si="6"/>
        <v>0</v>
      </c>
      <c r="H52" s="79">
        <f t="shared" si="6"/>
        <v>0</v>
      </c>
      <c r="I52" s="79">
        <f t="shared" si="6"/>
        <v>0</v>
      </c>
      <c r="J52" s="79">
        <f t="shared" si="6"/>
        <v>0</v>
      </c>
      <c r="K52" s="79">
        <f t="shared" si="6"/>
        <v>0</v>
      </c>
      <c r="L52" s="79">
        <f t="shared" si="6"/>
        <v>0</v>
      </c>
      <c r="M52" s="79">
        <f t="shared" si="6"/>
        <v>0</v>
      </c>
      <c r="N52" s="79">
        <f t="shared" si="6"/>
        <v>0</v>
      </c>
      <c r="O52" s="79">
        <f t="shared" si="6"/>
        <v>0</v>
      </c>
      <c r="P52" s="79">
        <f t="shared" si="6"/>
        <v>0</v>
      </c>
      <c r="Q52" s="79">
        <f t="shared" si="6"/>
        <v>0</v>
      </c>
      <c r="R52" s="79">
        <f t="shared" si="6"/>
        <v>0</v>
      </c>
      <c r="S52" s="79">
        <f t="shared" si="6"/>
        <v>0</v>
      </c>
      <c r="T52" s="79">
        <f t="shared" si="6"/>
        <v>0</v>
      </c>
      <c r="U52" s="79">
        <f t="shared" si="6"/>
        <v>0</v>
      </c>
      <c r="V52" s="79">
        <f t="shared" si="6"/>
        <v>0</v>
      </c>
      <c r="W52" s="79">
        <f t="shared" si="6"/>
        <v>0</v>
      </c>
      <c r="X52" s="644">
        <f>SUM(D52:W52)</f>
        <v>0</v>
      </c>
    </row>
    <row r="53" spans="1:24" s="21" customFormat="1">
      <c r="A53" s="640"/>
    </row>
    <row r="54" spans="1:24" s="21" customFormat="1">
      <c r="A54" s="640" t="s">
        <v>913</v>
      </c>
      <c r="D54" s="21">
        <f t="shared" ref="D54:W54" si="7">D10+D32+D52</f>
        <v>0</v>
      </c>
      <c r="E54" s="21">
        <f t="shared" si="7"/>
        <v>0</v>
      </c>
      <c r="F54" s="21">
        <f t="shared" si="7"/>
        <v>0</v>
      </c>
      <c r="G54" s="21">
        <f t="shared" si="7"/>
        <v>0</v>
      </c>
      <c r="H54" s="21">
        <f t="shared" si="7"/>
        <v>0</v>
      </c>
      <c r="I54" s="21">
        <f t="shared" si="7"/>
        <v>0</v>
      </c>
      <c r="J54" s="21">
        <f t="shared" si="7"/>
        <v>0</v>
      </c>
      <c r="K54" s="21">
        <f t="shared" si="7"/>
        <v>0</v>
      </c>
      <c r="L54" s="21">
        <f t="shared" si="7"/>
        <v>0</v>
      </c>
      <c r="M54" s="21">
        <f t="shared" si="7"/>
        <v>0</v>
      </c>
      <c r="N54" s="21">
        <f t="shared" si="7"/>
        <v>0</v>
      </c>
      <c r="O54" s="21">
        <f t="shared" si="7"/>
        <v>0</v>
      </c>
      <c r="P54" s="21">
        <f t="shared" si="7"/>
        <v>0</v>
      </c>
      <c r="Q54" s="21">
        <f t="shared" si="7"/>
        <v>0</v>
      </c>
      <c r="R54" s="21">
        <f t="shared" si="7"/>
        <v>0</v>
      </c>
      <c r="S54" s="21">
        <f t="shared" si="7"/>
        <v>0</v>
      </c>
      <c r="T54" s="21">
        <f t="shared" si="7"/>
        <v>0</v>
      </c>
      <c r="U54" s="21">
        <f t="shared" si="7"/>
        <v>0</v>
      </c>
      <c r="V54" s="21">
        <f t="shared" si="7"/>
        <v>0</v>
      </c>
      <c r="W54" s="21">
        <f t="shared" si="7"/>
        <v>0</v>
      </c>
      <c r="X54" s="724">
        <f>SUM(D54:W54)</f>
        <v>0</v>
      </c>
    </row>
    <row r="55" spans="1:24" s="21" customFormat="1">
      <c r="A55" s="640"/>
    </row>
    <row r="56" spans="1:24" s="21" customFormat="1">
      <c r="A56" s="640"/>
    </row>
    <row r="57" spans="1:24" s="21" customFormat="1">
      <c r="A57" s="640"/>
    </row>
    <row r="58" spans="1:24" s="21" customFormat="1">
      <c r="A58" s="640"/>
    </row>
    <row r="59" spans="1:24" s="21" customFormat="1">
      <c r="A59" s="640"/>
    </row>
    <row r="60" spans="1:24" s="21" customFormat="1">
      <c r="A60" s="640"/>
    </row>
    <row r="61" spans="1:24" s="21" customFormat="1">
      <c r="A61" s="640"/>
    </row>
    <row r="62" spans="1:24" s="21" customFormat="1">
      <c r="A62" s="640"/>
    </row>
    <row r="63" spans="1:24" s="21" customFormat="1">
      <c r="A63" s="640"/>
    </row>
    <row r="64" spans="1:24" s="21" customFormat="1">
      <c r="A64" s="640"/>
    </row>
    <row r="65" spans="1:1" s="21" customFormat="1">
      <c r="A65" s="640"/>
    </row>
    <row r="66" spans="1:1" s="21" customFormat="1">
      <c r="A66" s="640"/>
    </row>
    <row r="67" spans="1:1" s="21" customFormat="1">
      <c r="A67" s="640"/>
    </row>
  </sheetData>
  <printOptions horizontalCentered="1"/>
  <pageMargins left="0.75" right="0.75" top="1" bottom="1" header="0.5" footer="0.5"/>
  <pageSetup scale="53" orientation="landscape" horizontalDpi="4294967292" verticalDpi="4294967292" r:id="rId1"/>
  <headerFooter alignWithMargins="0">
    <oddFooter>&amp;LRichard Bickings
&amp;D&amp;CPage &amp;P&amp;R&amp;F
&amp;A</oddFooter>
  </headerFooter>
  <colBreaks count="1" manualBreakCount="1">
    <brk id="12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21">
    <pageSetUpPr fitToPage="1"/>
  </sheetPr>
  <dimension ref="A1:AS369"/>
  <sheetViews>
    <sheetView topLeftCell="A5" zoomScale="75" zoomScaleNormal="75" workbookViewId="0">
      <selection activeCell="C35" sqref="C35"/>
    </sheetView>
  </sheetViews>
  <sheetFormatPr defaultRowHeight="12.75"/>
  <cols>
    <col min="1" max="1" width="34.28515625" customWidth="1"/>
    <col min="2" max="2" width="30.7109375" customWidth="1"/>
    <col min="3" max="3" width="15.28515625" style="21" customWidth="1"/>
    <col min="4" max="4" width="12.7109375" hidden="1" customWidth="1"/>
    <col min="5" max="5" width="12.7109375" customWidth="1"/>
    <col min="6" max="6" width="38.5703125" bestFit="1" customWidth="1"/>
    <col min="7" max="8" width="12.7109375" customWidth="1"/>
  </cols>
  <sheetData>
    <row r="1" spans="1:45" s="59" customFormat="1" ht="15" customHeight="1">
      <c r="A1" s="899" t="str">
        <f>Scope!$A$1</f>
        <v>AES Corp, Dallas, TX (640 MW)</v>
      </c>
      <c r="B1" s="892"/>
      <c r="C1" s="892"/>
      <c r="D1" s="687"/>
      <c r="E1" s="687"/>
      <c r="F1" s="687"/>
      <c r="G1" s="687"/>
      <c r="H1" s="687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spans="1:45" s="59" customFormat="1" ht="15" customHeight="1">
      <c r="A2" s="892"/>
      <c r="B2" s="892"/>
      <c r="C2" s="892"/>
      <c r="D2" s="687"/>
      <c r="E2" s="687"/>
      <c r="F2" s="687"/>
      <c r="G2" s="687"/>
      <c r="H2" s="687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s="59" customFormat="1" ht="13.5">
      <c r="A3" s="901" t="s">
        <v>1454</v>
      </c>
      <c r="B3" s="902"/>
      <c r="C3" s="902"/>
      <c r="D3" s="687"/>
      <c r="E3" s="687"/>
      <c r="F3" s="687"/>
      <c r="G3" s="687"/>
      <c r="H3" s="687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>
      <c r="A4" s="8"/>
      <c r="B4" s="8"/>
      <c r="C4" s="39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8"/>
      <c r="B5" s="158" t="s">
        <v>1207</v>
      </c>
      <c r="C5" s="159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5"/>
      <c r="B6" s="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3.5" thickBot="1">
      <c r="A7" s="5"/>
      <c r="B7" s="5"/>
      <c r="C7" s="5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3.5" thickBot="1">
      <c r="A8" s="786" t="s">
        <v>1208</v>
      </c>
      <c r="B8" s="790"/>
      <c r="C8" s="776" t="s">
        <v>620</v>
      </c>
      <c r="D8" s="825" t="s">
        <v>284</v>
      </c>
      <c r="E8" s="828" t="s">
        <v>1143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779"/>
      <c r="B9" s="79"/>
      <c r="C9" s="154"/>
      <c r="D9" s="826"/>
      <c r="E9" s="82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779"/>
      <c r="B10" s="79"/>
      <c r="C10" s="115"/>
      <c r="D10" s="79"/>
      <c r="E10" s="79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789" t="str">
        <f>UPPER('GTDB(W501D5)'!A17)</f>
        <v>BASKETS</v>
      </c>
      <c r="B11" s="785"/>
      <c r="C11" s="792">
        <f>'GTDB(W501D5A)'!E17*1000*E11</f>
        <v>0</v>
      </c>
      <c r="D11" s="785">
        <v>0</v>
      </c>
      <c r="E11" s="83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789" t="str">
        <f>UPPER('GTDB(W501D5)'!A18)</f>
        <v>TRANSITION PIECES</v>
      </c>
      <c r="B12" s="785"/>
      <c r="C12" s="792">
        <f>'GTDB(W501D5A)'!E18*1000*E12</f>
        <v>0</v>
      </c>
      <c r="D12" s="785">
        <v>0</v>
      </c>
      <c r="E12" s="83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789" t="str">
        <f>UPPER('GTDB(W501D5)'!A19)</f>
        <v>TRANSITION SEALS</v>
      </c>
      <c r="B13" s="785"/>
      <c r="C13" s="792">
        <f>'GTDB(W501D5A)'!E19*1000*E13</f>
        <v>0</v>
      </c>
      <c r="D13" s="785">
        <v>0</v>
      </c>
      <c r="E13" s="83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789" t="str">
        <f>UPPER('GTDB(W501D5)'!A20)</f>
        <v>FUEL NOZZLES</v>
      </c>
      <c r="B14" s="785"/>
      <c r="C14" s="792">
        <f>'GTDB(W501D5A)'!E20*1000*E14</f>
        <v>0</v>
      </c>
      <c r="D14" s="785">
        <v>0</v>
      </c>
      <c r="E14" s="83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789" t="str">
        <f>UPPER('GTDB(W501D5)'!A21)</f>
        <v>CLAMSHELLS</v>
      </c>
      <c r="B15" s="785"/>
      <c r="C15" s="792">
        <f>'GTDB(W501D5A)'!E21*1000*E15</f>
        <v>0</v>
      </c>
      <c r="D15" s="785">
        <v>0</v>
      </c>
      <c r="E15" s="83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789" t="str">
        <f>UPPER('GTDB(W501D5)'!A22)</f>
        <v>ROW 1 BLADES</v>
      </c>
      <c r="B16" s="785"/>
      <c r="C16" s="792">
        <f>'GTDB(W501D5A)'!E22*1000*E16</f>
        <v>0</v>
      </c>
      <c r="D16" s="785">
        <v>0</v>
      </c>
      <c r="E16" s="83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789" t="str">
        <f>UPPER('GTDB(W501D5)'!A23)</f>
        <v>ROW 2 BLADES</v>
      </c>
      <c r="B17" s="785"/>
      <c r="C17" s="792">
        <f>'GTDB(W501D5A)'!E23*1000*E17</f>
        <v>0</v>
      </c>
      <c r="D17" s="785">
        <v>0</v>
      </c>
      <c r="E17" s="83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789" t="str">
        <f>UPPER('GTDB(W501D5)'!A24)</f>
        <v>ROW 3 BLADES</v>
      </c>
      <c r="B18" s="785"/>
      <c r="C18" s="792">
        <f>'GTDB(W501D5A)'!E24*1000*E18</f>
        <v>0</v>
      </c>
      <c r="D18" s="785">
        <v>0</v>
      </c>
      <c r="E18" s="8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789" t="str">
        <f>UPPER('GTDB(W501D5)'!A25)</f>
        <v>ROW 4 BLADES</v>
      </c>
      <c r="B19" s="785"/>
      <c r="C19" s="792">
        <f>'GTDB(W501D5A)'!E25*1000*E19</f>
        <v>0</v>
      </c>
      <c r="D19" s="785">
        <v>0</v>
      </c>
      <c r="E19" s="83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789" t="str">
        <f>UPPER('GTDB(W501D5)'!A26)</f>
        <v xml:space="preserve">ROW 1 VANES </v>
      </c>
      <c r="B20" s="785"/>
      <c r="C20" s="792">
        <f>'GTDB(W501D5A)'!E26*1000*E20</f>
        <v>0</v>
      </c>
      <c r="D20" s="785">
        <v>0</v>
      </c>
      <c r="E20" s="8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789" t="str">
        <f>UPPER('GTDB(W501D5)'!A27)</f>
        <v>ROW 2 VANES</v>
      </c>
      <c r="B21" s="785"/>
      <c r="C21" s="792">
        <f>'GTDB(W501D5A)'!E27*1000*E21</f>
        <v>0</v>
      </c>
      <c r="D21" s="785">
        <v>0</v>
      </c>
      <c r="E21" s="83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789" t="str">
        <f>UPPER('GTDB(W501D5)'!A28)</f>
        <v>ROW 3 VANES</v>
      </c>
      <c r="B22" s="785"/>
      <c r="C22" s="792">
        <f>'GTDB(W501D5A)'!E28*1000*E22</f>
        <v>0</v>
      </c>
      <c r="D22" s="785">
        <v>0</v>
      </c>
      <c r="E22" s="83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789" t="str">
        <f>UPPER('GTDB(W501D5)'!A29)</f>
        <v>ROW 4 VANES</v>
      </c>
      <c r="B23" s="785"/>
      <c r="C23" s="792">
        <f>'GTDB(W501D5A)'!E29*1000*E23</f>
        <v>0</v>
      </c>
      <c r="D23" s="785">
        <v>0</v>
      </c>
      <c r="E23" s="8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789" t="str">
        <f>UPPER('GTDB(W501D5)'!A30)</f>
        <v>ROW 1 RING SEGMENTS</v>
      </c>
      <c r="B24" s="785"/>
      <c r="C24" s="792">
        <f>'GTDB(W501D5A)'!E30*1000*E24</f>
        <v>0</v>
      </c>
      <c r="D24" s="785">
        <v>0</v>
      </c>
      <c r="E24" s="83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789" t="str">
        <f>UPPER('GTDB(W501D5)'!A31)</f>
        <v>ROW 2 RING SEGMENTS</v>
      </c>
      <c r="B25" s="785"/>
      <c r="C25" s="792">
        <f>'GTDB(W501D5A)'!E31*1000*E25</f>
        <v>0</v>
      </c>
      <c r="D25" s="785">
        <v>0</v>
      </c>
      <c r="E25" s="83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789" t="str">
        <f>UPPER('GTDB(W501D5)'!A32)</f>
        <v>ROW 3 RINGS SEGMENTS</v>
      </c>
      <c r="B26" s="785"/>
      <c r="C26" s="792">
        <f>'GTDB(W501D5A)'!E32*1000*E26</f>
        <v>0</v>
      </c>
      <c r="D26" s="785">
        <v>0</v>
      </c>
      <c r="E26" s="83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789" t="str">
        <f>UPPER('GTDB(W501D5)'!A33)</f>
        <v>ROW 4 RINGS SEGMENTS</v>
      </c>
      <c r="B27" s="785"/>
      <c r="C27" s="792">
        <f>'GTDB(W501D5A)'!E33*1000*E27</f>
        <v>0</v>
      </c>
      <c r="D27" s="785">
        <v>0</v>
      </c>
      <c r="E27" s="83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789" t="str">
        <f>UPPER('GTDB(W501D5)'!A34)</f>
        <v>COMP ROTOR BLADES</v>
      </c>
      <c r="B28" s="785"/>
      <c r="C28" s="792">
        <f>'GTDB(W501D5A)'!E34*1000*E28</f>
        <v>0</v>
      </c>
      <c r="D28" s="785">
        <v>0</v>
      </c>
      <c r="E28" s="83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789" t="str">
        <f>UPPER('GTDB(W501D5)'!A35)</f>
        <v>COMP DIAPHRAGMS</v>
      </c>
      <c r="B29" s="785"/>
      <c r="C29" s="792">
        <f>'GTDB(W501D5A)'!E35*1000*E29</f>
        <v>0</v>
      </c>
      <c r="D29" s="785">
        <v>0</v>
      </c>
      <c r="E29" s="8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48" t="s">
        <v>1144</v>
      </c>
      <c r="B30" s="785"/>
      <c r="C30" s="792">
        <f>'GTDB(W501D5A)'!D12*1000*E30</f>
        <v>0</v>
      </c>
      <c r="D30" s="785">
        <v>0</v>
      </c>
      <c r="E30" s="83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48" t="s">
        <v>1145</v>
      </c>
      <c r="B31" s="79"/>
      <c r="C31" s="792">
        <f>'GTDB(W501D5A)'!D13*1000*E31</f>
        <v>0</v>
      </c>
      <c r="D31" s="827">
        <f>SUM(D10:D30)</f>
        <v>0</v>
      </c>
      <c r="E31" s="83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48" t="s">
        <v>1146</v>
      </c>
      <c r="B32" s="79"/>
      <c r="C32" s="792">
        <f>'GTDB(W501D5A)'!D14*1000*E32</f>
        <v>0</v>
      </c>
      <c r="D32" s="79"/>
      <c r="E32" s="83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787" t="s">
        <v>1217</v>
      </c>
      <c r="B33" s="79"/>
      <c r="C33" s="162">
        <f>SUM(C11:C32)</f>
        <v>0</v>
      </c>
      <c r="D33" s="79"/>
      <c r="E33" s="7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779"/>
      <c r="B34" s="79"/>
      <c r="C34" s="115"/>
      <c r="D34" s="79"/>
      <c r="E34" s="7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787" t="s">
        <v>1216</v>
      </c>
      <c r="B35" s="102"/>
      <c r="C35" s="831"/>
      <c r="D35" s="79"/>
      <c r="E35" s="7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782"/>
      <c r="B36" s="146"/>
      <c r="C36" s="117"/>
      <c r="D36" s="146">
        <v>0</v>
      </c>
      <c r="E36" s="14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787"/>
      <c r="B37" s="79"/>
      <c r="C37" s="115"/>
      <c r="D37" s="79"/>
      <c r="E37" s="7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787" t="s">
        <v>1217</v>
      </c>
      <c r="B38" s="79"/>
      <c r="C38" s="162">
        <f>C33+C35</f>
        <v>0</v>
      </c>
      <c r="D38" s="827">
        <f>(D36+D31)</f>
        <v>0</v>
      </c>
      <c r="E38" s="7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779"/>
      <c r="B39" s="79"/>
      <c r="C39" s="115"/>
      <c r="D39" s="79"/>
      <c r="E39" s="7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787" t="s">
        <v>1218</v>
      </c>
      <c r="B40" s="79"/>
      <c r="C40" s="115">
        <f>C38*0.0025</f>
        <v>0</v>
      </c>
      <c r="D40" s="79">
        <v>0</v>
      </c>
      <c r="E40" s="7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787"/>
      <c r="B41" s="79"/>
      <c r="C41" s="115"/>
      <c r="D41" s="79"/>
      <c r="E41" s="7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787" t="s">
        <v>1219</v>
      </c>
      <c r="B42" s="79"/>
      <c r="C42" s="115">
        <f>0.01*C38</f>
        <v>0</v>
      </c>
      <c r="D42" s="827">
        <f>D40+D38</f>
        <v>0</v>
      </c>
      <c r="E42" s="7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3.5" thickBot="1">
      <c r="A43" s="148"/>
      <c r="B43" s="79"/>
      <c r="C43" s="118"/>
      <c r="D43" s="79"/>
      <c r="E43" s="7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3.5" thickBot="1">
      <c r="A44" s="788" t="s">
        <v>607</v>
      </c>
      <c r="B44" s="791"/>
      <c r="C44" s="118">
        <f>C38+C40+C42</f>
        <v>0</v>
      </c>
      <c r="D44" s="79">
        <f>D42*0.0025</f>
        <v>0</v>
      </c>
      <c r="E44" s="7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0"/>
      <c r="B45" s="102"/>
      <c r="C45" s="79"/>
      <c r="D45" s="79"/>
      <c r="E45" s="7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0"/>
      <c r="B46" s="102"/>
      <c r="C46" s="79"/>
      <c r="D46" s="79">
        <f>0.01*D42</f>
        <v>0</v>
      </c>
      <c r="E46" s="7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3.5" thickBot="1">
      <c r="A47" s="102"/>
      <c r="B47" s="102"/>
      <c r="C47" s="79"/>
      <c r="D47" s="791"/>
      <c r="E47" s="7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3.5" thickBot="1">
      <c r="A48" s="130"/>
      <c r="B48" s="102"/>
      <c r="C48" s="79"/>
      <c r="D48" s="791">
        <f>SUM(D42:D46)</f>
        <v>0</v>
      </c>
      <c r="E48" s="7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32"/>
      <c r="B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5"/>
      <c r="B50" s="5"/>
      <c r="C50" s="2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5"/>
      <c r="B51" s="5"/>
      <c r="C51" s="2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5"/>
      <c r="B52" s="5"/>
      <c r="C52" s="2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5"/>
      <c r="B53" s="5"/>
      <c r="C53" s="25"/>
      <c r="D53" s="25"/>
      <c r="E53" s="25"/>
      <c r="F53" s="25"/>
      <c r="G53" s="2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5"/>
      <c r="B54" s="5"/>
      <c r="C54" s="2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5"/>
      <c r="B55" s="5"/>
      <c r="C55" s="2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5"/>
      <c r="B56" s="5"/>
      <c r="C56" s="2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5"/>
      <c r="B57" s="5"/>
      <c r="C57" s="2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5"/>
      <c r="B58" s="5"/>
      <c r="C58" s="2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5"/>
      <c r="B59" s="5"/>
      <c r="C59" s="2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5"/>
      <c r="B60" s="5"/>
      <c r="C60" s="2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5"/>
      <c r="B61" s="5"/>
      <c r="C61" s="2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5"/>
      <c r="B62" s="5"/>
      <c r="C62" s="2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5"/>
      <c r="B63" s="5"/>
      <c r="C63" s="2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5"/>
      <c r="B64" s="5"/>
      <c r="C64" s="2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>
      <c r="A65" s="5"/>
      <c r="B65" s="5"/>
      <c r="C65" s="2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>
      <c r="A66" s="5"/>
      <c r="B66" s="5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>
      <c r="A67" s="5"/>
      <c r="B67" s="5"/>
      <c r="C67" s="2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>
      <c r="A68" s="5"/>
      <c r="B68" s="5"/>
      <c r="C68" s="2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>
      <c r="A69" s="5"/>
      <c r="B69" s="5"/>
      <c r="C69" s="2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>
      <c r="A70" s="5"/>
      <c r="B70" s="5"/>
      <c r="C70" s="2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>
      <c r="A71" s="5"/>
      <c r="B71" s="5"/>
      <c r="C71" s="2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>
      <c r="A72" s="5"/>
      <c r="B72" s="5"/>
      <c r="C72" s="2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>
      <c r="A73" s="5"/>
      <c r="B73" s="5"/>
      <c r="C73" s="2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>
      <c r="A74" s="5"/>
      <c r="B74" s="5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>
      <c r="A75" s="5"/>
      <c r="B75" s="5"/>
      <c r="C75" s="2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>
      <c r="A76" s="5"/>
      <c r="B76" s="5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>
      <c r="A77" s="5"/>
      <c r="B77" s="5"/>
      <c r="C77" s="2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>
      <c r="A78" s="5"/>
      <c r="B78" s="5"/>
      <c r="C78" s="2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>
      <c r="A79" s="5"/>
      <c r="B79" s="5"/>
      <c r="C79" s="2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>
      <c r="A80" s="5"/>
      <c r="B80" s="5"/>
      <c r="C80" s="2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>
      <c r="A81" s="5"/>
      <c r="B81" s="5"/>
      <c r="C81" s="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>
      <c r="A82" s="5"/>
      <c r="B82" s="5"/>
      <c r="C82" s="2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>
      <c r="A83" s="5"/>
      <c r="B83" s="5"/>
      <c r="C83" s="2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>
      <c r="A84" s="5"/>
      <c r="B84" s="5"/>
      <c r="C84" s="2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>
      <c r="A85" s="5"/>
      <c r="B85" s="5"/>
      <c r="C85" s="2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>
      <c r="A86" s="5"/>
      <c r="B86" s="5"/>
      <c r="C86" s="2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>
      <c r="A87" s="5"/>
      <c r="B87" s="5"/>
      <c r="C87" s="2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>
      <c r="A88" s="5"/>
      <c r="B88" s="5"/>
      <c r="C88" s="2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>
      <c r="A89" s="5"/>
      <c r="B89" s="5"/>
      <c r="C89" s="2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>
      <c r="A90" s="5"/>
      <c r="B90" s="5"/>
      <c r="C90" s="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>
      <c r="A91" s="5"/>
      <c r="B91" s="5"/>
      <c r="C91" s="2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>
      <c r="A92" s="5"/>
      <c r="B92" s="5"/>
      <c r="C92" s="2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>
      <c r="A93" s="5"/>
      <c r="B93" s="5"/>
      <c r="C93" s="2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>
      <c r="A94" s="5"/>
      <c r="B94" s="5"/>
      <c r="C94" s="2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>
      <c r="A95" s="5"/>
      <c r="B95" s="5"/>
      <c r="C95" s="2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>
      <c r="A96" s="5"/>
      <c r="B96" s="5"/>
      <c r="C96" s="2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>
      <c r="A97" s="5"/>
      <c r="B97" s="5"/>
      <c r="C97" s="2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>
      <c r="A98" s="5"/>
      <c r="B98" s="5"/>
      <c r="C98" s="2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>
      <c r="A99" s="5"/>
      <c r="B99" s="5"/>
      <c r="C99" s="2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>
      <c r="A100" s="5"/>
      <c r="B100" s="5"/>
      <c r="C100" s="2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>
      <c r="A101" s="5"/>
      <c r="B101" s="5"/>
      <c r="C101" s="2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>
      <c r="A102" s="5"/>
      <c r="B102" s="5"/>
      <c r="C102" s="2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>
      <c r="A103" s="5"/>
      <c r="B103" s="5"/>
      <c r="C103" s="2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>
      <c r="A104" s="5"/>
      <c r="B104" s="5"/>
      <c r="C104" s="2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>
      <c r="A105" s="5"/>
      <c r="B105" s="5"/>
      <c r="C105" s="2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>
      <c r="A106" s="5"/>
      <c r="B106" s="5"/>
      <c r="C106" s="2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>
      <c r="A107" s="5"/>
      <c r="B107" s="5"/>
      <c r="C107" s="2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>
      <c r="A108" s="5"/>
      <c r="B108" s="5"/>
      <c r="C108" s="2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>
      <c r="A109" s="5"/>
      <c r="B109" s="5"/>
      <c r="C109" s="2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>
      <c r="A110" s="5"/>
      <c r="B110" s="5"/>
      <c r="C110" s="2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>
      <c r="A111" s="5"/>
      <c r="B111" s="5"/>
      <c r="C111" s="2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>
      <c r="A112" s="5"/>
      <c r="B112" s="5"/>
      <c r="C112" s="2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>
      <c r="A113" s="5"/>
      <c r="B113" s="5"/>
      <c r="C113" s="2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>
      <c r="A114" s="5"/>
      <c r="B114" s="5"/>
      <c r="C114" s="2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>
      <c r="A115" s="5"/>
      <c r="B115" s="5"/>
      <c r="C115" s="2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>
      <c r="A116" s="5"/>
      <c r="B116" s="5"/>
      <c r="C116" s="2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>
      <c r="A117" s="5"/>
      <c r="B117" s="5"/>
      <c r="C117" s="2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>
      <c r="A118" s="5"/>
      <c r="B118" s="5"/>
      <c r="C118" s="2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>
      <c r="A119" s="5"/>
      <c r="B119" s="5"/>
      <c r="C119" s="2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>
      <c r="A120" s="5"/>
      <c r="B120" s="5"/>
      <c r="C120" s="2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>
      <c r="A121" s="5"/>
      <c r="B121" s="5"/>
      <c r="C121" s="2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>
      <c r="A122" s="5"/>
      <c r="B122" s="5"/>
      <c r="C122" s="2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>
      <c r="A123" s="5"/>
      <c r="B123" s="5"/>
      <c r="C123" s="2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>
      <c r="A124" s="5"/>
      <c r="B124" s="5"/>
      <c r="C124" s="2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>
      <c r="A125" s="5"/>
      <c r="B125" s="5"/>
      <c r="C125" s="2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>
      <c r="A126" s="5"/>
      <c r="B126" s="5"/>
      <c r="C126" s="2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>
      <c r="A127" s="5"/>
      <c r="B127" s="5"/>
      <c r="C127" s="2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>
      <c r="A128" s="5"/>
      <c r="B128" s="5"/>
      <c r="C128" s="2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>
      <c r="A129" s="5"/>
      <c r="B129" s="5"/>
      <c r="C129" s="2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>
      <c r="A130" s="5"/>
      <c r="B130" s="5"/>
      <c r="C130" s="2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>
      <c r="A131" s="5"/>
      <c r="B131" s="5"/>
      <c r="C131" s="2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>
      <c r="A132" s="5"/>
      <c r="B132" s="5"/>
      <c r="C132" s="2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>
      <c r="A133" s="5"/>
      <c r="B133" s="5"/>
      <c r="C133" s="2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>
      <c r="A134" s="5"/>
      <c r="B134" s="5"/>
      <c r="C134" s="2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>
      <c r="A135" s="5"/>
      <c r="B135" s="5"/>
      <c r="C135" s="2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>
      <c r="A136" s="5"/>
      <c r="B136" s="5"/>
      <c r="C136" s="2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>
      <c r="A137" s="5"/>
      <c r="B137" s="5"/>
      <c r="C137" s="2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>
      <c r="A138" s="5"/>
      <c r="B138" s="5"/>
      <c r="C138" s="2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>
      <c r="A139" s="5"/>
      <c r="B139" s="5"/>
      <c r="C139" s="2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>
      <c r="A140" s="5"/>
      <c r="B140" s="5"/>
      <c r="C140" s="2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>
      <c r="A141" s="5"/>
      <c r="B141" s="5"/>
      <c r="C141" s="2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>
      <c r="A142" s="5"/>
      <c r="B142" s="5"/>
      <c r="C142" s="2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>
      <c r="A143" s="5"/>
      <c r="B143" s="5"/>
      <c r="C143" s="2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>
      <c r="A144" s="5"/>
      <c r="B144" s="5"/>
      <c r="C144" s="2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>
      <c r="A145" s="5"/>
      <c r="B145" s="5"/>
      <c r="C145" s="2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>
      <c r="A146" s="5"/>
      <c r="B146" s="5"/>
      <c r="C146" s="2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>
      <c r="A147" s="5"/>
      <c r="B147" s="5"/>
      <c r="C147" s="2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>
      <c r="A148" s="5"/>
      <c r="B148" s="5"/>
      <c r="C148" s="2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>
      <c r="A149" s="5"/>
      <c r="B149" s="5"/>
      <c r="C149" s="2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>
      <c r="A150" s="5"/>
      <c r="B150" s="5"/>
      <c r="C150" s="2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>
      <c r="A151" s="5"/>
      <c r="B151" s="5"/>
      <c r="C151" s="2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>
      <c r="A152" s="5"/>
      <c r="B152" s="5"/>
      <c r="C152" s="2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>
      <c r="A153" s="5"/>
      <c r="B153" s="5"/>
      <c r="C153" s="2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>
      <c r="A154" s="5"/>
      <c r="B154" s="5"/>
      <c r="C154" s="2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>
      <c r="A155" s="5"/>
      <c r="B155" s="5"/>
      <c r="C155" s="2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>
      <c r="A156" s="5"/>
      <c r="B156" s="5"/>
      <c r="C156" s="2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>
      <c r="A157" s="5"/>
      <c r="B157" s="5"/>
      <c r="C157" s="2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>
      <c r="A158" s="5"/>
      <c r="B158" s="5"/>
      <c r="C158" s="2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>
      <c r="A159" s="5"/>
      <c r="B159" s="5"/>
      <c r="C159" s="2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>
      <c r="A160" s="5"/>
      <c r="B160" s="5"/>
      <c r="C160" s="2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>
      <c r="A161" s="5"/>
      <c r="B161" s="5"/>
      <c r="C161" s="2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>
      <c r="A162" s="5"/>
      <c r="B162" s="5"/>
      <c r="C162" s="2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>
      <c r="A163" s="5"/>
      <c r="B163" s="5"/>
      <c r="C163" s="2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>
      <c r="A164" s="5"/>
      <c r="B164" s="5"/>
      <c r="C164" s="2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>
      <c r="A165" s="5"/>
      <c r="B165" s="5"/>
      <c r="C165" s="2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>
      <c r="A166" s="5"/>
      <c r="B166" s="5"/>
      <c r="C166" s="2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>
      <c r="A167" s="5"/>
      <c r="B167" s="5"/>
      <c r="C167" s="2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>
      <c r="A168" s="5"/>
      <c r="B168" s="5"/>
      <c r="C168" s="2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>
      <c r="A169" s="5"/>
      <c r="B169" s="5"/>
      <c r="C169" s="2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>
      <c r="A170" s="5"/>
      <c r="B170" s="5"/>
      <c r="C170" s="2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>
      <c r="A171" s="5"/>
      <c r="B171" s="5"/>
      <c r="C171" s="2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>
      <c r="A172" s="5"/>
      <c r="B172" s="5"/>
      <c r="C172" s="2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>
      <c r="A173" s="5"/>
      <c r="B173" s="5"/>
      <c r="C173" s="2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>
      <c r="A174" s="5"/>
      <c r="B174" s="5"/>
      <c r="C174" s="2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>
      <c r="A175" s="5"/>
      <c r="B175" s="5"/>
      <c r="C175" s="2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>
      <c r="A176" s="5"/>
      <c r="B176" s="5"/>
      <c r="C176" s="2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>
      <c r="A177" s="5"/>
      <c r="B177" s="5"/>
      <c r="C177" s="2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>
      <c r="A178" s="5"/>
      <c r="B178" s="5"/>
      <c r="C178" s="2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>
      <c r="A179" s="5"/>
      <c r="B179" s="5"/>
      <c r="C179" s="2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>
      <c r="A180" s="5"/>
      <c r="B180" s="5"/>
      <c r="C180" s="2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>
      <c r="A181" s="5"/>
      <c r="B181" s="5"/>
      <c r="C181" s="2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>
      <c r="A182" s="5"/>
      <c r="B182" s="5"/>
      <c r="C182" s="2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>
      <c r="A183" s="5"/>
      <c r="B183" s="5"/>
      <c r="C183" s="2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>
      <c r="A184" s="5"/>
      <c r="B184" s="5"/>
      <c r="C184" s="2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>
      <c r="A185" s="5"/>
      <c r="B185" s="5"/>
      <c r="C185" s="2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>
      <c r="A186" s="5"/>
      <c r="B186" s="5"/>
      <c r="C186" s="2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>
      <c r="A187" s="5"/>
      <c r="B187" s="5"/>
      <c r="C187" s="2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>
      <c r="A188" s="5"/>
      <c r="B188" s="5"/>
      <c r="C188" s="2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>
      <c r="A189" s="5"/>
      <c r="B189" s="5"/>
      <c r="C189" s="2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>
      <c r="A190" s="5"/>
      <c r="B190" s="5"/>
      <c r="C190" s="2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>
      <c r="A191" s="5"/>
      <c r="B191" s="5"/>
      <c r="C191" s="2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>
      <c r="A192" s="5"/>
      <c r="B192" s="5"/>
      <c r="C192" s="2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>
      <c r="A193" s="5"/>
      <c r="B193" s="5"/>
      <c r="C193" s="2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>
      <c r="A194" s="5"/>
      <c r="B194" s="5"/>
      <c r="C194" s="2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>
      <c r="A195" s="5"/>
      <c r="B195" s="5"/>
      <c r="C195" s="2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>
      <c r="A196" s="5"/>
      <c r="B196" s="5"/>
      <c r="C196" s="2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>
      <c r="A197" s="5"/>
      <c r="B197" s="5"/>
      <c r="C197" s="2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>
      <c r="A198" s="5"/>
      <c r="B198" s="5"/>
      <c r="C198" s="2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>
      <c r="A199" s="5"/>
      <c r="B199" s="5"/>
      <c r="C199" s="2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>
      <c r="A200" s="5"/>
      <c r="B200" s="5"/>
      <c r="C200" s="2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>
      <c r="A201" s="5"/>
      <c r="B201" s="5"/>
      <c r="C201" s="2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>
      <c r="A202" s="5"/>
      <c r="B202" s="5"/>
      <c r="C202" s="2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>
      <c r="A203" s="5"/>
      <c r="B203" s="5"/>
      <c r="C203" s="2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>
      <c r="A204" s="5"/>
      <c r="B204" s="5"/>
      <c r="C204" s="2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>
      <c r="A205" s="5"/>
      <c r="B205" s="5"/>
      <c r="C205" s="2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>
      <c r="A206" s="5"/>
      <c r="B206" s="5"/>
      <c r="C206" s="2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>
      <c r="A207" s="5"/>
      <c r="B207" s="5"/>
      <c r="C207" s="2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>
      <c r="A208" s="5"/>
      <c r="B208" s="5"/>
      <c r="C208" s="2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>
      <c r="A209" s="5"/>
      <c r="B209" s="5"/>
      <c r="C209" s="2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>
      <c r="A210" s="5"/>
      <c r="B210" s="5"/>
      <c r="C210" s="2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>
      <c r="A211" s="5"/>
      <c r="B211" s="5"/>
      <c r="C211" s="2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>
      <c r="A212" s="5"/>
      <c r="B212" s="5"/>
      <c r="C212" s="2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>
      <c r="A213" s="5"/>
      <c r="B213" s="5"/>
      <c r="C213" s="2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>
      <c r="A214" s="5"/>
      <c r="B214" s="5"/>
      <c r="C214" s="2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>
      <c r="A215" s="5"/>
      <c r="B215" s="5"/>
      <c r="C215" s="2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>
      <c r="A216" s="5"/>
      <c r="B216" s="5"/>
      <c r="C216" s="2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>
      <c r="A217" s="5"/>
      <c r="B217" s="5"/>
      <c r="C217" s="2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>
      <c r="A218" s="5"/>
      <c r="B218" s="5"/>
      <c r="C218" s="2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>
      <c r="A219" s="5"/>
      <c r="B219" s="5"/>
      <c r="C219" s="2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>
      <c r="A220" s="5"/>
      <c r="B220" s="5"/>
      <c r="C220" s="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>
      <c r="A221" s="5"/>
      <c r="B221" s="5"/>
      <c r="C221" s="2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>
      <c r="A222" s="5"/>
      <c r="B222" s="5"/>
      <c r="C222" s="2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>
      <c r="A223" s="5"/>
      <c r="B223" s="5"/>
      <c r="C223" s="2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>
      <c r="A224" s="5"/>
      <c r="B224" s="5"/>
      <c r="C224" s="2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>
      <c r="A225" s="5"/>
      <c r="B225" s="5"/>
      <c r="C225" s="2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>
      <c r="A226" s="5"/>
      <c r="B226" s="5"/>
      <c r="C226" s="2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>
      <c r="A227" s="5"/>
      <c r="B227" s="5"/>
      <c r="C227" s="2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>
      <c r="A228" s="5"/>
      <c r="B228" s="5"/>
      <c r="C228" s="2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>
      <c r="A229" s="5"/>
      <c r="B229" s="5"/>
      <c r="C229" s="2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>
      <c r="A230" s="5"/>
      <c r="B230" s="5"/>
      <c r="C230" s="2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>
      <c r="A231" s="5"/>
      <c r="B231" s="5"/>
      <c r="C231" s="2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>
      <c r="A232" s="5"/>
      <c r="B232" s="5"/>
      <c r="C232" s="2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>
      <c r="A233" s="5"/>
      <c r="B233" s="5"/>
      <c r="C233" s="2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>
      <c r="A234" s="5"/>
      <c r="B234" s="5"/>
      <c r="C234" s="2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>
      <c r="A235" s="5"/>
      <c r="B235" s="5"/>
      <c r="C235" s="2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>
      <c r="A236" s="5"/>
      <c r="B236" s="5"/>
      <c r="C236" s="2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>
      <c r="A237" s="5"/>
      <c r="B237" s="5"/>
      <c r="C237" s="2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>
      <c r="A238" s="5"/>
      <c r="B238" s="5"/>
      <c r="C238" s="2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>
      <c r="A239" s="5"/>
      <c r="B239" s="5"/>
      <c r="C239" s="2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>
      <c r="A240" s="5"/>
      <c r="B240" s="5"/>
      <c r="C240" s="2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>
      <c r="A241" s="5"/>
      <c r="B241" s="5"/>
      <c r="C241" s="2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>
      <c r="A242" s="5"/>
      <c r="B242" s="5"/>
      <c r="C242" s="2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>
      <c r="A243" s="5"/>
      <c r="B243" s="5"/>
      <c r="C243" s="2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>
      <c r="A244" s="5"/>
      <c r="B244" s="5"/>
      <c r="C244" s="2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>
      <c r="A245" s="5"/>
      <c r="B245" s="5"/>
      <c r="C245" s="2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>
      <c r="A246" s="5"/>
      <c r="B246" s="5"/>
      <c r="C246" s="2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>
      <c r="A247" s="5"/>
      <c r="B247" s="5"/>
      <c r="C247" s="2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>
      <c r="A248" s="5"/>
      <c r="B248" s="5"/>
      <c r="C248" s="2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>
      <c r="A249" s="5"/>
      <c r="B249" s="5"/>
      <c r="C249" s="2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>
      <c r="A250" s="5"/>
      <c r="B250" s="5"/>
      <c r="C250" s="2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>
      <c r="A251" s="5"/>
      <c r="B251" s="5"/>
      <c r="C251" s="2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>
      <c r="A252" s="5"/>
      <c r="B252" s="5"/>
      <c r="C252" s="2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>
      <c r="A253" s="5"/>
      <c r="B253" s="5"/>
      <c r="C253" s="2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>
      <c r="A254" s="5"/>
      <c r="B254" s="5"/>
      <c r="C254" s="2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>
      <c r="A255" s="5"/>
      <c r="B255" s="5"/>
      <c r="C255" s="2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>
      <c r="A256" s="5"/>
      <c r="B256" s="5"/>
      <c r="C256" s="2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>
      <c r="A257" s="5"/>
      <c r="B257" s="5"/>
      <c r="C257" s="2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>
      <c r="A258" s="5"/>
      <c r="B258" s="5"/>
      <c r="C258" s="2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>
      <c r="A259" s="5"/>
      <c r="B259" s="5"/>
      <c r="C259" s="2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>
      <c r="A260" s="5"/>
      <c r="B260" s="5"/>
      <c r="C260" s="2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>
      <c r="A261" s="5"/>
      <c r="B261" s="5"/>
      <c r="C261" s="2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>
      <c r="A262" s="5"/>
      <c r="B262" s="5"/>
      <c r="C262" s="2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>
      <c r="A263" s="5"/>
      <c r="B263" s="5"/>
      <c r="C263" s="2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>
      <c r="A264" s="5"/>
      <c r="B264" s="5"/>
      <c r="C264" s="2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>
      <c r="A265" s="5"/>
      <c r="B265" s="5"/>
      <c r="C265" s="2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>
      <c r="A266" s="5"/>
      <c r="B266" s="5"/>
      <c r="C266" s="2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>
      <c r="A267" s="5"/>
      <c r="B267" s="5"/>
      <c r="C267" s="2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>
      <c r="A268" s="5"/>
      <c r="B268" s="5"/>
      <c r="C268" s="2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>
      <c r="A269" s="5"/>
      <c r="B269" s="5"/>
      <c r="C269" s="2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>
      <c r="A270" s="5"/>
      <c r="B270" s="5"/>
      <c r="C270" s="2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>
      <c r="A271" s="5"/>
      <c r="B271" s="5"/>
      <c r="C271" s="2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>
      <c r="A272" s="5"/>
      <c r="B272" s="5"/>
      <c r="C272" s="2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>
      <c r="A273" s="5"/>
      <c r="B273" s="5"/>
      <c r="C273" s="2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>
      <c r="A274" s="5"/>
      <c r="B274" s="5"/>
      <c r="C274" s="2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>
      <c r="A275" s="5"/>
      <c r="B275" s="5"/>
      <c r="C275" s="2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>
      <c r="A276" s="5"/>
      <c r="B276" s="5"/>
      <c r="C276" s="2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>
      <c r="A277" s="5"/>
      <c r="B277" s="5"/>
      <c r="C277" s="2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>
      <c r="A278" s="5"/>
      <c r="B278" s="5"/>
      <c r="C278" s="2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>
      <c r="A279" s="5"/>
      <c r="B279" s="5"/>
      <c r="C279" s="2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>
      <c r="A280" s="5"/>
      <c r="B280" s="5"/>
      <c r="C280" s="2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>
      <c r="A281" s="5"/>
      <c r="B281" s="5"/>
      <c r="C281" s="2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>
      <c r="A282" s="5"/>
      <c r="B282" s="5"/>
      <c r="C282" s="2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>
      <c r="A283" s="5"/>
      <c r="B283" s="5"/>
      <c r="C283" s="2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>
      <c r="A284" s="5"/>
      <c r="B284" s="5"/>
      <c r="C284" s="2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>
      <c r="A285" s="5"/>
      <c r="B285" s="5"/>
      <c r="C285" s="2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>
      <c r="A286" s="5"/>
      <c r="B286" s="5"/>
      <c r="C286" s="2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>
      <c r="A287" s="5"/>
      <c r="B287" s="5"/>
      <c r="C287" s="2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>
      <c r="A288" s="5"/>
      <c r="B288" s="5"/>
      <c r="C288" s="2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>
      <c r="A289" s="5"/>
      <c r="B289" s="5"/>
      <c r="C289" s="2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>
      <c r="A290" s="5"/>
      <c r="B290" s="5"/>
      <c r="C290" s="2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>
      <c r="A291" s="5"/>
      <c r="B291" s="5"/>
      <c r="C291" s="2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>
      <c r="A292" s="5"/>
      <c r="B292" s="5"/>
      <c r="C292" s="2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>
      <c r="A293" s="5"/>
      <c r="B293" s="5"/>
      <c r="C293" s="2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>
      <c r="A294" s="5"/>
      <c r="B294" s="5"/>
      <c r="C294" s="2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>
      <c r="A295" s="5"/>
      <c r="B295" s="5"/>
      <c r="C295" s="2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>
      <c r="A296" s="5"/>
      <c r="B296" s="5"/>
      <c r="C296" s="2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>
      <c r="A297" s="5"/>
      <c r="B297" s="5"/>
      <c r="C297" s="2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>
      <c r="A298" s="5"/>
      <c r="B298" s="5"/>
      <c r="C298" s="2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>
      <c r="A299" s="5"/>
      <c r="B299" s="5"/>
      <c r="C299" s="2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>
      <c r="A300" s="5"/>
      <c r="B300" s="5"/>
      <c r="C300" s="2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>
      <c r="A301" s="5"/>
      <c r="B301" s="5"/>
      <c r="C301" s="2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>
      <c r="A302" s="5"/>
      <c r="B302" s="5"/>
      <c r="C302" s="2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>
      <c r="A303" s="5"/>
      <c r="B303" s="5"/>
      <c r="C303" s="2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>
      <c r="A304" s="5"/>
      <c r="B304" s="5"/>
      <c r="C304" s="2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>
      <c r="A305" s="5"/>
      <c r="B305" s="5"/>
      <c r="C305" s="2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>
      <c r="A306" s="5"/>
      <c r="B306" s="5"/>
      <c r="C306" s="2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>
      <c r="A307" s="5"/>
      <c r="B307" s="5"/>
      <c r="C307" s="2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>
      <c r="A308" s="5"/>
      <c r="B308" s="5"/>
      <c r="C308" s="2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>
      <c r="A309" s="5"/>
      <c r="B309" s="5"/>
      <c r="C309" s="2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>
      <c r="A310" s="5"/>
      <c r="B310" s="5"/>
      <c r="C310" s="2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>
      <c r="A311" s="5"/>
      <c r="B311" s="5"/>
      <c r="C311" s="2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>
      <c r="A312" s="5"/>
      <c r="B312" s="5"/>
      <c r="C312" s="2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>
      <c r="A313" s="5"/>
      <c r="B313" s="5"/>
      <c r="C313" s="2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>
      <c r="A314" s="5"/>
      <c r="B314" s="5"/>
      <c r="C314" s="2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>
      <c r="A315" s="5"/>
      <c r="B315" s="5"/>
      <c r="C315" s="2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>
      <c r="A316" s="5"/>
      <c r="B316" s="5"/>
      <c r="C316" s="2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>
      <c r="A317" s="5"/>
      <c r="B317" s="5"/>
      <c r="C317" s="2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>
      <c r="A318" s="5"/>
      <c r="B318" s="5"/>
      <c r="C318" s="2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>
      <c r="A319" s="5"/>
      <c r="B319" s="5"/>
      <c r="C319" s="2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>
      <c r="A320" s="5"/>
      <c r="B320" s="5"/>
      <c r="C320" s="2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>
      <c r="A321" s="5"/>
      <c r="B321" s="5"/>
      <c r="C321" s="2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>
      <c r="A322" s="5"/>
      <c r="B322" s="5"/>
      <c r="C322" s="2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>
      <c r="A323" s="5"/>
      <c r="B323" s="5"/>
      <c r="C323" s="2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>
      <c r="A324" s="5"/>
      <c r="B324" s="5"/>
      <c r="C324" s="2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>
      <c r="A325" s="5"/>
      <c r="B325" s="5"/>
      <c r="C325" s="2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>
      <c r="A326" s="5"/>
      <c r="B326" s="5"/>
      <c r="C326" s="2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>
      <c r="A327" s="5"/>
      <c r="B327" s="5"/>
      <c r="C327" s="2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>
      <c r="A328" s="5"/>
      <c r="B328" s="5"/>
      <c r="C328" s="2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>
      <c r="A329" s="5"/>
      <c r="B329" s="5"/>
      <c r="C329" s="2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>
      <c r="A330" s="5"/>
      <c r="B330" s="5"/>
      <c r="C330" s="2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>
      <c r="A331" s="5"/>
      <c r="B331" s="5"/>
      <c r="C331" s="2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>
      <c r="A332" s="5"/>
      <c r="B332" s="5"/>
      <c r="C332" s="2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>
      <c r="A333" s="5"/>
      <c r="B333" s="5"/>
      <c r="C333" s="2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>
      <c r="A334" s="5"/>
      <c r="B334" s="5"/>
      <c r="C334" s="2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>
      <c r="A335" s="5"/>
      <c r="B335" s="5"/>
      <c r="C335" s="2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>
      <c r="A336" s="5"/>
      <c r="B336" s="5"/>
      <c r="C336" s="2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>
      <c r="A337" s="5"/>
      <c r="B337" s="5"/>
      <c r="C337" s="2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>
      <c r="A338" s="5"/>
      <c r="B338" s="5"/>
      <c r="C338" s="2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>
      <c r="A339" s="5"/>
      <c r="B339" s="5"/>
      <c r="C339" s="2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>
      <c r="A340" s="5"/>
      <c r="B340" s="5"/>
      <c r="C340" s="2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>
      <c r="A341" s="5"/>
      <c r="B341" s="5"/>
      <c r="C341" s="2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>
      <c r="A342" s="5"/>
      <c r="B342" s="5"/>
      <c r="C342" s="2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>
      <c r="A343" s="5"/>
      <c r="B343" s="5"/>
      <c r="C343" s="2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>
      <c r="A344" s="5"/>
      <c r="B344" s="5"/>
      <c r="C344" s="2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>
      <c r="A345" s="5"/>
      <c r="B345" s="5"/>
      <c r="C345" s="2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>
      <c r="A346" s="5"/>
      <c r="B346" s="5"/>
      <c r="C346" s="2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>
      <c r="A347" s="5"/>
      <c r="B347" s="5"/>
      <c r="C347" s="2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>
      <c r="A348" s="5"/>
      <c r="B348" s="5"/>
      <c r="C348" s="2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>
      <c r="A349" s="5"/>
      <c r="B349" s="5"/>
      <c r="C349" s="2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>
      <c r="A350" s="5"/>
      <c r="B350" s="5"/>
      <c r="C350" s="2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>
      <c r="A351" s="5"/>
      <c r="B351" s="5"/>
      <c r="C351" s="2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>
      <c r="A352" s="5"/>
      <c r="B352" s="5"/>
      <c r="C352" s="2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>
      <c r="A353" s="5"/>
      <c r="B353" s="5"/>
      <c r="C353" s="2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>
      <c r="A354" s="5"/>
      <c r="B354" s="5"/>
      <c r="C354" s="2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>
      <c r="A355" s="5"/>
      <c r="B355" s="5"/>
      <c r="C355" s="2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>
      <c r="A356" s="5"/>
      <c r="B356" s="5"/>
      <c r="C356" s="2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>
      <c r="A357" s="5"/>
      <c r="B357" s="5"/>
      <c r="C357" s="2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>
      <c r="A358" s="5"/>
      <c r="B358" s="5"/>
      <c r="C358" s="2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>
      <c r="A359" s="5"/>
      <c r="B359" s="5"/>
      <c r="C359" s="2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>
      <c r="A360" s="5"/>
      <c r="B360" s="5"/>
      <c r="C360" s="2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>
      <c r="A361" s="5"/>
      <c r="B361" s="5"/>
      <c r="C361" s="2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>
      <c r="A362" s="5"/>
      <c r="B362" s="5"/>
      <c r="C362" s="2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>
      <c r="A363" s="5"/>
      <c r="B363" s="5"/>
      <c r="C363" s="2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>
      <c r="A364" s="5"/>
      <c r="B364" s="5"/>
      <c r="C364" s="2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>
      <c r="A365" s="5"/>
      <c r="B365" s="5"/>
      <c r="C365" s="2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>
      <c r="A366" s="5"/>
      <c r="B366" s="5"/>
      <c r="C366" s="2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>
      <c r="A367" s="5"/>
      <c r="B367" s="5"/>
      <c r="C367" s="2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>
      <c r="A368" s="5"/>
      <c r="B368" s="5"/>
      <c r="C368" s="2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>
      <c r="A369" s="5"/>
      <c r="B369" s="5"/>
      <c r="C369" s="2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</sheetData>
  <mergeCells count="2">
    <mergeCell ref="A1:C2"/>
    <mergeCell ref="A3:C3"/>
  </mergeCells>
  <printOptions horizontalCentered="1"/>
  <pageMargins left="0.75" right="0.75" top="1" bottom="1" header="0.5" footer="0.5"/>
  <pageSetup scale="71" firstPageNumber="6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2:X76"/>
  <sheetViews>
    <sheetView topLeftCell="E29" zoomScale="75" zoomScaleNormal="75" workbookViewId="0">
      <selection activeCell="M68" sqref="M68"/>
    </sheetView>
  </sheetViews>
  <sheetFormatPr defaultRowHeight="12.75"/>
  <cols>
    <col min="1" max="1" width="18.28515625" style="640" customWidth="1"/>
    <col min="2" max="2" width="10.28515625" customWidth="1"/>
    <col min="3" max="4" width="9.28515625" bestFit="1" customWidth="1"/>
    <col min="24" max="24" width="9.85546875" style="635" bestFit="1" customWidth="1"/>
  </cols>
  <sheetData>
    <row r="2" spans="1:24" ht="18">
      <c r="A2" s="722" t="str">
        <f>CONCATENATE('rotation(W501D5)'!X7,"x","W501D5 GT Scheduled Maintenance  Cost")</f>
        <v>0xW501D5 GT Scheduled Maintenance  Cost</v>
      </c>
      <c r="B2" s="374"/>
    </row>
    <row r="4" spans="1:24">
      <c r="A4" s="636" t="s">
        <v>1220</v>
      </c>
      <c r="B4" s="140"/>
      <c r="C4" s="140"/>
      <c r="D4" s="140">
        <v>1</v>
      </c>
      <c r="E4" s="140">
        <v>2</v>
      </c>
      <c r="F4" s="140">
        <v>3</v>
      </c>
      <c r="G4" s="140">
        <v>4</v>
      </c>
      <c r="H4" s="140">
        <v>5</v>
      </c>
      <c r="I4" s="140">
        <v>6</v>
      </c>
      <c r="J4" s="140">
        <v>7</v>
      </c>
      <c r="K4" s="140">
        <v>8</v>
      </c>
      <c r="L4" s="140">
        <v>9</v>
      </c>
      <c r="M4" s="140">
        <v>10</v>
      </c>
      <c r="N4" s="140">
        <v>11</v>
      </c>
      <c r="O4" s="140">
        <v>12</v>
      </c>
      <c r="P4" s="140">
        <v>13</v>
      </c>
      <c r="Q4" s="140">
        <v>14</v>
      </c>
      <c r="R4" s="140">
        <v>15</v>
      </c>
      <c r="S4" s="140">
        <v>16</v>
      </c>
      <c r="T4" s="140">
        <v>17</v>
      </c>
      <c r="U4" s="140">
        <v>18</v>
      </c>
      <c r="V4" s="140">
        <v>19</v>
      </c>
      <c r="W4" s="140">
        <v>20</v>
      </c>
      <c r="X4" s="635" t="s">
        <v>898</v>
      </c>
    </row>
    <row r="5" spans="1:24">
      <c r="A5" s="636" t="s">
        <v>1226</v>
      </c>
      <c r="B5" s="140"/>
      <c r="C5" s="140"/>
      <c r="D5" s="637" t="str">
        <f>CONCATENATE('rotation(W501D5)'!C$12,'rotation(W501D5)'!C$13,'rotation(W501D5)'!C$14)</f>
        <v xml:space="preserve">   </v>
      </c>
      <c r="E5" s="637" t="str">
        <f>CONCATENATE('rotation(W501D5)'!D$12,'rotation(W501D5)'!D$13,'rotation(W501D5)'!D$14)</f>
        <v xml:space="preserve">   </v>
      </c>
      <c r="F5" s="637" t="str">
        <f>CONCATENATE('rotation(W501D5)'!E$12,'rotation(W501D5)'!E$13,'rotation(W501D5)'!E$14)</f>
        <v xml:space="preserve">   </v>
      </c>
      <c r="G5" s="637" t="str">
        <f>CONCATENATE('rotation(W501D5)'!F$12,'rotation(W501D5)'!F$13,'rotation(W501D5)'!F$14)</f>
        <v xml:space="preserve">   </v>
      </c>
      <c r="H5" s="637" t="str">
        <f>CONCATENATE('rotation(W501D5)'!G$12,'rotation(W501D5)'!G$13,'rotation(W501D5)'!G$14)</f>
        <v xml:space="preserve">   </v>
      </c>
      <c r="I5" s="637" t="str">
        <f>CONCATENATE('rotation(W501D5)'!H$12,'rotation(W501D5)'!H$13,'rotation(W501D5)'!H$14)</f>
        <v xml:space="preserve">   </v>
      </c>
      <c r="J5" s="637" t="str">
        <f>CONCATENATE('rotation(W501D5)'!I$12,'rotation(W501D5)'!I$13,'rotation(W501D5)'!I$14)</f>
        <v xml:space="preserve">   </v>
      </c>
      <c r="K5" s="637" t="str">
        <f>CONCATENATE('rotation(W501D5)'!J$12,'rotation(W501D5)'!J$13,'rotation(W501D5)'!J$14)</f>
        <v xml:space="preserve">   </v>
      </c>
      <c r="L5" s="637" t="str">
        <f>CONCATENATE('rotation(W501D5)'!K$12,'rotation(W501D5)'!K$13,'rotation(W501D5)'!K$14)</f>
        <v xml:space="preserve">   </v>
      </c>
      <c r="M5" s="637" t="str">
        <f>CONCATENATE('rotation(W501D5)'!L$12,'rotation(W501D5)'!L$13,'rotation(W501D5)'!L$14)</f>
        <v xml:space="preserve">   </v>
      </c>
      <c r="N5" s="637" t="str">
        <f>CONCATENATE('rotation(W501D5)'!M$12,'rotation(W501D5)'!M$13,'rotation(W501D5)'!M$14)</f>
        <v xml:space="preserve">   </v>
      </c>
      <c r="O5" s="637" t="str">
        <f>CONCATENATE('rotation(W501D5)'!N$12,'rotation(W501D5)'!N$13,'rotation(W501D5)'!N$14)</f>
        <v xml:space="preserve">   </v>
      </c>
      <c r="P5" s="637" t="str">
        <f>CONCATENATE('rotation(W501D5)'!O$12,'rotation(W501D5)'!O$13,'rotation(W501D5)'!O$14)</f>
        <v xml:space="preserve">   </v>
      </c>
      <c r="Q5" s="637" t="str">
        <f>CONCATENATE('rotation(W501D5)'!P$12,'rotation(W501D5)'!P$13,'rotation(W501D5)'!P$14)</f>
        <v xml:space="preserve">   </v>
      </c>
      <c r="R5" s="637" t="str">
        <f>CONCATENATE('rotation(W501D5)'!Q$12,'rotation(W501D5)'!Q$13,'rotation(W501D5)'!Q$14)</f>
        <v xml:space="preserve">   </v>
      </c>
      <c r="S5" s="637" t="str">
        <f>CONCATENATE('rotation(W501D5)'!R$12,'rotation(W501D5)'!R$13,'rotation(W501D5)'!R$14)</f>
        <v xml:space="preserve">   </v>
      </c>
      <c r="T5" s="637" t="str">
        <f>CONCATENATE('rotation(W501D5)'!S$12,'rotation(W501D5)'!S$13,'rotation(W501D5)'!S$14)</f>
        <v xml:space="preserve">   </v>
      </c>
      <c r="U5" s="637" t="str">
        <f>CONCATENATE('rotation(W501D5)'!T$12,'rotation(W501D5)'!T$13,'rotation(W501D5)'!T$14)</f>
        <v xml:space="preserve">   </v>
      </c>
      <c r="V5" s="637" t="str">
        <f>CONCATENATE('rotation(W501D5)'!U$12,'rotation(W501D5)'!U$13,'rotation(W501D5)'!U$14)</f>
        <v xml:space="preserve">   </v>
      </c>
      <c r="W5" s="637" t="str">
        <f>CONCATENATE('rotation(W501D5)'!V$12,'rotation(W501D5)'!V$13,'rotation(W501D5)'!V$14)</f>
        <v xml:space="preserve">   </v>
      </c>
    </row>
    <row r="6" spans="1:24">
      <c r="A6" s="636" t="s">
        <v>1227</v>
      </c>
      <c r="B6" s="140"/>
      <c r="C6" s="140"/>
      <c r="D6" s="637" t="str">
        <f>IF('rotation(W501D5)'!$X$7&lt;2," ",CONCATENATE('rotation(W501D5)'!C$12,'rotation(W501D5)'!C$13,'rotation(W501D5)'!C$14))</f>
        <v xml:space="preserve"> </v>
      </c>
      <c r="E6" s="637" t="str">
        <f>IF('rotation(W501D5)'!$X$7&lt;2," ",CONCATENATE('rotation(W501D5)'!D$12,'rotation(W501D5)'!D$13,'rotation(W501D5)'!D$14))</f>
        <v xml:space="preserve"> </v>
      </c>
      <c r="F6" s="637" t="str">
        <f>IF('rotation(W501D5)'!$X$7&lt;2," ",CONCATENATE('rotation(W501D5)'!E$12,'rotation(W501D5)'!E$13,'rotation(W501D5)'!E$14))</f>
        <v xml:space="preserve"> </v>
      </c>
      <c r="G6" s="637" t="str">
        <f>IF('rotation(W501D5)'!$X$7&lt;2," ",CONCATENATE('rotation(W501D5)'!F$12,'rotation(W501D5)'!F$13,'rotation(W501D5)'!F$14))</f>
        <v xml:space="preserve"> </v>
      </c>
      <c r="H6" s="637" t="str">
        <f>IF('rotation(W501D5)'!$X$7&lt;2," ",CONCATENATE('rotation(W501D5)'!G$12,'rotation(W501D5)'!G$13,'rotation(W501D5)'!G$14))</f>
        <v xml:space="preserve"> </v>
      </c>
      <c r="I6" s="637" t="str">
        <f>IF('rotation(W501D5)'!$X$7&lt;2," ",CONCATENATE('rotation(W501D5)'!H$12,'rotation(W501D5)'!H$13,'rotation(W501D5)'!H$14))</f>
        <v xml:space="preserve"> </v>
      </c>
      <c r="J6" s="637" t="str">
        <f>IF('rotation(W501D5)'!$X$7&lt;2," ",CONCATENATE('rotation(W501D5)'!I$12,'rotation(W501D5)'!I$13,'rotation(W501D5)'!I$14))</f>
        <v xml:space="preserve"> </v>
      </c>
      <c r="K6" s="637" t="str">
        <f>IF('rotation(W501D5)'!$X$7&lt;2," ",CONCATENATE('rotation(W501D5)'!J$12,'rotation(W501D5)'!J$13,'rotation(W501D5)'!J$14))</f>
        <v xml:space="preserve"> </v>
      </c>
      <c r="L6" s="637" t="str">
        <f>IF('rotation(W501D5)'!$X$7&lt;2," ",CONCATENATE('rotation(W501D5)'!K$12,'rotation(W501D5)'!K$13,'rotation(W501D5)'!K$14))</f>
        <v xml:space="preserve"> </v>
      </c>
      <c r="M6" s="637" t="str">
        <f>IF('rotation(W501D5)'!$X$7&lt;2," ",CONCATENATE('rotation(W501D5)'!L$12,'rotation(W501D5)'!L$13,'rotation(W501D5)'!L$14))</f>
        <v xml:space="preserve"> </v>
      </c>
      <c r="N6" s="637" t="str">
        <f>IF('rotation(W501D5)'!$X$7&lt;2," ",CONCATENATE('rotation(W501D5)'!M$12,'rotation(W501D5)'!M$13,'rotation(W501D5)'!M$14))</f>
        <v xml:space="preserve"> </v>
      </c>
      <c r="O6" s="637" t="str">
        <f>IF('rotation(W501D5)'!$X$7&lt;2," ",CONCATENATE('rotation(W501D5)'!N$12,'rotation(W501D5)'!N$13,'rotation(W501D5)'!N$14))</f>
        <v xml:space="preserve"> </v>
      </c>
      <c r="P6" s="637" t="str">
        <f>IF('rotation(W501D5)'!$X$7&lt;2," ",CONCATENATE('rotation(W501D5)'!O$12,'rotation(W501D5)'!O$13,'rotation(W501D5)'!O$14))</f>
        <v xml:space="preserve"> </v>
      </c>
      <c r="Q6" s="637" t="str">
        <f>IF('rotation(W501D5)'!$X$7&lt;2," ",CONCATENATE('rotation(W501D5)'!P$12,'rotation(W501D5)'!P$13,'rotation(W501D5)'!P$14))</f>
        <v xml:space="preserve"> </v>
      </c>
      <c r="R6" s="637" t="str">
        <f>IF('rotation(W501D5)'!$X$7&lt;2," ",CONCATENATE('rotation(W501D5)'!Q$12,'rotation(W501D5)'!Q$13,'rotation(W501D5)'!Q$14))</f>
        <v xml:space="preserve"> </v>
      </c>
      <c r="S6" s="637" t="str">
        <f>IF('rotation(W501D5)'!$X$7&lt;2," ",CONCATENATE('rotation(W501D5)'!R$12,'rotation(W501D5)'!R$13,'rotation(W501D5)'!R$14))</f>
        <v xml:space="preserve"> </v>
      </c>
      <c r="T6" s="637" t="str">
        <f>IF('rotation(W501D5)'!$X$7&lt;2," ",CONCATENATE('rotation(W501D5)'!S$12,'rotation(W501D5)'!S$13,'rotation(W501D5)'!S$14))</f>
        <v xml:space="preserve"> </v>
      </c>
      <c r="U6" s="637" t="str">
        <f>IF('rotation(W501D5)'!$X$7&lt;2," ",CONCATENATE('rotation(W501D5)'!T$12,'rotation(W501D5)'!T$13,'rotation(W501D5)'!T$14))</f>
        <v xml:space="preserve"> </v>
      </c>
      <c r="V6" s="637" t="str">
        <f>IF('rotation(W501D5)'!$X$7&lt;2," ",CONCATENATE('rotation(W501D5)'!U$12,'rotation(W501D5)'!U$13,'rotation(W501D5)'!U$14))</f>
        <v xml:space="preserve"> </v>
      </c>
      <c r="W6" s="637" t="str">
        <f>IF('rotation(W501D5)'!$X$7&lt;2," ",CONCATENATE('rotation(W501D5)'!V$12,'rotation(W501D5)'!V$13,'rotation(W501D5)'!V$14))</f>
        <v xml:space="preserve"> </v>
      </c>
    </row>
    <row r="7" spans="1:24">
      <c r="A7" s="636" t="s">
        <v>1228</v>
      </c>
      <c r="B7" s="140"/>
      <c r="C7" s="140"/>
      <c r="D7" s="637" t="str">
        <f>IF('rotation(W501D5)'!$X$7&lt;3," ",CONCATENATE('rotation(W501D5)'!C$12,'rotation(W501D5)'!C$13,'rotation(W501D5)'!C$14))</f>
        <v xml:space="preserve"> </v>
      </c>
      <c r="E7" s="637" t="str">
        <f>IF('rotation(W501D5)'!$X$7&lt;3," ",CONCATENATE('rotation(W501D5)'!D$12,'rotation(W501D5)'!D$13,'rotation(W501D5)'!D$14))</f>
        <v xml:space="preserve"> </v>
      </c>
      <c r="F7" s="637" t="str">
        <f>IF('rotation(W501D5)'!$X$7&lt;3," ",CONCATENATE('rotation(W501D5)'!E$12,'rotation(W501D5)'!E$13,'rotation(W501D5)'!E$14))</f>
        <v xml:space="preserve"> </v>
      </c>
      <c r="G7" s="637" t="str">
        <f>IF('rotation(W501D5)'!$X$7&lt;3," ",CONCATENATE('rotation(W501D5)'!F$12,'rotation(W501D5)'!F$13,'rotation(W501D5)'!F$14))</f>
        <v xml:space="preserve"> </v>
      </c>
      <c r="H7" s="637" t="str">
        <f>IF('rotation(W501D5)'!$X$7&lt;3," ",CONCATENATE('rotation(W501D5)'!G$12,'rotation(W501D5)'!G$13,'rotation(W501D5)'!G$14))</f>
        <v xml:space="preserve"> </v>
      </c>
      <c r="I7" s="637" t="str">
        <f>IF('rotation(W501D5)'!$X$7&lt;3," ",CONCATENATE('rotation(W501D5)'!H$12,'rotation(W501D5)'!H$13,'rotation(W501D5)'!H$14))</f>
        <v xml:space="preserve"> </v>
      </c>
      <c r="J7" s="637" t="str">
        <f>IF('rotation(W501D5)'!$X$7&lt;3," ",CONCATENATE('rotation(W501D5)'!I$12,'rotation(W501D5)'!I$13,'rotation(W501D5)'!I$14))</f>
        <v xml:space="preserve"> </v>
      </c>
      <c r="K7" s="637" t="str">
        <f>IF('rotation(W501D5)'!$X$7&lt;3," ",CONCATENATE('rotation(W501D5)'!J$12,'rotation(W501D5)'!J$13,'rotation(W501D5)'!J$14))</f>
        <v xml:space="preserve"> </v>
      </c>
      <c r="L7" s="637" t="str">
        <f>IF('rotation(W501D5)'!$X$7&lt;3," ",CONCATENATE('rotation(W501D5)'!K$12,'rotation(W501D5)'!K$13,'rotation(W501D5)'!K$14))</f>
        <v xml:space="preserve"> </v>
      </c>
      <c r="M7" s="637" t="str">
        <f>IF('rotation(W501D5)'!$X$7&lt;3," ",CONCATENATE('rotation(W501D5)'!L$12,'rotation(W501D5)'!L$13,'rotation(W501D5)'!L$14))</f>
        <v xml:space="preserve"> </v>
      </c>
      <c r="N7" s="637" t="str">
        <f>IF('rotation(W501D5)'!$X$7&lt;3," ",CONCATENATE('rotation(W501D5)'!M$12,'rotation(W501D5)'!M$13,'rotation(W501D5)'!M$14))</f>
        <v xml:space="preserve"> </v>
      </c>
      <c r="O7" s="637" t="str">
        <f>IF('rotation(W501D5)'!$X$7&lt;3," ",CONCATENATE('rotation(W501D5)'!N$12,'rotation(W501D5)'!N$13,'rotation(W501D5)'!N$14))</f>
        <v xml:space="preserve"> </v>
      </c>
      <c r="P7" s="637" t="str">
        <f>IF('rotation(W501D5)'!$X$7&lt;3," ",CONCATENATE('rotation(W501D5)'!O$12,'rotation(W501D5)'!O$13,'rotation(W501D5)'!O$14))</f>
        <v xml:space="preserve"> </v>
      </c>
      <c r="Q7" s="637" t="str">
        <f>IF('rotation(W501D5)'!$X$7&lt;3," ",CONCATENATE('rotation(W501D5)'!P$12,'rotation(W501D5)'!P$13,'rotation(W501D5)'!P$14))</f>
        <v xml:space="preserve"> </v>
      </c>
      <c r="R7" s="637" t="str">
        <f>IF('rotation(W501D5)'!$X$7&lt;3," ",CONCATENATE('rotation(W501D5)'!Q$12,'rotation(W501D5)'!Q$13,'rotation(W501D5)'!Q$14))</f>
        <v xml:space="preserve"> </v>
      </c>
      <c r="S7" s="637" t="str">
        <f>IF('rotation(W501D5)'!$X$7&lt;3," ",CONCATENATE('rotation(W501D5)'!R$12,'rotation(W501D5)'!R$13,'rotation(W501D5)'!R$14))</f>
        <v xml:space="preserve"> </v>
      </c>
      <c r="T7" s="637" t="str">
        <f>IF('rotation(W501D5)'!$X$7&lt;3," ",CONCATENATE('rotation(W501D5)'!S$12,'rotation(W501D5)'!S$13,'rotation(W501D5)'!S$14))</f>
        <v xml:space="preserve"> </v>
      </c>
      <c r="U7" s="637" t="str">
        <f>IF('rotation(W501D5)'!$X$7&lt;3," ",CONCATENATE('rotation(W501D5)'!T$12,'rotation(W501D5)'!T$13,'rotation(W501D5)'!T$14))</f>
        <v xml:space="preserve"> </v>
      </c>
      <c r="V7" s="637" t="str">
        <f>IF('rotation(W501D5)'!$X$7&lt;3," ",CONCATENATE('rotation(W501D5)'!U$12,'rotation(W501D5)'!U$13,'rotation(W501D5)'!U$14))</f>
        <v xml:space="preserve"> </v>
      </c>
      <c r="W7" s="637" t="str">
        <f>IF('rotation(W501D5)'!$X$7&lt;3," ",CONCATENATE('rotation(W501D5)'!V$12,'rotation(W501D5)'!V$13,'rotation(W501D5)'!V$14))</f>
        <v xml:space="preserve"> </v>
      </c>
    </row>
    <row r="8" spans="1:24">
      <c r="A8" s="636" t="s">
        <v>899</v>
      </c>
      <c r="B8" s="140"/>
      <c r="C8" s="140"/>
      <c r="D8" s="637" t="str">
        <f>IF('rotation(W501D5)'!$X$7&lt;4," ",CONCATENATE('rotation(W501D5)'!C$12,'rotation(W501D5)'!C$13,'rotation(W501D5)'!C$14))</f>
        <v xml:space="preserve"> </v>
      </c>
      <c r="E8" s="637" t="str">
        <f>IF('rotation(W501D5)'!$X$7&lt;4," ",CONCATENATE('rotation(W501D5)'!D$12,'rotation(W501D5)'!D$13,'rotation(W501D5)'!D$14))</f>
        <v xml:space="preserve"> </v>
      </c>
      <c r="F8" s="637" t="str">
        <f>IF('rotation(W501D5)'!$X$7&lt;4," ",CONCATENATE('rotation(W501D5)'!E$12,'rotation(W501D5)'!E$13,'rotation(W501D5)'!E$14))</f>
        <v xml:space="preserve"> </v>
      </c>
      <c r="G8" s="637" t="str">
        <f>IF('rotation(W501D5)'!$X$7&lt;4," ",CONCATENATE('rotation(W501D5)'!F$12,'rotation(W501D5)'!F$13,'rotation(W501D5)'!F$14))</f>
        <v xml:space="preserve"> </v>
      </c>
      <c r="H8" s="637" t="str">
        <f>IF('rotation(W501D5)'!$X$7&lt;4," ",CONCATENATE('rotation(W501D5)'!G$12,'rotation(W501D5)'!G$13,'rotation(W501D5)'!G$14))</f>
        <v xml:space="preserve"> </v>
      </c>
      <c r="I8" s="637" t="str">
        <f>IF('rotation(W501D5)'!$X$7&lt;4," ",CONCATENATE('rotation(W501D5)'!H$12,'rotation(W501D5)'!H$13,'rotation(W501D5)'!H$14))</f>
        <v xml:space="preserve"> </v>
      </c>
      <c r="J8" s="637" t="str">
        <f>IF('rotation(W501D5)'!$X$7&lt;4," ",CONCATENATE('rotation(W501D5)'!I$12,'rotation(W501D5)'!I$13,'rotation(W501D5)'!I$14))</f>
        <v xml:space="preserve"> </v>
      </c>
      <c r="K8" s="637" t="str">
        <f>IF('rotation(W501D5)'!$X$7&lt;4," ",CONCATENATE('rotation(W501D5)'!J$12,'rotation(W501D5)'!J$13,'rotation(W501D5)'!J$14))</f>
        <v xml:space="preserve"> </v>
      </c>
      <c r="L8" s="637" t="str">
        <f>IF('rotation(W501D5)'!$X$7&lt;4," ",CONCATENATE('rotation(W501D5)'!K$12,'rotation(W501D5)'!K$13,'rotation(W501D5)'!K$14))</f>
        <v xml:space="preserve"> </v>
      </c>
      <c r="M8" s="637" t="str">
        <f>IF('rotation(W501D5)'!$X$7&lt;4," ",CONCATENATE('rotation(W501D5)'!L$12,'rotation(W501D5)'!L$13,'rotation(W501D5)'!L$14))</f>
        <v xml:space="preserve"> </v>
      </c>
      <c r="N8" s="637" t="str">
        <f>IF('rotation(W501D5)'!$X$7&lt;4," ",CONCATENATE('rotation(W501D5)'!M$12,'rotation(W501D5)'!M$13,'rotation(W501D5)'!M$14))</f>
        <v xml:space="preserve"> </v>
      </c>
      <c r="O8" s="637" t="str">
        <f>IF('rotation(W501D5)'!$X$7&lt;4," ",CONCATENATE('rotation(W501D5)'!N$12,'rotation(W501D5)'!N$13,'rotation(W501D5)'!N$14))</f>
        <v xml:space="preserve"> </v>
      </c>
      <c r="P8" s="637" t="str">
        <f>IF('rotation(W501D5)'!$X$7&lt;4," ",CONCATENATE('rotation(W501D5)'!O$12,'rotation(W501D5)'!O$13,'rotation(W501D5)'!O$14))</f>
        <v xml:space="preserve"> </v>
      </c>
      <c r="Q8" s="637" t="str">
        <f>IF('rotation(W501D5)'!$X$7&lt;4," ",CONCATENATE('rotation(W501D5)'!P$12,'rotation(W501D5)'!P$13,'rotation(W501D5)'!P$14))</f>
        <v xml:space="preserve"> </v>
      </c>
      <c r="R8" s="637" t="str">
        <f>IF('rotation(W501D5)'!$X$7&lt;4," ",CONCATENATE('rotation(W501D5)'!Q$12,'rotation(W501D5)'!Q$13,'rotation(W501D5)'!Q$14))</f>
        <v xml:space="preserve"> </v>
      </c>
      <c r="S8" s="637" t="str">
        <f>IF('rotation(W501D5)'!$X$7&lt;4," ",CONCATENATE('rotation(W501D5)'!R$12,'rotation(W501D5)'!R$13,'rotation(W501D5)'!R$14))</f>
        <v xml:space="preserve"> </v>
      </c>
      <c r="T8" s="637" t="str">
        <f>IF('rotation(W501D5)'!$X$7&lt;4," ",CONCATENATE('rotation(W501D5)'!S$12,'rotation(W501D5)'!S$13,'rotation(W501D5)'!S$14))</f>
        <v xml:space="preserve"> </v>
      </c>
      <c r="U8" s="637" t="str">
        <f>IF('rotation(W501D5)'!$X$7&lt;4," ",CONCATENATE('rotation(W501D5)'!T$12,'rotation(W501D5)'!T$13,'rotation(W501D5)'!T$14))</f>
        <v xml:space="preserve"> </v>
      </c>
      <c r="V8" s="637" t="str">
        <f>IF('rotation(W501D5)'!$X$7&lt;4," ",CONCATENATE('rotation(W501D5)'!U$12,'rotation(W501D5)'!U$13,'rotation(W501D5)'!U$14))</f>
        <v xml:space="preserve"> </v>
      </c>
      <c r="W8" s="637" t="str">
        <f>IF('rotation(W501D5)'!$X$7&lt;4," ",CONCATENATE('rotation(W501D5)'!V$12,'rotation(W501D5)'!V$13,'rotation(W501D5)'!V$14))</f>
        <v xml:space="preserve"> </v>
      </c>
    </row>
    <row r="10" spans="1:24" s="635" customFormat="1">
      <c r="A10" s="636" t="s">
        <v>900</v>
      </c>
      <c r="B10" s="638"/>
      <c r="C10" s="638"/>
      <c r="D10" s="638">
        <f>'rotation(W501D5)'!C8*'GTDB(W501D5)'!$C12+'rotation(W501D5)'!C9*'GTDB(W501D5)'!$C13+'rotation(W501D5)'!C10*'GTDB(W501D5)'!$C14</f>
        <v>0</v>
      </c>
      <c r="E10" s="638">
        <f>'rotation(W501D5)'!D8*'GTDB(W501D5)'!$C12+'rotation(W501D5)'!D9*'GTDB(W501D5)'!$C13+'rotation(W501D5)'!D10*'GTDB(W501D5)'!$C14</f>
        <v>0</v>
      </c>
      <c r="F10" s="638">
        <f>'rotation(W501D5)'!E8*'GTDB(W501D5)'!$C12+'rotation(W501D5)'!E9*'GTDB(W501D5)'!$C13+'rotation(W501D5)'!E10*'GTDB(W501D5)'!$C14</f>
        <v>0</v>
      </c>
      <c r="G10" s="638">
        <f>'rotation(W501D5)'!F8*'GTDB(W501D5)'!$C12+'rotation(W501D5)'!F9*'GTDB(W501D5)'!$C13+'rotation(W501D5)'!F10*'GTDB(W501D5)'!$C14</f>
        <v>0</v>
      </c>
      <c r="H10" s="638">
        <f>'rotation(W501D5)'!G8*'GTDB(W501D5)'!$C12+'rotation(W501D5)'!G9*'GTDB(W501D5)'!$C13+'rotation(W501D5)'!G10*'GTDB(W501D5)'!$C14</f>
        <v>0</v>
      </c>
      <c r="I10" s="638">
        <f>'rotation(W501D5)'!H8*'GTDB(W501D5)'!$C12+'rotation(W501D5)'!H9*'GTDB(W501D5)'!$C13+'rotation(W501D5)'!H10*'GTDB(W501D5)'!$C14</f>
        <v>0</v>
      </c>
      <c r="J10" s="638">
        <f>'rotation(W501D5)'!I8*'GTDB(W501D5)'!$C12+'rotation(W501D5)'!I9*'GTDB(W501D5)'!$C13+'rotation(W501D5)'!I10*'GTDB(W501D5)'!$C14</f>
        <v>0</v>
      </c>
      <c r="K10" s="638">
        <f>'rotation(W501D5)'!J8*'GTDB(W501D5)'!$C12+'rotation(W501D5)'!J9*'GTDB(W501D5)'!$C13+'rotation(W501D5)'!J10*'GTDB(W501D5)'!$C14</f>
        <v>0</v>
      </c>
      <c r="L10" s="638">
        <f>'rotation(W501D5)'!K8*'GTDB(W501D5)'!$C12+'rotation(W501D5)'!K9*'GTDB(W501D5)'!$C13+'rotation(W501D5)'!K10*'GTDB(W501D5)'!$C14</f>
        <v>0</v>
      </c>
      <c r="M10" s="638">
        <f>'rotation(W501D5)'!L8*'GTDB(W501D5)'!$C12+'rotation(W501D5)'!L9*'GTDB(W501D5)'!$C13+'rotation(W501D5)'!L10*'GTDB(W501D5)'!$C14</f>
        <v>0</v>
      </c>
      <c r="N10" s="638">
        <f>'rotation(W501D5)'!M8*'GTDB(W501D5)'!$C12+'rotation(W501D5)'!M9*'GTDB(W501D5)'!$C13+'rotation(W501D5)'!M10*'GTDB(W501D5)'!$C14</f>
        <v>0</v>
      </c>
      <c r="O10" s="638">
        <f>'rotation(W501D5)'!N8*'GTDB(W501D5)'!$C12+'rotation(W501D5)'!N9*'GTDB(W501D5)'!$C13+'rotation(W501D5)'!N10*'GTDB(W501D5)'!$C14</f>
        <v>0</v>
      </c>
      <c r="P10" s="638">
        <f>'rotation(W501D5)'!O8*'GTDB(W501D5)'!$C12+'rotation(W501D5)'!O9*'GTDB(W501D5)'!$C13+'rotation(W501D5)'!O10*'GTDB(W501D5)'!$C14</f>
        <v>0</v>
      </c>
      <c r="Q10" s="638">
        <f>'rotation(W501D5)'!P8*'GTDB(W501D5)'!$C12+'rotation(W501D5)'!P9*'GTDB(W501D5)'!$C13+'rotation(W501D5)'!P10*'GTDB(W501D5)'!$C14</f>
        <v>0</v>
      </c>
      <c r="R10" s="638">
        <f>'rotation(W501D5)'!Q8*'GTDB(W501D5)'!$C12+'rotation(W501D5)'!Q9*'GTDB(W501D5)'!$C13+'rotation(W501D5)'!Q10*'GTDB(W501D5)'!$C14</f>
        <v>0</v>
      </c>
      <c r="S10" s="638">
        <f>'rotation(W501D5)'!R8*'GTDB(W501D5)'!$C12+'rotation(W501D5)'!R9*'GTDB(W501D5)'!$C13+'rotation(W501D5)'!R10*'GTDB(W501D5)'!$C14</f>
        <v>0</v>
      </c>
      <c r="T10" s="638">
        <f>'rotation(W501D5)'!S8*'GTDB(W501D5)'!$C12+'rotation(W501D5)'!S9*'GTDB(W501D5)'!$C13+'rotation(W501D5)'!S10*'GTDB(W501D5)'!$C14</f>
        <v>0</v>
      </c>
      <c r="U10" s="638">
        <f>'rotation(W501D5)'!T8*'GTDB(W501D5)'!$C12+'rotation(W501D5)'!T9*'GTDB(W501D5)'!$C13+'rotation(W501D5)'!T10*'GTDB(W501D5)'!$C14</f>
        <v>0</v>
      </c>
      <c r="V10" s="638">
        <f>'rotation(W501D5)'!U8*'GTDB(W501D5)'!$C12+'rotation(W501D5)'!U9*'GTDB(W501D5)'!$C13+'rotation(W501D5)'!U10*'GTDB(W501D5)'!$C14</f>
        <v>0</v>
      </c>
      <c r="W10" s="638">
        <f>'rotation(W501D5)'!V8*'GTDB(W501D5)'!$C12+'rotation(W501D5)'!V9*'GTDB(W501D5)'!$C13+'rotation(W501D5)'!V10*'GTDB(W501D5)'!$C14</f>
        <v>0</v>
      </c>
      <c r="X10" s="639">
        <f>SUM(D10:W10)</f>
        <v>0</v>
      </c>
    </row>
    <row r="12" spans="1:24">
      <c r="A12" s="640" t="s">
        <v>1222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</row>
    <row r="13" spans="1:24">
      <c r="A13" s="636" t="s">
        <v>901</v>
      </c>
      <c r="B13" s="140" t="s">
        <v>902</v>
      </c>
      <c r="C13" s="140" t="s">
        <v>903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</row>
    <row r="14" spans="1:24" s="21" customFormat="1">
      <c r="A14" s="641" t="str">
        <f>'GTDB(W501D5)'!A17</f>
        <v>Baskets</v>
      </c>
      <c r="B14" s="641">
        <f>'GTDB(W501D5)'!E17</f>
        <v>259.85399999999998</v>
      </c>
      <c r="C14" s="641" t="str">
        <f>IF('rotation(W501D5)'!AA17=0," ",B14*'rotation(W501D5)'!AA17)</f>
        <v xml:space="preserve"> </v>
      </c>
      <c r="D14" s="642" t="str">
        <f>IF('rotation(W501D5)'!C18=0," ",$B14*'rotation(W501D5)'!C18)</f>
        <v xml:space="preserve"> </v>
      </c>
      <c r="E14" s="642" t="str">
        <f>IF('rotation(W501D5)'!D18=0," ",$B14*'rotation(W501D5)'!D18)</f>
        <v xml:space="preserve"> </v>
      </c>
      <c r="F14" s="642" t="str">
        <f>IF('rotation(W501D5)'!E18=0," ",$B14*'rotation(W501D5)'!E18)</f>
        <v xml:space="preserve"> </v>
      </c>
      <c r="G14" s="642" t="str">
        <f>IF('rotation(W501D5)'!F18=0," ",$B14*'rotation(W501D5)'!F18)</f>
        <v xml:space="preserve"> </v>
      </c>
      <c r="H14" s="642" t="str">
        <f>IF('rotation(W501D5)'!G18=0," ",$B14*'rotation(W501D5)'!G18)</f>
        <v xml:space="preserve"> </v>
      </c>
      <c r="I14" s="642" t="str">
        <f>IF('rotation(W501D5)'!H18=0," ",$B14*'rotation(W501D5)'!H18)</f>
        <v xml:space="preserve"> </v>
      </c>
      <c r="J14" s="642" t="str">
        <f>IF('rotation(W501D5)'!I18=0," ",$B14*'rotation(W501D5)'!I18)</f>
        <v xml:space="preserve"> </v>
      </c>
      <c r="K14" s="642" t="str">
        <f>IF('rotation(W501D5)'!J18=0," ",$B14*'rotation(W501D5)'!J18)</f>
        <v xml:space="preserve"> </v>
      </c>
      <c r="L14" s="642" t="str">
        <f>IF('rotation(W501D5)'!K18=0," ",$B14*'rotation(W501D5)'!K18)</f>
        <v xml:space="preserve"> </v>
      </c>
      <c r="M14" s="642" t="str">
        <f>IF('rotation(W501D5)'!L18=0," ",$B14*'rotation(W501D5)'!L18)</f>
        <v xml:space="preserve"> </v>
      </c>
      <c r="N14" s="642" t="str">
        <f>IF('rotation(W501D5)'!M18=0," ",$B14*'rotation(W501D5)'!M18)</f>
        <v xml:space="preserve"> </v>
      </c>
      <c r="O14" s="642" t="str">
        <f>IF('rotation(W501D5)'!N18=0," ",$B14*'rotation(W501D5)'!N18)</f>
        <v xml:space="preserve"> </v>
      </c>
      <c r="P14" s="642" t="str">
        <f>IF('rotation(W501D5)'!O18=0," ",$B14*'rotation(W501D5)'!O18)</f>
        <v xml:space="preserve"> </v>
      </c>
      <c r="Q14" s="642" t="str">
        <f>IF('rotation(W501D5)'!P18=0," ",$B14*'rotation(W501D5)'!P18)</f>
        <v xml:space="preserve"> </v>
      </c>
      <c r="R14" s="642" t="str">
        <f>IF('rotation(W501D5)'!Q18=0," ",$B14*'rotation(W501D5)'!Q18)</f>
        <v xml:space="preserve"> </v>
      </c>
      <c r="S14" s="642" t="str">
        <f>IF('rotation(W501D5)'!R18=0," ",$B14*'rotation(W501D5)'!R18)</f>
        <v xml:space="preserve"> </v>
      </c>
      <c r="T14" s="642" t="str">
        <f>IF('rotation(W501D5)'!S18=0," ",$B14*'rotation(W501D5)'!S18)</f>
        <v xml:space="preserve"> </v>
      </c>
      <c r="U14" s="642" t="str">
        <f>IF('rotation(W501D5)'!T18=0," ",$B14*'rotation(W501D5)'!T18)</f>
        <v xml:space="preserve"> </v>
      </c>
      <c r="V14" s="642" t="str">
        <f>IF('rotation(W501D5)'!U18=0," ",$B14*'rotation(W501D5)'!U18)</f>
        <v xml:space="preserve"> </v>
      </c>
      <c r="W14" s="642" t="str">
        <f>IF('rotation(W501D5)'!V18=0," ",$B14*'rotation(W501D5)'!V18)</f>
        <v xml:space="preserve"> </v>
      </c>
      <c r="X14" s="21">
        <f t="shared" ref="X14:X35" si="0">SUM(D14:W14)</f>
        <v>0</v>
      </c>
    </row>
    <row r="15" spans="1:24" s="21" customFormat="1">
      <c r="A15" s="641" t="str">
        <f>'GTDB(W501D5)'!A18</f>
        <v>Transition Pieces</v>
      </c>
      <c r="B15" s="641">
        <f>'GTDB(W501D5)'!E18</f>
        <v>335.46800000000002</v>
      </c>
      <c r="C15" s="641" t="str">
        <f>IF('rotation(W501D5)'!AA21=0," ",B15*'rotation(W501D5)'!AA21)</f>
        <v xml:space="preserve"> </v>
      </c>
      <c r="D15" s="642" t="str">
        <f>IF('rotation(W501D5)'!C22=0," ",$B15*'rotation(W501D5)'!C22)</f>
        <v xml:space="preserve"> </v>
      </c>
      <c r="E15" s="642" t="str">
        <f>IF('rotation(W501D5)'!D22=0," ",$B15*'rotation(W501D5)'!D22)</f>
        <v xml:space="preserve"> </v>
      </c>
      <c r="F15" s="642" t="str">
        <f>IF('rotation(W501D5)'!E22=0," ",$B15*'rotation(W501D5)'!E22)</f>
        <v xml:space="preserve"> </v>
      </c>
      <c r="G15" s="642" t="str">
        <f>IF('rotation(W501D5)'!F22=0," ",$B15*'rotation(W501D5)'!F22)</f>
        <v xml:space="preserve"> </v>
      </c>
      <c r="H15" s="642" t="str">
        <f>IF('rotation(W501D5)'!G22=0," ",$B15*'rotation(W501D5)'!G22)</f>
        <v xml:space="preserve"> </v>
      </c>
      <c r="I15" s="642" t="str">
        <f>IF('rotation(W501D5)'!H22=0," ",$B15*'rotation(W501D5)'!H22)</f>
        <v xml:space="preserve"> </v>
      </c>
      <c r="J15" s="642" t="str">
        <f>IF('rotation(W501D5)'!I22=0," ",$B15*'rotation(W501D5)'!I22)</f>
        <v xml:space="preserve"> </v>
      </c>
      <c r="K15" s="642" t="str">
        <f>IF('rotation(W501D5)'!J22=0," ",$B15*'rotation(W501D5)'!J22)</f>
        <v xml:space="preserve"> </v>
      </c>
      <c r="L15" s="642" t="str">
        <f>IF('rotation(W501D5)'!K22=0," ",$B15*'rotation(W501D5)'!K22)</f>
        <v xml:space="preserve"> </v>
      </c>
      <c r="M15" s="642" t="str">
        <f>IF('rotation(W501D5)'!L22=0," ",$B15*'rotation(W501D5)'!L22)</f>
        <v xml:space="preserve"> </v>
      </c>
      <c r="N15" s="642" t="str">
        <f>IF('rotation(W501D5)'!M22=0," ",$B15*'rotation(W501D5)'!M22)</f>
        <v xml:space="preserve"> </v>
      </c>
      <c r="O15" s="642" t="str">
        <f>IF('rotation(W501D5)'!N22=0," ",$B15*'rotation(W501D5)'!N22)</f>
        <v xml:space="preserve"> </v>
      </c>
      <c r="P15" s="642" t="str">
        <f>IF('rotation(W501D5)'!O22=0," ",$B15*'rotation(W501D5)'!O22)</f>
        <v xml:space="preserve"> </v>
      </c>
      <c r="Q15" s="642" t="str">
        <f>IF('rotation(W501D5)'!P22=0," ",$B15*'rotation(W501D5)'!P22)</f>
        <v xml:space="preserve"> </v>
      </c>
      <c r="R15" s="642" t="str">
        <f>IF('rotation(W501D5)'!Q22=0," ",$B15*'rotation(W501D5)'!Q22)</f>
        <v xml:space="preserve"> </v>
      </c>
      <c r="S15" s="642" t="str">
        <f>IF('rotation(W501D5)'!R22=0," ",$B15*'rotation(W501D5)'!R22)</f>
        <v xml:space="preserve"> </v>
      </c>
      <c r="T15" s="642" t="str">
        <f>IF('rotation(W501D5)'!S22=0," ",$B15*'rotation(W501D5)'!S22)</f>
        <v xml:space="preserve"> </v>
      </c>
      <c r="U15" s="642" t="str">
        <f>IF('rotation(W501D5)'!T22=0," ",$B15*'rotation(W501D5)'!T22)</f>
        <v xml:space="preserve"> </v>
      </c>
      <c r="V15" s="642" t="str">
        <f>IF('rotation(W501D5)'!U22=0," ",$B15*'rotation(W501D5)'!U22)</f>
        <v xml:space="preserve"> </v>
      </c>
      <c r="W15" s="642" t="str">
        <f>IF('rotation(W501D5)'!V22=0," ",$B15*'rotation(W501D5)'!V22)</f>
        <v xml:space="preserve"> </v>
      </c>
      <c r="X15" s="21">
        <f t="shared" si="0"/>
        <v>0</v>
      </c>
    </row>
    <row r="16" spans="1:24" s="21" customFormat="1">
      <c r="A16" s="641" t="str">
        <f>'GTDB(W501D5)'!A19</f>
        <v>Transition Seals</v>
      </c>
      <c r="B16" s="641">
        <f>'GTDB(W501D5)'!E19</f>
        <v>48.173999999999999</v>
      </c>
      <c r="C16" s="641" t="str">
        <f>IF('rotation(W501D5)'!AA25=0," ",B16*'rotation(W501D5)'!AA25)</f>
        <v xml:space="preserve"> </v>
      </c>
      <c r="D16" s="642" t="str">
        <f>IF('rotation(W501D5)'!C26=0," ",$B16*'rotation(W501D5)'!C26)</f>
        <v xml:space="preserve"> </v>
      </c>
      <c r="E16" s="642" t="str">
        <f>IF('rotation(W501D5)'!D26=0," ",$B16*'rotation(W501D5)'!D26)</f>
        <v xml:space="preserve"> </v>
      </c>
      <c r="F16" s="642" t="str">
        <f>IF('rotation(W501D5)'!E26=0," ",$B16*'rotation(W501D5)'!E26)</f>
        <v xml:space="preserve"> </v>
      </c>
      <c r="G16" s="642" t="str">
        <f>IF('rotation(W501D5)'!F26=0," ",$B16*'rotation(W501D5)'!F26)</f>
        <v xml:space="preserve"> </v>
      </c>
      <c r="H16" s="642" t="str">
        <f>IF('rotation(W501D5)'!G26=0," ",$B16*'rotation(W501D5)'!G26)</f>
        <v xml:space="preserve"> </v>
      </c>
      <c r="I16" s="642" t="str">
        <f>IF('rotation(W501D5)'!H26=0," ",$B16*'rotation(W501D5)'!H26)</f>
        <v xml:space="preserve"> </v>
      </c>
      <c r="J16" s="642" t="str">
        <f>IF('rotation(W501D5)'!I26=0," ",$B16*'rotation(W501D5)'!I26)</f>
        <v xml:space="preserve"> </v>
      </c>
      <c r="K16" s="642" t="str">
        <f>IF('rotation(W501D5)'!J26=0," ",$B16*'rotation(W501D5)'!J26)</f>
        <v xml:space="preserve"> </v>
      </c>
      <c r="L16" s="642" t="str">
        <f>IF('rotation(W501D5)'!K26=0," ",$B16*'rotation(W501D5)'!K26)</f>
        <v xml:space="preserve"> </v>
      </c>
      <c r="M16" s="642" t="str">
        <f>IF('rotation(W501D5)'!L26=0," ",$B16*'rotation(W501D5)'!L26)</f>
        <v xml:space="preserve"> </v>
      </c>
      <c r="N16" s="642" t="str">
        <f>IF('rotation(W501D5)'!M26=0," ",$B16*'rotation(W501D5)'!M26)</f>
        <v xml:space="preserve"> </v>
      </c>
      <c r="O16" s="642" t="str">
        <f>IF('rotation(W501D5)'!N26=0," ",$B16*'rotation(W501D5)'!N26)</f>
        <v xml:space="preserve"> </v>
      </c>
      <c r="P16" s="642" t="str">
        <f>IF('rotation(W501D5)'!O26=0," ",$B16*'rotation(W501D5)'!O26)</f>
        <v xml:space="preserve"> </v>
      </c>
      <c r="Q16" s="642" t="str">
        <f>IF('rotation(W501D5)'!P26=0," ",$B16*'rotation(W501D5)'!P26)</f>
        <v xml:space="preserve"> </v>
      </c>
      <c r="R16" s="642" t="str">
        <f>IF('rotation(W501D5)'!Q26=0," ",$B16*'rotation(W501D5)'!Q26)</f>
        <v xml:space="preserve"> </v>
      </c>
      <c r="S16" s="642" t="str">
        <f>IF('rotation(W501D5)'!R26=0," ",$B16*'rotation(W501D5)'!R26)</f>
        <v xml:space="preserve"> </v>
      </c>
      <c r="T16" s="642" t="str">
        <f>IF('rotation(W501D5)'!S26=0," ",$B16*'rotation(W501D5)'!S26)</f>
        <v xml:space="preserve"> </v>
      </c>
      <c r="U16" s="642" t="str">
        <f>IF('rotation(W501D5)'!T26=0," ",$B16*'rotation(W501D5)'!T26)</f>
        <v xml:space="preserve"> </v>
      </c>
      <c r="V16" s="642" t="str">
        <f>IF('rotation(W501D5)'!U26=0," ",$B16*'rotation(W501D5)'!U26)</f>
        <v xml:space="preserve"> </v>
      </c>
      <c r="W16" s="642" t="str">
        <f>IF('rotation(W501D5)'!V26=0," ",$B16*'rotation(W501D5)'!V26)</f>
        <v xml:space="preserve"> </v>
      </c>
      <c r="X16" s="21">
        <f t="shared" si="0"/>
        <v>0</v>
      </c>
    </row>
    <row r="17" spans="1:24" s="21" customFormat="1">
      <c r="A17" s="641" t="str">
        <f>'GTDB(W501D5)'!A20</f>
        <v>Fuel Nozzles</v>
      </c>
      <c r="B17" s="641">
        <f>'GTDB(W501D5)'!E20</f>
        <v>522.34</v>
      </c>
      <c r="C17" s="641" t="str">
        <f>IF('rotation(W501D5)'!AA29=0," ",B17*'rotation(W501D5)'!AA29)</f>
        <v xml:space="preserve"> </v>
      </c>
      <c r="D17" s="642" t="str">
        <f>IF('rotation(W501D5)'!C30=0," ",$B17*'rotation(W501D5)'!C30)</f>
        <v xml:space="preserve"> </v>
      </c>
      <c r="E17" s="642" t="str">
        <f>IF('rotation(W501D5)'!D30=0," ",$B17*'rotation(W501D5)'!D30)</f>
        <v xml:space="preserve"> </v>
      </c>
      <c r="F17" s="642" t="str">
        <f>IF('rotation(W501D5)'!E30=0," ",$B17*'rotation(W501D5)'!E30)</f>
        <v xml:space="preserve"> </v>
      </c>
      <c r="G17" s="642" t="str">
        <f>IF('rotation(W501D5)'!F30=0," ",$B17*'rotation(W501D5)'!F30)</f>
        <v xml:space="preserve"> </v>
      </c>
      <c r="H17" s="642" t="str">
        <f>IF('rotation(W501D5)'!G30=0," ",$B17*'rotation(W501D5)'!G30)</f>
        <v xml:space="preserve"> </v>
      </c>
      <c r="I17" s="642" t="str">
        <f>IF('rotation(W501D5)'!H30=0," ",$B17*'rotation(W501D5)'!H30)</f>
        <v xml:space="preserve"> </v>
      </c>
      <c r="J17" s="642" t="str">
        <f>IF('rotation(W501D5)'!I30=0," ",$B17*'rotation(W501D5)'!I30)</f>
        <v xml:space="preserve"> </v>
      </c>
      <c r="K17" s="642" t="str">
        <f>IF('rotation(W501D5)'!J30=0," ",$B17*'rotation(W501D5)'!J30)</f>
        <v xml:space="preserve"> </v>
      </c>
      <c r="L17" s="642" t="str">
        <f>IF('rotation(W501D5)'!K30=0," ",$B17*'rotation(W501D5)'!K30)</f>
        <v xml:space="preserve"> </v>
      </c>
      <c r="M17" s="642" t="str">
        <f>IF('rotation(W501D5)'!L30=0," ",$B17*'rotation(W501D5)'!L30)</f>
        <v xml:space="preserve"> </v>
      </c>
      <c r="N17" s="642" t="str">
        <f>IF('rotation(W501D5)'!M30=0," ",$B17*'rotation(W501D5)'!M30)</f>
        <v xml:space="preserve"> </v>
      </c>
      <c r="O17" s="642" t="str">
        <f>IF('rotation(W501D5)'!N30=0," ",$B17*'rotation(W501D5)'!N30)</f>
        <v xml:space="preserve"> </v>
      </c>
      <c r="P17" s="642" t="str">
        <f>IF('rotation(W501D5)'!O30=0," ",$B17*'rotation(W501D5)'!O30)</f>
        <v xml:space="preserve"> </v>
      </c>
      <c r="Q17" s="642" t="str">
        <f>IF('rotation(W501D5)'!P30=0," ",$B17*'rotation(W501D5)'!P30)</f>
        <v xml:space="preserve"> </v>
      </c>
      <c r="R17" s="642" t="str">
        <f>IF('rotation(W501D5)'!Q30=0," ",$B17*'rotation(W501D5)'!Q30)</f>
        <v xml:space="preserve"> </v>
      </c>
      <c r="S17" s="642" t="str">
        <f>IF('rotation(W501D5)'!R30=0," ",$B17*'rotation(W501D5)'!R30)</f>
        <v xml:space="preserve"> </v>
      </c>
      <c r="T17" s="642" t="str">
        <f>IF('rotation(W501D5)'!S30=0," ",$B17*'rotation(W501D5)'!S30)</f>
        <v xml:space="preserve"> </v>
      </c>
      <c r="U17" s="642" t="str">
        <f>IF('rotation(W501D5)'!T30=0," ",$B17*'rotation(W501D5)'!T30)</f>
        <v xml:space="preserve"> </v>
      </c>
      <c r="V17" s="642" t="str">
        <f>IF('rotation(W501D5)'!U30=0," ",$B17*'rotation(W501D5)'!U30)</f>
        <v xml:space="preserve"> </v>
      </c>
      <c r="W17" s="642" t="str">
        <f>IF('rotation(W501D5)'!V30=0," ",$B17*'rotation(W501D5)'!V30)</f>
        <v xml:space="preserve"> </v>
      </c>
      <c r="X17" s="21">
        <f t="shared" si="0"/>
        <v>0</v>
      </c>
    </row>
    <row r="18" spans="1:24" s="21" customFormat="1">
      <c r="A18" s="641" t="str">
        <f>'GTDB(W501D5)'!A21</f>
        <v>Clamshells</v>
      </c>
      <c r="B18" s="641">
        <f>'GTDB(W501D5)'!E21</f>
        <v>92.4</v>
      </c>
      <c r="C18" s="641" t="str">
        <f>IF('rotation(W501D5)'!AA33=0," ",B18*'rotation(W501D5)'!AA33)</f>
        <v xml:space="preserve"> </v>
      </c>
      <c r="D18" s="642" t="str">
        <f>IF('rotation(W501D5)'!C34=0," ",$B18*'rotation(W501D5)'!C34)</f>
        <v xml:space="preserve"> </v>
      </c>
      <c r="E18" s="642" t="str">
        <f>IF('rotation(W501D5)'!D34=0," ",$B18*'rotation(W501D5)'!D34)</f>
        <v xml:space="preserve"> </v>
      </c>
      <c r="F18" s="642" t="str">
        <f>IF('rotation(W501D5)'!E34=0," ",$B18*'rotation(W501D5)'!E34)</f>
        <v xml:space="preserve"> </v>
      </c>
      <c r="G18" s="642" t="str">
        <f>IF('rotation(W501D5)'!F34=0," ",$B18*'rotation(W501D5)'!F34)</f>
        <v xml:space="preserve"> </v>
      </c>
      <c r="H18" s="642" t="str">
        <f>IF('rotation(W501D5)'!G34=0," ",$B18*'rotation(W501D5)'!G34)</f>
        <v xml:space="preserve"> </v>
      </c>
      <c r="I18" s="642" t="str">
        <f>IF('rotation(W501D5)'!H34=0," ",$B18*'rotation(W501D5)'!H34)</f>
        <v xml:space="preserve"> </v>
      </c>
      <c r="J18" s="642" t="str">
        <f>IF('rotation(W501D5)'!I34=0," ",$B18*'rotation(W501D5)'!I34)</f>
        <v xml:space="preserve"> </v>
      </c>
      <c r="K18" s="642" t="str">
        <f>IF('rotation(W501D5)'!J34=0," ",$B18*'rotation(W501D5)'!J34)</f>
        <v xml:space="preserve"> </v>
      </c>
      <c r="L18" s="642" t="str">
        <f>IF('rotation(W501D5)'!K34=0," ",$B18*'rotation(W501D5)'!K34)</f>
        <v xml:space="preserve"> </v>
      </c>
      <c r="M18" s="642" t="str">
        <f>IF('rotation(W501D5)'!L34=0," ",$B18*'rotation(W501D5)'!L34)</f>
        <v xml:space="preserve"> </v>
      </c>
      <c r="N18" s="642" t="str">
        <f>IF('rotation(W501D5)'!M34=0," ",$B18*'rotation(W501D5)'!M34)</f>
        <v xml:space="preserve"> </v>
      </c>
      <c r="O18" s="642" t="str">
        <f>IF('rotation(W501D5)'!N34=0," ",$B18*'rotation(W501D5)'!N34)</f>
        <v xml:space="preserve"> </v>
      </c>
      <c r="P18" s="642" t="str">
        <f>IF('rotation(W501D5)'!O34=0," ",$B18*'rotation(W501D5)'!O34)</f>
        <v xml:space="preserve"> </v>
      </c>
      <c r="Q18" s="642" t="str">
        <f>IF('rotation(W501D5)'!P34=0," ",$B18*'rotation(W501D5)'!P34)</f>
        <v xml:space="preserve"> </v>
      </c>
      <c r="R18" s="642" t="str">
        <f>IF('rotation(W501D5)'!Q34=0," ",$B18*'rotation(W501D5)'!Q34)</f>
        <v xml:space="preserve"> </v>
      </c>
      <c r="S18" s="642" t="str">
        <f>IF('rotation(W501D5)'!R34=0," ",$B18*'rotation(W501D5)'!R34)</f>
        <v xml:space="preserve"> </v>
      </c>
      <c r="T18" s="642" t="str">
        <f>IF('rotation(W501D5)'!S34=0," ",$B18*'rotation(W501D5)'!S34)</f>
        <v xml:space="preserve"> </v>
      </c>
      <c r="U18" s="642" t="str">
        <f>IF('rotation(W501D5)'!T34=0," ",$B18*'rotation(W501D5)'!T34)</f>
        <v xml:space="preserve"> </v>
      </c>
      <c r="V18" s="642" t="str">
        <f>IF('rotation(W501D5)'!U34=0," ",$B18*'rotation(W501D5)'!U34)</f>
        <v xml:space="preserve"> </v>
      </c>
      <c r="W18" s="642" t="str">
        <f>IF('rotation(W501D5)'!V34=0," ",$B18*'rotation(W501D5)'!V34)</f>
        <v xml:space="preserve"> </v>
      </c>
      <c r="X18" s="21">
        <f t="shared" si="0"/>
        <v>0</v>
      </c>
    </row>
    <row r="19" spans="1:24" s="21" customFormat="1">
      <c r="A19" s="641" t="str">
        <f>'GTDB(W501D5)'!A22</f>
        <v>Row 1 Blades</v>
      </c>
      <c r="B19" s="641">
        <f>'GTDB(W501D5)'!E22</f>
        <v>459.67500000000001</v>
      </c>
      <c r="C19" s="641" t="str">
        <f>IF('rotation(W501D5)'!AA37=0," ",B19*'rotation(W501D5)'!AA37)</f>
        <v xml:space="preserve"> </v>
      </c>
      <c r="D19" s="642" t="str">
        <f>IF('rotation(W501D5)'!C38=0," ",$B19*'rotation(W501D5)'!C38)</f>
        <v xml:space="preserve"> </v>
      </c>
      <c r="E19" s="642" t="str">
        <f>IF('rotation(W501D5)'!D38=0," ",$B19*'rotation(W501D5)'!D38)</f>
        <v xml:space="preserve"> </v>
      </c>
      <c r="F19" s="642" t="str">
        <f>IF('rotation(W501D5)'!E38=0," ",$B19*'rotation(W501D5)'!E38)</f>
        <v xml:space="preserve"> </v>
      </c>
      <c r="G19" s="642" t="str">
        <f>IF('rotation(W501D5)'!F38=0," ",$B19*'rotation(W501D5)'!F38)</f>
        <v xml:space="preserve"> </v>
      </c>
      <c r="H19" s="642" t="str">
        <f>IF('rotation(W501D5)'!G38=0," ",$B19*'rotation(W501D5)'!G38)</f>
        <v xml:space="preserve"> </v>
      </c>
      <c r="I19" s="642" t="str">
        <f>IF('rotation(W501D5)'!H38=0," ",$B19*'rotation(W501D5)'!H38)</f>
        <v xml:space="preserve"> </v>
      </c>
      <c r="J19" s="642" t="str">
        <f>IF('rotation(W501D5)'!I38=0," ",$B19*'rotation(W501D5)'!I38)</f>
        <v xml:space="preserve"> </v>
      </c>
      <c r="K19" s="642" t="str">
        <f>IF('rotation(W501D5)'!J38=0," ",$B19*'rotation(W501D5)'!J38)</f>
        <v xml:space="preserve"> </v>
      </c>
      <c r="L19" s="642" t="str">
        <f>IF('rotation(W501D5)'!K38=0," ",$B19*'rotation(W501D5)'!K38)</f>
        <v xml:space="preserve"> </v>
      </c>
      <c r="M19" s="642" t="str">
        <f>IF('rotation(W501D5)'!L38=0," ",$B19*'rotation(W501D5)'!L38)</f>
        <v xml:space="preserve"> </v>
      </c>
      <c r="N19" s="642" t="str">
        <f>IF('rotation(W501D5)'!M38=0," ",$B19*'rotation(W501D5)'!M38)</f>
        <v xml:space="preserve"> </v>
      </c>
      <c r="O19" s="642" t="str">
        <f>IF('rotation(W501D5)'!N38=0," ",$B19*'rotation(W501D5)'!N38)</f>
        <v xml:space="preserve"> </v>
      </c>
      <c r="P19" s="642" t="str">
        <f>IF('rotation(W501D5)'!O38=0," ",$B19*'rotation(W501D5)'!O38)</f>
        <v xml:space="preserve"> </v>
      </c>
      <c r="Q19" s="642" t="str">
        <f>IF('rotation(W501D5)'!P38=0," ",$B19*'rotation(W501D5)'!P38)</f>
        <v xml:space="preserve"> </v>
      </c>
      <c r="R19" s="642" t="str">
        <f>IF('rotation(W501D5)'!Q38=0," ",$B19*'rotation(W501D5)'!Q38)</f>
        <v xml:space="preserve"> </v>
      </c>
      <c r="S19" s="642" t="str">
        <f>IF('rotation(W501D5)'!R38=0," ",$B19*'rotation(W501D5)'!R38)</f>
        <v xml:space="preserve"> </v>
      </c>
      <c r="T19" s="642" t="str">
        <f>IF('rotation(W501D5)'!S38=0," ",$B19*'rotation(W501D5)'!S38)</f>
        <v xml:space="preserve"> </v>
      </c>
      <c r="U19" s="642" t="str">
        <f>IF('rotation(W501D5)'!T38=0," ",$B19*'rotation(W501D5)'!T38)</f>
        <v xml:space="preserve"> </v>
      </c>
      <c r="V19" s="642" t="str">
        <f>IF('rotation(W501D5)'!U38=0," ",$B19*'rotation(W501D5)'!U38)</f>
        <v xml:space="preserve"> </v>
      </c>
      <c r="W19" s="642" t="str">
        <f>IF('rotation(W501D5)'!V38=0," ",$B19*'rotation(W501D5)'!V38)</f>
        <v xml:space="preserve"> </v>
      </c>
      <c r="X19" s="21">
        <f t="shared" si="0"/>
        <v>0</v>
      </c>
    </row>
    <row r="20" spans="1:24" s="21" customFormat="1">
      <c r="A20" s="641" t="str">
        <f>'GTDB(W501D5)'!A23</f>
        <v>Row 2 Blades</v>
      </c>
      <c r="B20" s="641">
        <f>'GTDB(W501D5)'!E23</f>
        <v>435.44499999999999</v>
      </c>
      <c r="C20" s="641" t="str">
        <f>IF('rotation(W501D5)'!AA41=0," ",B20*'rotation(W501D5)'!AA41)</f>
        <v xml:space="preserve"> </v>
      </c>
      <c r="D20" s="642" t="str">
        <f>IF('rotation(W501D5)'!C42=0," ",$B20*'rotation(W501D5)'!C42)</f>
        <v xml:space="preserve"> </v>
      </c>
      <c r="E20" s="642" t="str">
        <f>IF('rotation(W501D5)'!D42=0," ",$B20*'rotation(W501D5)'!D42)</f>
        <v xml:space="preserve"> </v>
      </c>
      <c r="F20" s="642" t="str">
        <f>IF('rotation(W501D5)'!E42=0," ",$B20*'rotation(W501D5)'!E42)</f>
        <v xml:space="preserve"> </v>
      </c>
      <c r="G20" s="642" t="str">
        <f>IF('rotation(W501D5)'!F42=0," ",$B20*'rotation(W501D5)'!F42)</f>
        <v xml:space="preserve"> </v>
      </c>
      <c r="H20" s="642" t="str">
        <f>IF('rotation(W501D5)'!G42=0," ",$B20*'rotation(W501D5)'!G42)</f>
        <v xml:space="preserve"> </v>
      </c>
      <c r="I20" s="642" t="str">
        <f>IF('rotation(W501D5)'!H42=0," ",$B20*'rotation(W501D5)'!H42)</f>
        <v xml:space="preserve"> </v>
      </c>
      <c r="J20" s="642" t="str">
        <f>IF('rotation(W501D5)'!I42=0," ",$B20*'rotation(W501D5)'!I42)</f>
        <v xml:space="preserve"> </v>
      </c>
      <c r="K20" s="642" t="str">
        <f>IF('rotation(W501D5)'!J42=0," ",$B20*'rotation(W501D5)'!J42)</f>
        <v xml:space="preserve"> </v>
      </c>
      <c r="L20" s="642" t="str">
        <f>IF('rotation(W501D5)'!K42=0," ",$B20*'rotation(W501D5)'!K42)</f>
        <v xml:space="preserve"> </v>
      </c>
      <c r="M20" s="642" t="str">
        <f>IF('rotation(W501D5)'!L42=0," ",$B20*'rotation(W501D5)'!L42)</f>
        <v xml:space="preserve"> </v>
      </c>
      <c r="N20" s="642" t="str">
        <f>IF('rotation(W501D5)'!M42=0," ",$B20*'rotation(W501D5)'!M42)</f>
        <v xml:space="preserve"> </v>
      </c>
      <c r="O20" s="642" t="str">
        <f>IF('rotation(W501D5)'!N42=0," ",$B20*'rotation(W501D5)'!N42)</f>
        <v xml:space="preserve"> </v>
      </c>
      <c r="P20" s="642" t="str">
        <f>IF('rotation(W501D5)'!O42=0," ",$B20*'rotation(W501D5)'!O42)</f>
        <v xml:space="preserve"> </v>
      </c>
      <c r="Q20" s="642" t="str">
        <f>IF('rotation(W501D5)'!P42=0," ",$B20*'rotation(W501D5)'!P42)</f>
        <v xml:space="preserve"> </v>
      </c>
      <c r="R20" s="642" t="str">
        <f>IF('rotation(W501D5)'!Q42=0," ",$B20*'rotation(W501D5)'!Q42)</f>
        <v xml:space="preserve"> </v>
      </c>
      <c r="S20" s="642" t="str">
        <f>IF('rotation(W501D5)'!R42=0," ",$B20*'rotation(W501D5)'!R42)</f>
        <v xml:space="preserve"> </v>
      </c>
      <c r="T20" s="642" t="str">
        <f>IF('rotation(W501D5)'!S42=0," ",$B20*'rotation(W501D5)'!S42)</f>
        <v xml:space="preserve"> </v>
      </c>
      <c r="U20" s="642" t="str">
        <f>IF('rotation(W501D5)'!T42=0," ",$B20*'rotation(W501D5)'!T42)</f>
        <v xml:space="preserve"> </v>
      </c>
      <c r="V20" s="642" t="str">
        <f>IF('rotation(W501D5)'!U42=0," ",$B20*'rotation(W501D5)'!U42)</f>
        <v xml:space="preserve"> </v>
      </c>
      <c r="W20" s="642" t="str">
        <f>IF('rotation(W501D5)'!V42=0," ",$B20*'rotation(W501D5)'!V42)</f>
        <v xml:space="preserve"> </v>
      </c>
      <c r="X20" s="21">
        <f t="shared" si="0"/>
        <v>0</v>
      </c>
    </row>
    <row r="21" spans="1:24" s="21" customFormat="1">
      <c r="A21" s="641" t="str">
        <f>'GTDB(W501D5)'!A24</f>
        <v>Row 3 Blades</v>
      </c>
      <c r="B21" s="641">
        <f>'GTDB(W501D5)'!E24</f>
        <v>506.66</v>
      </c>
      <c r="C21" s="641" t="str">
        <f>IF('rotation(W501D5)'!AA45=0," ",B21*'rotation(W501D5)'!AA45)</f>
        <v xml:space="preserve"> </v>
      </c>
      <c r="D21" s="642" t="str">
        <f>IF('rotation(W501D5)'!C46=0," ",$B21*'rotation(W501D5)'!C46)</f>
        <v xml:space="preserve"> </v>
      </c>
      <c r="E21" s="642" t="str">
        <f>IF('rotation(W501D5)'!D46=0," ",$B21*'rotation(W501D5)'!D46)</f>
        <v xml:space="preserve"> </v>
      </c>
      <c r="F21" s="642" t="str">
        <f>IF('rotation(W501D5)'!E46=0," ",$B21*'rotation(W501D5)'!E46)</f>
        <v xml:space="preserve"> </v>
      </c>
      <c r="G21" s="642" t="str">
        <f>IF('rotation(W501D5)'!F46=0," ",$B21*'rotation(W501D5)'!F46)</f>
        <v xml:space="preserve"> </v>
      </c>
      <c r="H21" s="642" t="str">
        <f>IF('rotation(W501D5)'!G46=0," ",$B21*'rotation(W501D5)'!G46)</f>
        <v xml:space="preserve"> </v>
      </c>
      <c r="I21" s="642" t="str">
        <f>IF('rotation(W501D5)'!H46=0," ",$B21*'rotation(W501D5)'!H46)</f>
        <v xml:space="preserve"> </v>
      </c>
      <c r="J21" s="642" t="str">
        <f>IF('rotation(W501D5)'!I46=0," ",$B21*'rotation(W501D5)'!I46)</f>
        <v xml:space="preserve"> </v>
      </c>
      <c r="K21" s="642" t="str">
        <f>IF('rotation(W501D5)'!J46=0," ",$B21*'rotation(W501D5)'!J46)</f>
        <v xml:space="preserve"> </v>
      </c>
      <c r="L21" s="642" t="str">
        <f>IF('rotation(W501D5)'!K46=0," ",$B21*'rotation(W501D5)'!K46)</f>
        <v xml:space="preserve"> </v>
      </c>
      <c r="M21" s="642" t="str">
        <f>IF('rotation(W501D5)'!L46=0," ",$B21*'rotation(W501D5)'!L46)</f>
        <v xml:space="preserve"> </v>
      </c>
      <c r="N21" s="642" t="str">
        <f>IF('rotation(W501D5)'!M46=0," ",$B21*'rotation(W501D5)'!M46)</f>
        <v xml:space="preserve"> </v>
      </c>
      <c r="O21" s="642" t="str">
        <f>IF('rotation(W501D5)'!N46=0," ",$B21*'rotation(W501D5)'!N46)</f>
        <v xml:space="preserve"> </v>
      </c>
      <c r="P21" s="642" t="str">
        <f>IF('rotation(W501D5)'!O46=0," ",$B21*'rotation(W501D5)'!O46)</f>
        <v xml:space="preserve"> </v>
      </c>
      <c r="Q21" s="642" t="str">
        <f>IF('rotation(W501D5)'!P46=0," ",$B21*'rotation(W501D5)'!P46)</f>
        <v xml:space="preserve"> </v>
      </c>
      <c r="R21" s="642" t="str">
        <f>IF('rotation(W501D5)'!Q46=0," ",$B21*'rotation(W501D5)'!Q46)</f>
        <v xml:space="preserve"> </v>
      </c>
      <c r="S21" s="642" t="str">
        <f>IF('rotation(W501D5)'!R46=0," ",$B21*'rotation(W501D5)'!R46)</f>
        <v xml:space="preserve"> </v>
      </c>
      <c r="T21" s="642" t="str">
        <f>IF('rotation(W501D5)'!S46=0," ",$B21*'rotation(W501D5)'!S46)</f>
        <v xml:space="preserve"> </v>
      </c>
      <c r="U21" s="642" t="str">
        <f>IF('rotation(W501D5)'!T46=0," ",$B21*'rotation(W501D5)'!T46)</f>
        <v xml:space="preserve"> </v>
      </c>
      <c r="V21" s="642" t="str">
        <f>IF('rotation(W501D5)'!U46=0," ",$B21*'rotation(W501D5)'!U46)</f>
        <v xml:space="preserve"> </v>
      </c>
      <c r="W21" s="642" t="str">
        <f>IF('rotation(W501D5)'!V46=0," ",$B21*'rotation(W501D5)'!V46)</f>
        <v xml:space="preserve"> </v>
      </c>
      <c r="X21" s="21">
        <f t="shared" si="0"/>
        <v>0</v>
      </c>
    </row>
    <row r="22" spans="1:24" s="21" customFormat="1">
      <c r="A22" s="641" t="str">
        <f>'GTDB(W501D5)'!A25</f>
        <v>Row 4 Blades</v>
      </c>
      <c r="B22" s="641">
        <f>'GTDB(W501D5)'!E25</f>
        <v>627.86099999999999</v>
      </c>
      <c r="C22" s="641" t="str">
        <f>IF('rotation(W501D5)'!AA49=0," ",B22*'rotation(W501D5)'!AA49)</f>
        <v xml:space="preserve"> </v>
      </c>
      <c r="D22" s="642" t="str">
        <f>IF('rotation(W501D5)'!C50=0," ",$B22*'rotation(W501D5)'!C50)</f>
        <v xml:space="preserve"> </v>
      </c>
      <c r="E22" s="642" t="str">
        <f>IF('rotation(W501D5)'!D50=0," ",$B22*'rotation(W501D5)'!D50)</f>
        <v xml:space="preserve"> </v>
      </c>
      <c r="F22" s="642" t="str">
        <f>IF('rotation(W501D5)'!E50=0," ",$B22*'rotation(W501D5)'!E50)</f>
        <v xml:space="preserve"> </v>
      </c>
      <c r="G22" s="642" t="str">
        <f>IF('rotation(W501D5)'!F50=0," ",$B22*'rotation(W501D5)'!F50)</f>
        <v xml:space="preserve"> </v>
      </c>
      <c r="H22" s="642" t="str">
        <f>IF('rotation(W501D5)'!G50=0," ",$B22*'rotation(W501D5)'!G50)</f>
        <v xml:space="preserve"> </v>
      </c>
      <c r="I22" s="642" t="str">
        <f>IF('rotation(W501D5)'!H50=0," ",$B22*'rotation(W501D5)'!H50)</f>
        <v xml:space="preserve"> </v>
      </c>
      <c r="J22" s="642" t="str">
        <f>IF('rotation(W501D5)'!I50=0," ",$B22*'rotation(W501D5)'!I50)</f>
        <v xml:space="preserve"> </v>
      </c>
      <c r="K22" s="642" t="str">
        <f>IF('rotation(W501D5)'!J50=0," ",$B22*'rotation(W501D5)'!J50)</f>
        <v xml:space="preserve"> </v>
      </c>
      <c r="L22" s="642" t="str">
        <f>IF('rotation(W501D5)'!K50=0," ",$B22*'rotation(W501D5)'!K50)</f>
        <v xml:space="preserve"> </v>
      </c>
      <c r="M22" s="642" t="str">
        <f>IF('rotation(W501D5)'!L50=0," ",$B22*'rotation(W501D5)'!L50)</f>
        <v xml:space="preserve"> </v>
      </c>
      <c r="N22" s="642" t="str">
        <f>IF('rotation(W501D5)'!M50=0," ",$B22*'rotation(W501D5)'!M50)</f>
        <v xml:space="preserve"> </v>
      </c>
      <c r="O22" s="642" t="str">
        <f>IF('rotation(W501D5)'!N50=0," ",$B22*'rotation(W501D5)'!N50)</f>
        <v xml:space="preserve"> </v>
      </c>
      <c r="P22" s="642" t="str">
        <f>IF('rotation(W501D5)'!O50=0," ",$B22*'rotation(W501D5)'!O50)</f>
        <v xml:space="preserve"> </v>
      </c>
      <c r="Q22" s="642" t="str">
        <f>IF('rotation(W501D5)'!P50=0," ",$B22*'rotation(W501D5)'!P50)</f>
        <v xml:space="preserve"> </v>
      </c>
      <c r="R22" s="642" t="str">
        <f>IF('rotation(W501D5)'!Q50=0," ",$B22*'rotation(W501D5)'!Q50)</f>
        <v xml:space="preserve"> </v>
      </c>
      <c r="S22" s="642" t="str">
        <f>IF('rotation(W501D5)'!R50=0," ",$B22*'rotation(W501D5)'!R50)</f>
        <v xml:space="preserve"> </v>
      </c>
      <c r="T22" s="642" t="str">
        <f>IF('rotation(W501D5)'!S50=0," ",$B22*'rotation(W501D5)'!S50)</f>
        <v xml:space="preserve"> </v>
      </c>
      <c r="U22" s="642" t="str">
        <f>IF('rotation(W501D5)'!T50=0," ",$B22*'rotation(W501D5)'!T50)</f>
        <v xml:space="preserve"> </v>
      </c>
      <c r="V22" s="642" t="str">
        <f>IF('rotation(W501D5)'!U50=0," ",$B22*'rotation(W501D5)'!U50)</f>
        <v xml:space="preserve"> </v>
      </c>
      <c r="W22" s="642" t="str">
        <f>IF('rotation(W501D5)'!V50=0," ",$B22*'rotation(W501D5)'!V50)</f>
        <v xml:space="preserve"> </v>
      </c>
      <c r="X22" s="21">
        <f t="shared" si="0"/>
        <v>0</v>
      </c>
    </row>
    <row r="23" spans="1:24" s="21" customFormat="1">
      <c r="A23" s="641" t="str">
        <f>'GTDB(W501D5)'!A26</f>
        <v xml:space="preserve">Row 1 Vanes </v>
      </c>
      <c r="B23" s="641">
        <f>'GTDB(W501D5)'!E26</f>
        <v>785.952</v>
      </c>
      <c r="C23" s="641" t="str">
        <f>IF('rotation(W501D5)'!AA53=0," ",B23*'rotation(W501D5)'!AA53)</f>
        <v xml:space="preserve"> </v>
      </c>
      <c r="D23" s="642" t="str">
        <f>IF('rotation(W501D5)'!C54=0," ",$B23*'rotation(W501D5)'!C54)</f>
        <v xml:space="preserve"> </v>
      </c>
      <c r="E23" s="642" t="str">
        <f>IF('rotation(W501D5)'!D54=0," ",$B23*'rotation(W501D5)'!D54)</f>
        <v xml:space="preserve"> </v>
      </c>
      <c r="F23" s="642" t="str">
        <f>IF('rotation(W501D5)'!E54=0," ",$B23*'rotation(W501D5)'!E54)</f>
        <v xml:space="preserve"> </v>
      </c>
      <c r="G23" s="642" t="str">
        <f>IF('rotation(W501D5)'!F54=0," ",$B23*'rotation(W501D5)'!F54)</f>
        <v xml:space="preserve"> </v>
      </c>
      <c r="H23" s="642" t="str">
        <f>IF('rotation(W501D5)'!G54=0," ",$B23*'rotation(W501D5)'!G54)</f>
        <v xml:space="preserve"> </v>
      </c>
      <c r="I23" s="642" t="str">
        <f>IF('rotation(W501D5)'!H54=0," ",$B23*'rotation(W501D5)'!H54)</f>
        <v xml:space="preserve"> </v>
      </c>
      <c r="J23" s="642" t="str">
        <f>IF('rotation(W501D5)'!I54=0," ",$B23*'rotation(W501D5)'!I54)</f>
        <v xml:space="preserve"> </v>
      </c>
      <c r="K23" s="642" t="str">
        <f>IF('rotation(W501D5)'!J54=0," ",$B23*'rotation(W501D5)'!J54)</f>
        <v xml:space="preserve"> </v>
      </c>
      <c r="L23" s="642" t="str">
        <f>IF('rotation(W501D5)'!K54=0," ",$B23*'rotation(W501D5)'!K54)</f>
        <v xml:space="preserve"> </v>
      </c>
      <c r="M23" s="642" t="str">
        <f>IF('rotation(W501D5)'!L54=0," ",$B23*'rotation(W501D5)'!L54)</f>
        <v xml:space="preserve"> </v>
      </c>
      <c r="N23" s="642" t="str">
        <f>IF('rotation(W501D5)'!M54=0," ",$B23*'rotation(W501D5)'!M54)</f>
        <v xml:space="preserve"> </v>
      </c>
      <c r="O23" s="642" t="str">
        <f>IF('rotation(W501D5)'!N54=0," ",$B23*'rotation(W501D5)'!N54)</f>
        <v xml:space="preserve"> </v>
      </c>
      <c r="P23" s="642" t="str">
        <f>IF('rotation(W501D5)'!O54=0," ",$B23*'rotation(W501D5)'!O54)</f>
        <v xml:space="preserve"> </v>
      </c>
      <c r="Q23" s="642" t="str">
        <f>IF('rotation(W501D5)'!P54=0," ",$B23*'rotation(W501D5)'!P54)</f>
        <v xml:space="preserve"> </v>
      </c>
      <c r="R23" s="642" t="str">
        <f>IF('rotation(W501D5)'!Q54=0," ",$B23*'rotation(W501D5)'!Q54)</f>
        <v xml:space="preserve"> </v>
      </c>
      <c r="S23" s="642" t="str">
        <f>IF('rotation(W501D5)'!R54=0," ",$B23*'rotation(W501D5)'!R54)</f>
        <v xml:space="preserve"> </v>
      </c>
      <c r="T23" s="642" t="str">
        <f>IF('rotation(W501D5)'!S54=0," ",$B23*'rotation(W501D5)'!S54)</f>
        <v xml:space="preserve"> </v>
      </c>
      <c r="U23" s="642" t="str">
        <f>IF('rotation(W501D5)'!T54=0," ",$B23*'rotation(W501D5)'!T54)</f>
        <v xml:space="preserve"> </v>
      </c>
      <c r="V23" s="642" t="str">
        <f>IF('rotation(W501D5)'!U54=0," ",$B23*'rotation(W501D5)'!U54)</f>
        <v xml:space="preserve"> </v>
      </c>
      <c r="W23" s="642" t="str">
        <f>IF('rotation(W501D5)'!V54=0," ",$B23*'rotation(W501D5)'!V54)</f>
        <v xml:space="preserve"> </v>
      </c>
      <c r="X23" s="21">
        <f t="shared" si="0"/>
        <v>0</v>
      </c>
    </row>
    <row r="24" spans="1:24" s="21" customFormat="1">
      <c r="A24" s="641" t="str">
        <f>'GTDB(W501D5)'!A27</f>
        <v>Row 2 Vanes</v>
      </c>
      <c r="B24" s="641">
        <f>'GTDB(W501D5)'!E27</f>
        <v>568.976</v>
      </c>
      <c r="C24" s="641" t="str">
        <f>IF('rotation(W501D5)'!AA57=0," ",B24*'rotation(W501D5)'!AA57)</f>
        <v xml:space="preserve"> </v>
      </c>
      <c r="D24" s="642" t="str">
        <f>IF('rotation(W501D5)'!C58=0," ",$B24*'rotation(W501D5)'!C58)</f>
        <v xml:space="preserve"> </v>
      </c>
      <c r="E24" s="642" t="str">
        <f>IF('rotation(W501D5)'!D58=0," ",$B24*'rotation(W501D5)'!D58)</f>
        <v xml:space="preserve"> </v>
      </c>
      <c r="F24" s="642" t="str">
        <f>IF('rotation(W501D5)'!E58=0," ",$B24*'rotation(W501D5)'!E58)</f>
        <v xml:space="preserve"> </v>
      </c>
      <c r="G24" s="642" t="str">
        <f>IF('rotation(W501D5)'!F58=0," ",$B24*'rotation(W501D5)'!F58)</f>
        <v xml:space="preserve"> </v>
      </c>
      <c r="H24" s="642" t="str">
        <f>IF('rotation(W501D5)'!G58=0," ",$B24*'rotation(W501D5)'!G58)</f>
        <v xml:space="preserve"> </v>
      </c>
      <c r="I24" s="642" t="str">
        <f>IF('rotation(W501D5)'!H58=0," ",$B24*'rotation(W501D5)'!H58)</f>
        <v xml:space="preserve"> </v>
      </c>
      <c r="J24" s="642" t="str">
        <f>IF('rotation(W501D5)'!I58=0," ",$B24*'rotation(W501D5)'!I58)</f>
        <v xml:space="preserve"> </v>
      </c>
      <c r="K24" s="642" t="str">
        <f>IF('rotation(W501D5)'!J58=0," ",$B24*'rotation(W501D5)'!J58)</f>
        <v xml:space="preserve"> </v>
      </c>
      <c r="L24" s="642" t="str">
        <f>IF('rotation(W501D5)'!K58=0," ",$B24*'rotation(W501D5)'!K58)</f>
        <v xml:space="preserve"> </v>
      </c>
      <c r="M24" s="642" t="str">
        <f>IF('rotation(W501D5)'!L58=0," ",$B24*'rotation(W501D5)'!L58)</f>
        <v xml:space="preserve"> </v>
      </c>
      <c r="N24" s="642" t="str">
        <f>IF('rotation(W501D5)'!M58=0," ",$B24*'rotation(W501D5)'!M58)</f>
        <v xml:space="preserve"> </v>
      </c>
      <c r="O24" s="642" t="str">
        <f>IF('rotation(W501D5)'!N58=0," ",$B24*'rotation(W501D5)'!N58)</f>
        <v xml:space="preserve"> </v>
      </c>
      <c r="P24" s="642" t="str">
        <f>IF('rotation(W501D5)'!O58=0," ",$B24*'rotation(W501D5)'!O58)</f>
        <v xml:space="preserve"> </v>
      </c>
      <c r="Q24" s="642" t="str">
        <f>IF('rotation(W501D5)'!P58=0," ",$B24*'rotation(W501D5)'!P58)</f>
        <v xml:space="preserve"> </v>
      </c>
      <c r="R24" s="642" t="str">
        <f>IF('rotation(W501D5)'!Q58=0," ",$B24*'rotation(W501D5)'!Q58)</f>
        <v xml:space="preserve"> </v>
      </c>
      <c r="S24" s="642" t="str">
        <f>IF('rotation(W501D5)'!R58=0," ",$B24*'rotation(W501D5)'!R58)</f>
        <v xml:space="preserve"> </v>
      </c>
      <c r="T24" s="642" t="str">
        <f>IF('rotation(W501D5)'!S58=0," ",$B24*'rotation(W501D5)'!S58)</f>
        <v xml:space="preserve"> </v>
      </c>
      <c r="U24" s="642" t="str">
        <f>IF('rotation(W501D5)'!T58=0," ",$B24*'rotation(W501D5)'!T58)</f>
        <v xml:space="preserve"> </v>
      </c>
      <c r="V24" s="642" t="str">
        <f>IF('rotation(W501D5)'!U58=0," ",$B24*'rotation(W501D5)'!U58)</f>
        <v xml:space="preserve"> </v>
      </c>
      <c r="W24" s="642" t="str">
        <f>IF('rotation(W501D5)'!V58=0," ",$B24*'rotation(W501D5)'!V58)</f>
        <v xml:space="preserve"> </v>
      </c>
      <c r="X24" s="21">
        <f t="shared" si="0"/>
        <v>0</v>
      </c>
    </row>
    <row r="25" spans="1:24" s="21" customFormat="1">
      <c r="A25" s="641" t="str">
        <f>'GTDB(W501D5)'!A28</f>
        <v>Row 3 Vanes</v>
      </c>
      <c r="B25" s="641">
        <f>'GTDB(W501D5)'!E28</f>
        <v>619.22</v>
      </c>
      <c r="C25" s="641" t="str">
        <f>IF('rotation(W501D5)'!AA61=0," ",B25*'rotation(W501D5)'!AA61)</f>
        <v xml:space="preserve"> </v>
      </c>
      <c r="D25" s="642" t="str">
        <f>IF('rotation(W501D5)'!C62=0," ",$B25*'rotation(W501D5)'!C62)</f>
        <v xml:space="preserve"> </v>
      </c>
      <c r="E25" s="642" t="str">
        <f>IF('rotation(W501D5)'!D62=0," ",$B25*'rotation(W501D5)'!D62)</f>
        <v xml:space="preserve"> </v>
      </c>
      <c r="F25" s="642" t="str">
        <f>IF('rotation(W501D5)'!E62=0," ",$B25*'rotation(W501D5)'!E62)</f>
        <v xml:space="preserve"> </v>
      </c>
      <c r="G25" s="642" t="str">
        <f>IF('rotation(W501D5)'!F62=0," ",$B25*'rotation(W501D5)'!F62)</f>
        <v xml:space="preserve"> </v>
      </c>
      <c r="H25" s="642" t="str">
        <f>IF('rotation(W501D5)'!G62=0," ",$B25*'rotation(W501D5)'!G62)</f>
        <v xml:space="preserve"> </v>
      </c>
      <c r="I25" s="642" t="str">
        <f>IF('rotation(W501D5)'!H62=0," ",$B25*'rotation(W501D5)'!H62)</f>
        <v xml:space="preserve"> </v>
      </c>
      <c r="J25" s="642" t="str">
        <f>IF('rotation(W501D5)'!I62=0," ",$B25*'rotation(W501D5)'!I62)</f>
        <v xml:space="preserve"> </v>
      </c>
      <c r="K25" s="642" t="str">
        <f>IF('rotation(W501D5)'!J62=0," ",$B25*'rotation(W501D5)'!J62)</f>
        <v xml:space="preserve"> </v>
      </c>
      <c r="L25" s="642" t="str">
        <f>IF('rotation(W501D5)'!K62=0," ",$B25*'rotation(W501D5)'!K62)</f>
        <v xml:space="preserve"> </v>
      </c>
      <c r="M25" s="642" t="str">
        <f>IF('rotation(W501D5)'!L62=0," ",$B25*'rotation(W501D5)'!L62)</f>
        <v xml:space="preserve"> </v>
      </c>
      <c r="N25" s="642" t="str">
        <f>IF('rotation(W501D5)'!M62=0," ",$B25*'rotation(W501D5)'!M62)</f>
        <v xml:space="preserve"> </v>
      </c>
      <c r="O25" s="642" t="str">
        <f>IF('rotation(W501D5)'!N62=0," ",$B25*'rotation(W501D5)'!N62)</f>
        <v xml:space="preserve"> </v>
      </c>
      <c r="P25" s="642" t="str">
        <f>IF('rotation(W501D5)'!O62=0," ",$B25*'rotation(W501D5)'!O62)</f>
        <v xml:space="preserve"> </v>
      </c>
      <c r="Q25" s="642" t="str">
        <f>IF('rotation(W501D5)'!P62=0," ",$B25*'rotation(W501D5)'!P62)</f>
        <v xml:space="preserve"> </v>
      </c>
      <c r="R25" s="642" t="str">
        <f>IF('rotation(W501D5)'!Q62=0," ",$B25*'rotation(W501D5)'!Q62)</f>
        <v xml:space="preserve"> </v>
      </c>
      <c r="S25" s="642" t="str">
        <f>IF('rotation(W501D5)'!R62=0," ",$B25*'rotation(W501D5)'!R62)</f>
        <v xml:space="preserve"> </v>
      </c>
      <c r="T25" s="642" t="str">
        <f>IF('rotation(W501D5)'!S62=0," ",$B25*'rotation(W501D5)'!S62)</f>
        <v xml:space="preserve"> </v>
      </c>
      <c r="U25" s="642" t="str">
        <f>IF('rotation(W501D5)'!T62=0," ",$B25*'rotation(W501D5)'!T62)</f>
        <v xml:space="preserve"> </v>
      </c>
      <c r="V25" s="642" t="str">
        <f>IF('rotation(W501D5)'!U62=0," ",$B25*'rotation(W501D5)'!U62)</f>
        <v xml:space="preserve"> </v>
      </c>
      <c r="W25" s="642" t="str">
        <f>IF('rotation(W501D5)'!V62=0," ",$B25*'rotation(W501D5)'!V62)</f>
        <v xml:space="preserve"> </v>
      </c>
      <c r="X25" s="21">
        <f t="shared" si="0"/>
        <v>0</v>
      </c>
    </row>
    <row r="26" spans="1:24" s="21" customFormat="1">
      <c r="A26" s="641" t="str">
        <f>'GTDB(W501D5)'!A29</f>
        <v>Row 4 Vanes</v>
      </c>
      <c r="B26" s="641">
        <f>'GTDB(W501D5)'!E29</f>
        <v>709.60400000000004</v>
      </c>
      <c r="C26" s="641" t="str">
        <f>IF('rotation(W501D5)'!AA65=0," ",B26*'rotation(W501D5)'!AA65)</f>
        <v xml:space="preserve"> </v>
      </c>
      <c r="D26" s="642" t="str">
        <f>IF('rotation(W501D5)'!C66=0," ",$B26*'rotation(W501D5)'!C66)</f>
        <v xml:space="preserve"> </v>
      </c>
      <c r="E26" s="642" t="str">
        <f>IF('rotation(W501D5)'!D66=0," ",$B26*'rotation(W501D5)'!D66)</f>
        <v xml:space="preserve"> </v>
      </c>
      <c r="F26" s="642" t="str">
        <f>IF('rotation(W501D5)'!E66=0," ",$B26*'rotation(W501D5)'!E66)</f>
        <v xml:space="preserve"> </v>
      </c>
      <c r="G26" s="642" t="str">
        <f>IF('rotation(W501D5)'!F66=0," ",$B26*'rotation(W501D5)'!F66)</f>
        <v xml:space="preserve"> </v>
      </c>
      <c r="H26" s="642" t="str">
        <f>IF('rotation(W501D5)'!G66=0," ",$B26*'rotation(W501D5)'!G66)</f>
        <v xml:space="preserve"> </v>
      </c>
      <c r="I26" s="642" t="str">
        <f>IF('rotation(W501D5)'!H66=0," ",$B26*'rotation(W501D5)'!H66)</f>
        <v xml:space="preserve"> </v>
      </c>
      <c r="J26" s="642" t="str">
        <f>IF('rotation(W501D5)'!I66=0," ",$B26*'rotation(W501D5)'!I66)</f>
        <v xml:space="preserve"> </v>
      </c>
      <c r="K26" s="642" t="str">
        <f>IF('rotation(W501D5)'!J66=0," ",$B26*'rotation(W501D5)'!J66)</f>
        <v xml:space="preserve"> </v>
      </c>
      <c r="L26" s="642" t="str">
        <f>IF('rotation(W501D5)'!K66=0," ",$B26*'rotation(W501D5)'!K66)</f>
        <v xml:space="preserve"> </v>
      </c>
      <c r="M26" s="642" t="str">
        <f>IF('rotation(W501D5)'!L66=0," ",$B26*'rotation(W501D5)'!L66)</f>
        <v xml:space="preserve"> </v>
      </c>
      <c r="N26" s="642" t="str">
        <f>IF('rotation(W501D5)'!M66=0," ",$B26*'rotation(W501D5)'!M66)</f>
        <v xml:space="preserve"> </v>
      </c>
      <c r="O26" s="642" t="str">
        <f>IF('rotation(W501D5)'!N66=0," ",$B26*'rotation(W501D5)'!N66)</f>
        <v xml:space="preserve"> </v>
      </c>
      <c r="P26" s="642" t="str">
        <f>IF('rotation(W501D5)'!O66=0," ",$B26*'rotation(W501D5)'!O66)</f>
        <v xml:space="preserve"> </v>
      </c>
      <c r="Q26" s="642" t="str">
        <f>IF('rotation(W501D5)'!P66=0," ",$B26*'rotation(W501D5)'!P66)</f>
        <v xml:space="preserve"> </v>
      </c>
      <c r="R26" s="642" t="str">
        <f>IF('rotation(W501D5)'!Q66=0," ",$B26*'rotation(W501D5)'!Q66)</f>
        <v xml:space="preserve"> </v>
      </c>
      <c r="S26" s="642" t="str">
        <f>IF('rotation(W501D5)'!R66=0," ",$B26*'rotation(W501D5)'!R66)</f>
        <v xml:space="preserve"> </v>
      </c>
      <c r="T26" s="642" t="str">
        <f>IF('rotation(W501D5)'!S66=0," ",$B26*'rotation(W501D5)'!S66)</f>
        <v xml:space="preserve"> </v>
      </c>
      <c r="U26" s="642" t="str">
        <f>IF('rotation(W501D5)'!T66=0," ",$B26*'rotation(W501D5)'!T66)</f>
        <v xml:space="preserve"> </v>
      </c>
      <c r="V26" s="642" t="str">
        <f>IF('rotation(W501D5)'!U66=0," ",$B26*'rotation(W501D5)'!U66)</f>
        <v xml:space="preserve"> </v>
      </c>
      <c r="W26" s="642" t="str">
        <f>IF('rotation(W501D5)'!V66=0," ",$B26*'rotation(W501D5)'!V66)</f>
        <v xml:space="preserve"> </v>
      </c>
      <c r="X26" s="21">
        <f t="shared" si="0"/>
        <v>0</v>
      </c>
    </row>
    <row r="27" spans="1:24" s="21" customFormat="1">
      <c r="A27" s="641" t="str">
        <f>'GTDB(W501D5)'!A30</f>
        <v>Row 1 ring segments</v>
      </c>
      <c r="B27" s="641">
        <f>'GTDB(W501D5)'!E30</f>
        <v>106.36799999999999</v>
      </c>
      <c r="C27" s="641" t="str">
        <f>IF('rotation(W501D5)'!AA69=0," ",B27*'rotation(W501D5)'!AA69)</f>
        <v xml:space="preserve"> </v>
      </c>
      <c r="D27" s="642" t="str">
        <f>IF('rotation(W501D5)'!C70=0," ",$B27*'rotation(W501D5)'!C70)</f>
        <v xml:space="preserve"> </v>
      </c>
      <c r="E27" s="642" t="str">
        <f>IF('rotation(W501D5)'!D70=0," ",$B27*'rotation(W501D5)'!D70)</f>
        <v xml:space="preserve"> </v>
      </c>
      <c r="F27" s="642" t="str">
        <f>IF('rotation(W501D5)'!E70=0," ",$B27*'rotation(W501D5)'!E70)</f>
        <v xml:space="preserve"> </v>
      </c>
      <c r="G27" s="642" t="str">
        <f>IF('rotation(W501D5)'!F70=0," ",$B27*'rotation(W501D5)'!F70)</f>
        <v xml:space="preserve"> </v>
      </c>
      <c r="H27" s="642" t="str">
        <f>IF('rotation(W501D5)'!G70=0," ",$B27*'rotation(W501D5)'!G70)</f>
        <v xml:space="preserve"> </v>
      </c>
      <c r="I27" s="642" t="str">
        <f>IF('rotation(W501D5)'!H70=0," ",$B27*'rotation(W501D5)'!H70)</f>
        <v xml:space="preserve"> </v>
      </c>
      <c r="J27" s="642" t="str">
        <f>IF('rotation(W501D5)'!I70=0," ",$B27*'rotation(W501D5)'!I70)</f>
        <v xml:space="preserve"> </v>
      </c>
      <c r="K27" s="642" t="str">
        <f>IF('rotation(W501D5)'!J70=0," ",$B27*'rotation(W501D5)'!J70)</f>
        <v xml:space="preserve"> </v>
      </c>
      <c r="L27" s="642" t="str">
        <f>IF('rotation(W501D5)'!K70=0," ",$B27*'rotation(W501D5)'!K70)</f>
        <v xml:space="preserve"> </v>
      </c>
      <c r="M27" s="642" t="str">
        <f>IF('rotation(W501D5)'!L70=0," ",$B27*'rotation(W501D5)'!L70)</f>
        <v xml:space="preserve"> </v>
      </c>
      <c r="N27" s="642" t="str">
        <f>IF('rotation(W501D5)'!M70=0," ",$B27*'rotation(W501D5)'!M70)</f>
        <v xml:space="preserve"> </v>
      </c>
      <c r="O27" s="642" t="str">
        <f>IF('rotation(W501D5)'!N70=0," ",$B27*'rotation(W501D5)'!N70)</f>
        <v xml:space="preserve"> </v>
      </c>
      <c r="P27" s="642" t="str">
        <f>IF('rotation(W501D5)'!O70=0," ",$B27*'rotation(W501D5)'!O70)</f>
        <v xml:space="preserve"> </v>
      </c>
      <c r="Q27" s="642" t="str">
        <f>IF('rotation(W501D5)'!P70=0," ",$B27*'rotation(W501D5)'!P70)</f>
        <v xml:space="preserve"> </v>
      </c>
      <c r="R27" s="642" t="str">
        <f>IF('rotation(W501D5)'!Q70=0," ",$B27*'rotation(W501D5)'!Q70)</f>
        <v xml:space="preserve"> </v>
      </c>
      <c r="S27" s="642" t="str">
        <f>IF('rotation(W501D5)'!R70=0," ",$B27*'rotation(W501D5)'!R70)</f>
        <v xml:space="preserve"> </v>
      </c>
      <c r="T27" s="642" t="str">
        <f>IF('rotation(W501D5)'!S70=0," ",$B27*'rotation(W501D5)'!S70)</f>
        <v xml:space="preserve"> </v>
      </c>
      <c r="U27" s="642" t="str">
        <f>IF('rotation(W501D5)'!T70=0," ",$B27*'rotation(W501D5)'!T70)</f>
        <v xml:space="preserve"> </v>
      </c>
      <c r="V27" s="642" t="str">
        <f>IF('rotation(W501D5)'!U70=0," ",$B27*'rotation(W501D5)'!U70)</f>
        <v xml:space="preserve"> </v>
      </c>
      <c r="W27" s="642" t="str">
        <f>IF('rotation(W501D5)'!V70=0," ",$B27*'rotation(W501D5)'!V70)</f>
        <v xml:space="preserve"> </v>
      </c>
      <c r="X27" s="21">
        <f t="shared" si="0"/>
        <v>0</v>
      </c>
    </row>
    <row r="28" spans="1:24" s="21" customFormat="1">
      <c r="A28" s="641" t="str">
        <f>'GTDB(W501D5)'!A31</f>
        <v>Row 2 ring segments</v>
      </c>
      <c r="B28" s="641">
        <f>'GTDB(W501D5)'!E31</f>
        <v>108.624</v>
      </c>
      <c r="C28" s="641" t="str">
        <f>IF('rotation(W501D5)'!AA73=0," ",B28*'rotation(W501D5)'!AA73)</f>
        <v xml:space="preserve"> </v>
      </c>
      <c r="D28" s="642" t="str">
        <f>IF('rotation(W501D5)'!C74=0," ",$B28*'rotation(W501D5)'!C74)</f>
        <v xml:space="preserve"> </v>
      </c>
      <c r="E28" s="642" t="str">
        <f>IF('rotation(W501D5)'!D74=0," ",$B28*'rotation(W501D5)'!D74)</f>
        <v xml:space="preserve"> </v>
      </c>
      <c r="F28" s="642" t="str">
        <f>IF('rotation(W501D5)'!E74=0," ",$B28*'rotation(W501D5)'!E74)</f>
        <v xml:space="preserve"> </v>
      </c>
      <c r="G28" s="642" t="str">
        <f>IF('rotation(W501D5)'!F74=0," ",$B28*'rotation(W501D5)'!F74)</f>
        <v xml:space="preserve"> </v>
      </c>
      <c r="H28" s="642" t="str">
        <f>IF('rotation(W501D5)'!G74=0," ",$B28*'rotation(W501D5)'!G74)</f>
        <v xml:space="preserve"> </v>
      </c>
      <c r="I28" s="642" t="str">
        <f>IF('rotation(W501D5)'!H74=0," ",$B28*'rotation(W501D5)'!H74)</f>
        <v xml:space="preserve"> </v>
      </c>
      <c r="J28" s="642" t="str">
        <f>IF('rotation(W501D5)'!I74=0," ",$B28*'rotation(W501D5)'!I74)</f>
        <v xml:space="preserve"> </v>
      </c>
      <c r="K28" s="642" t="str">
        <f>IF('rotation(W501D5)'!J74=0," ",$B28*'rotation(W501D5)'!J74)</f>
        <v xml:space="preserve"> </v>
      </c>
      <c r="L28" s="642" t="str">
        <f>IF('rotation(W501D5)'!K74=0," ",$B28*'rotation(W501D5)'!K74)</f>
        <v xml:space="preserve"> </v>
      </c>
      <c r="M28" s="642" t="str">
        <f>IF('rotation(W501D5)'!L74=0," ",$B28*'rotation(W501D5)'!L74)</f>
        <v xml:space="preserve"> </v>
      </c>
      <c r="N28" s="642" t="str">
        <f>IF('rotation(W501D5)'!M74=0," ",$B28*'rotation(W501D5)'!M74)</f>
        <v xml:space="preserve"> </v>
      </c>
      <c r="O28" s="642" t="str">
        <f>IF('rotation(W501D5)'!N74=0," ",$B28*'rotation(W501D5)'!N74)</f>
        <v xml:space="preserve"> </v>
      </c>
      <c r="P28" s="642" t="str">
        <f>IF('rotation(W501D5)'!O74=0," ",$B28*'rotation(W501D5)'!O74)</f>
        <v xml:space="preserve"> </v>
      </c>
      <c r="Q28" s="642" t="str">
        <f>IF('rotation(W501D5)'!P74=0," ",$B28*'rotation(W501D5)'!P74)</f>
        <v xml:space="preserve"> </v>
      </c>
      <c r="R28" s="642" t="str">
        <f>IF('rotation(W501D5)'!Q74=0," ",$B28*'rotation(W501D5)'!Q74)</f>
        <v xml:space="preserve"> </v>
      </c>
      <c r="S28" s="642" t="str">
        <f>IF('rotation(W501D5)'!R74=0," ",$B28*'rotation(W501D5)'!R74)</f>
        <v xml:space="preserve"> </v>
      </c>
      <c r="T28" s="642" t="str">
        <f>IF('rotation(W501D5)'!S74=0," ",$B28*'rotation(W501D5)'!S74)</f>
        <v xml:space="preserve"> </v>
      </c>
      <c r="U28" s="642" t="str">
        <f>IF('rotation(W501D5)'!T74=0," ",$B28*'rotation(W501D5)'!T74)</f>
        <v xml:space="preserve"> </v>
      </c>
      <c r="V28" s="642" t="str">
        <f>IF('rotation(W501D5)'!U74=0," ",$B28*'rotation(W501D5)'!U74)</f>
        <v xml:space="preserve"> </v>
      </c>
      <c r="W28" s="642" t="str">
        <f>IF('rotation(W501D5)'!V74=0," ",$B28*'rotation(W501D5)'!V74)</f>
        <v xml:space="preserve"> </v>
      </c>
      <c r="X28" s="21">
        <f t="shared" si="0"/>
        <v>0</v>
      </c>
    </row>
    <row r="29" spans="1:24" s="21" customFormat="1">
      <c r="A29" s="641" t="str">
        <f>'GTDB(W501D5)'!A32</f>
        <v>Row 3 rings segments</v>
      </c>
      <c r="B29" s="641">
        <f>'GTDB(W501D5)'!E32</f>
        <v>64.739999999999995</v>
      </c>
      <c r="C29" s="641" t="str">
        <f>IF('rotation(W501D5)'!AA77=0," ",B29*'rotation(W501D5)'!AA77)</f>
        <v xml:space="preserve"> </v>
      </c>
      <c r="D29" s="642" t="str">
        <f>IF('rotation(W501D5)'!C78=0," ",$B29*'rotation(W501D5)'!C78)</f>
        <v xml:space="preserve"> </v>
      </c>
      <c r="E29" s="642" t="str">
        <f>IF('rotation(W501D5)'!D78=0," ",$B29*'rotation(W501D5)'!D78)</f>
        <v xml:space="preserve"> </v>
      </c>
      <c r="F29" s="642" t="str">
        <f>IF('rotation(W501D5)'!E78=0," ",$B29*'rotation(W501D5)'!E78)</f>
        <v xml:space="preserve"> </v>
      </c>
      <c r="G29" s="642" t="str">
        <f>IF('rotation(W501D5)'!F78=0," ",$B29*'rotation(W501D5)'!F78)</f>
        <v xml:space="preserve"> </v>
      </c>
      <c r="H29" s="642" t="str">
        <f>IF('rotation(W501D5)'!G78=0," ",$B29*'rotation(W501D5)'!G78)</f>
        <v xml:space="preserve"> </v>
      </c>
      <c r="I29" s="642" t="str">
        <f>IF('rotation(W501D5)'!H78=0," ",$B29*'rotation(W501D5)'!H78)</f>
        <v xml:space="preserve"> </v>
      </c>
      <c r="J29" s="642" t="str">
        <f>IF('rotation(W501D5)'!I78=0," ",$B29*'rotation(W501D5)'!I78)</f>
        <v xml:space="preserve"> </v>
      </c>
      <c r="K29" s="642" t="str">
        <f>IF('rotation(W501D5)'!J78=0," ",$B29*'rotation(W501D5)'!J78)</f>
        <v xml:space="preserve"> </v>
      </c>
      <c r="L29" s="642" t="str">
        <f>IF('rotation(W501D5)'!K78=0," ",$B29*'rotation(W501D5)'!K78)</f>
        <v xml:space="preserve"> </v>
      </c>
      <c r="M29" s="642" t="str">
        <f>IF('rotation(W501D5)'!L78=0," ",$B29*'rotation(W501D5)'!L78)</f>
        <v xml:space="preserve"> </v>
      </c>
      <c r="N29" s="642" t="str">
        <f>IF('rotation(W501D5)'!M78=0," ",$B29*'rotation(W501D5)'!M78)</f>
        <v xml:space="preserve"> </v>
      </c>
      <c r="O29" s="642" t="str">
        <f>IF('rotation(W501D5)'!N78=0," ",$B29*'rotation(W501D5)'!N78)</f>
        <v xml:space="preserve"> </v>
      </c>
      <c r="P29" s="642" t="str">
        <f>IF('rotation(W501D5)'!O78=0," ",$B29*'rotation(W501D5)'!O78)</f>
        <v xml:space="preserve"> </v>
      </c>
      <c r="Q29" s="642" t="str">
        <f>IF('rotation(W501D5)'!P78=0," ",$B29*'rotation(W501D5)'!P78)</f>
        <v xml:space="preserve"> </v>
      </c>
      <c r="R29" s="642" t="str">
        <f>IF('rotation(W501D5)'!Q78=0," ",$B29*'rotation(W501D5)'!Q78)</f>
        <v xml:space="preserve"> </v>
      </c>
      <c r="S29" s="642" t="str">
        <f>IF('rotation(W501D5)'!R78=0," ",$B29*'rotation(W501D5)'!R78)</f>
        <v xml:space="preserve"> </v>
      </c>
      <c r="T29" s="642" t="str">
        <f>IF('rotation(W501D5)'!S78=0," ",$B29*'rotation(W501D5)'!S78)</f>
        <v xml:space="preserve"> </v>
      </c>
      <c r="U29" s="642" t="str">
        <f>IF('rotation(W501D5)'!T78=0," ",$B29*'rotation(W501D5)'!T78)</f>
        <v xml:space="preserve"> </v>
      </c>
      <c r="V29" s="642" t="str">
        <f>IF('rotation(W501D5)'!U78=0," ",$B29*'rotation(W501D5)'!U78)</f>
        <v xml:space="preserve"> </v>
      </c>
      <c r="W29" s="642" t="str">
        <f>IF('rotation(W501D5)'!V78=0," ",$B29*'rotation(W501D5)'!V78)</f>
        <v xml:space="preserve"> </v>
      </c>
      <c r="X29" s="21">
        <f t="shared" si="0"/>
        <v>0</v>
      </c>
    </row>
    <row r="30" spans="1:24" s="21" customFormat="1">
      <c r="A30" s="641" t="str">
        <f>'GTDB(W501D5)'!A33</f>
        <v>Row 4 rings segments</v>
      </c>
      <c r="B30" s="641">
        <f>'GTDB(W501D5)'!E33</f>
        <v>66.135999999999996</v>
      </c>
      <c r="C30" s="641" t="str">
        <f>IF('rotation(W501D5)'!AA81=0," ",B30*'rotation(W501D5)'!AA81)</f>
        <v xml:space="preserve"> </v>
      </c>
      <c r="D30" s="642" t="str">
        <f>IF('rotation(W501D5)'!C82=0," ",$B30*'rotation(W501D5)'!C82)</f>
        <v xml:space="preserve"> </v>
      </c>
      <c r="E30" s="642" t="str">
        <f>IF('rotation(W501D5)'!D82=0," ",$B30*'rotation(W501D5)'!D82)</f>
        <v xml:space="preserve"> </v>
      </c>
      <c r="F30" s="642" t="str">
        <f>IF('rotation(W501D5)'!E82=0," ",$B30*'rotation(W501D5)'!E82)</f>
        <v xml:space="preserve"> </v>
      </c>
      <c r="G30" s="642" t="str">
        <f>IF('rotation(W501D5)'!F82=0," ",$B30*'rotation(W501D5)'!F82)</f>
        <v xml:space="preserve"> </v>
      </c>
      <c r="H30" s="642" t="str">
        <f>IF('rotation(W501D5)'!G82=0," ",$B30*'rotation(W501D5)'!G82)</f>
        <v xml:space="preserve"> </v>
      </c>
      <c r="I30" s="642" t="str">
        <f>IF('rotation(W501D5)'!H82=0," ",$B30*'rotation(W501D5)'!H82)</f>
        <v xml:space="preserve"> </v>
      </c>
      <c r="J30" s="642" t="str">
        <f>IF('rotation(W501D5)'!I82=0," ",$B30*'rotation(W501D5)'!I82)</f>
        <v xml:space="preserve"> </v>
      </c>
      <c r="K30" s="642" t="str">
        <f>IF('rotation(W501D5)'!J82=0," ",$B30*'rotation(W501D5)'!J82)</f>
        <v xml:space="preserve"> </v>
      </c>
      <c r="L30" s="642" t="str">
        <f>IF('rotation(W501D5)'!K82=0," ",$B30*'rotation(W501D5)'!K82)</f>
        <v xml:space="preserve"> </v>
      </c>
      <c r="M30" s="642" t="str">
        <f>IF('rotation(W501D5)'!L82=0," ",$B30*'rotation(W501D5)'!L82)</f>
        <v xml:space="preserve"> </v>
      </c>
      <c r="N30" s="642" t="str">
        <f>IF('rotation(W501D5)'!M82=0," ",$B30*'rotation(W501D5)'!M82)</f>
        <v xml:space="preserve"> </v>
      </c>
      <c r="O30" s="642" t="str">
        <f>IF('rotation(W501D5)'!N82=0," ",$B30*'rotation(W501D5)'!N82)</f>
        <v xml:space="preserve"> </v>
      </c>
      <c r="P30" s="642" t="str">
        <f>IF('rotation(W501D5)'!O82=0," ",$B30*'rotation(W501D5)'!O82)</f>
        <v xml:space="preserve"> </v>
      </c>
      <c r="Q30" s="642" t="str">
        <f>IF('rotation(W501D5)'!P82=0," ",$B30*'rotation(W501D5)'!P82)</f>
        <v xml:space="preserve"> </v>
      </c>
      <c r="R30" s="642" t="str">
        <f>IF('rotation(W501D5)'!Q82=0," ",$B30*'rotation(W501D5)'!Q82)</f>
        <v xml:space="preserve"> </v>
      </c>
      <c r="S30" s="642" t="str">
        <f>IF('rotation(W501D5)'!R82=0," ",$B30*'rotation(W501D5)'!R82)</f>
        <v xml:space="preserve"> </v>
      </c>
      <c r="T30" s="642" t="str">
        <f>IF('rotation(W501D5)'!S82=0," ",$B30*'rotation(W501D5)'!S82)</f>
        <v xml:space="preserve"> </v>
      </c>
      <c r="U30" s="642" t="str">
        <f>IF('rotation(W501D5)'!T82=0," ",$B30*'rotation(W501D5)'!T82)</f>
        <v xml:space="preserve"> </v>
      </c>
      <c r="V30" s="642" t="str">
        <f>IF('rotation(W501D5)'!U82=0," ",$B30*'rotation(W501D5)'!U82)</f>
        <v xml:space="preserve"> </v>
      </c>
      <c r="W30" s="642" t="str">
        <f>IF('rotation(W501D5)'!V82=0," ",$B30*'rotation(W501D5)'!V82)</f>
        <v xml:space="preserve"> </v>
      </c>
      <c r="X30" s="21">
        <f t="shared" si="0"/>
        <v>0</v>
      </c>
    </row>
    <row r="31" spans="1:24" s="21" customFormat="1">
      <c r="A31" s="641" t="str">
        <f>'GTDB(W501D5)'!A34</f>
        <v>Comp Rotor Blades</v>
      </c>
      <c r="B31" s="641">
        <f>'GTDB(W501D5)'!E34</f>
        <v>606.92200000000003</v>
      </c>
      <c r="C31" s="641" t="str">
        <f>IF('rotation(W501D5)'!AA85=0," ",B31*'rotation(W501D5)'!AA85)</f>
        <v xml:space="preserve"> </v>
      </c>
      <c r="D31" s="642" t="str">
        <f>IF('rotation(W501D5)'!C86=0," ",$B31*'rotation(W501D5)'!C86)</f>
        <v xml:space="preserve"> </v>
      </c>
      <c r="E31" s="642" t="str">
        <f>IF('rotation(W501D5)'!D86=0," ",$B31*'rotation(W501D5)'!D86)</f>
        <v xml:space="preserve"> </v>
      </c>
      <c r="F31" s="642" t="str">
        <f>IF('rotation(W501D5)'!E86=0," ",$B31*'rotation(W501D5)'!E86)</f>
        <v xml:space="preserve"> </v>
      </c>
      <c r="G31" s="642" t="str">
        <f>IF('rotation(W501D5)'!F86=0," ",$B31*'rotation(W501D5)'!F86)</f>
        <v xml:space="preserve"> </v>
      </c>
      <c r="H31" s="642" t="str">
        <f>IF('rotation(W501D5)'!G86=0," ",$B31*'rotation(W501D5)'!G86)</f>
        <v xml:space="preserve"> </v>
      </c>
      <c r="I31" s="642" t="str">
        <f>IF('rotation(W501D5)'!H86=0," ",$B31*'rotation(W501D5)'!H86)</f>
        <v xml:space="preserve"> </v>
      </c>
      <c r="J31" s="642" t="str">
        <f>IF('rotation(W501D5)'!I86=0," ",$B31*'rotation(W501D5)'!I86)</f>
        <v xml:space="preserve"> </v>
      </c>
      <c r="K31" s="642" t="str">
        <f>IF('rotation(W501D5)'!J86=0," ",$B31*'rotation(W501D5)'!J86)</f>
        <v xml:space="preserve"> </v>
      </c>
      <c r="L31" s="642" t="str">
        <f>IF('rotation(W501D5)'!K86=0," ",$B31*'rotation(W501D5)'!K86)</f>
        <v xml:space="preserve"> </v>
      </c>
      <c r="M31" s="642" t="str">
        <f>IF('rotation(W501D5)'!L86=0," ",$B31*'rotation(W501D5)'!L86)</f>
        <v xml:space="preserve"> </v>
      </c>
      <c r="N31" s="642" t="str">
        <f>IF('rotation(W501D5)'!M86=0," ",$B31*'rotation(W501D5)'!M86)</f>
        <v xml:space="preserve"> </v>
      </c>
      <c r="O31" s="642" t="str">
        <f>IF('rotation(W501D5)'!N86=0," ",$B31*'rotation(W501D5)'!N86)</f>
        <v xml:space="preserve"> </v>
      </c>
      <c r="P31" s="642" t="str">
        <f>IF('rotation(W501D5)'!O86=0," ",$B31*'rotation(W501D5)'!O86)</f>
        <v xml:space="preserve"> </v>
      </c>
      <c r="Q31" s="642" t="str">
        <f>IF('rotation(W501D5)'!P86=0," ",$B31*'rotation(W501D5)'!P86)</f>
        <v xml:space="preserve"> </v>
      </c>
      <c r="R31" s="642" t="str">
        <f>IF('rotation(W501D5)'!Q86=0," ",$B31*'rotation(W501D5)'!Q86)</f>
        <v xml:space="preserve"> </v>
      </c>
      <c r="S31" s="642" t="str">
        <f>IF('rotation(W501D5)'!R86=0," ",$B31*'rotation(W501D5)'!R86)</f>
        <v xml:space="preserve"> </v>
      </c>
      <c r="T31" s="642" t="str">
        <f>IF('rotation(W501D5)'!S86=0," ",$B31*'rotation(W501D5)'!S86)</f>
        <v xml:space="preserve"> </v>
      </c>
      <c r="U31" s="642" t="str">
        <f>IF('rotation(W501D5)'!T86=0," ",$B31*'rotation(W501D5)'!T86)</f>
        <v xml:space="preserve"> </v>
      </c>
      <c r="V31" s="642" t="str">
        <f>IF('rotation(W501D5)'!U86=0," ",$B31*'rotation(W501D5)'!U86)</f>
        <v xml:space="preserve"> </v>
      </c>
      <c r="W31" s="642" t="str">
        <f>IF('rotation(W501D5)'!V86=0," ",$B31*'rotation(W501D5)'!V86)</f>
        <v xml:space="preserve"> </v>
      </c>
      <c r="X31" s="21">
        <f t="shared" si="0"/>
        <v>0</v>
      </c>
    </row>
    <row r="32" spans="1:24" s="21" customFormat="1">
      <c r="A32" s="641" t="str">
        <f>'GTDB(W501D5)'!A35</f>
        <v>Comp Diaphragms</v>
      </c>
      <c r="B32" s="641">
        <f>'GTDB(W501D5)'!E35</f>
        <v>1725.86</v>
      </c>
      <c r="C32" s="641" t="str">
        <f>IF('rotation(W501D5)'!AA89=0," ",B32*'rotation(W501D5)'!AA89)</f>
        <v xml:space="preserve"> </v>
      </c>
      <c r="D32" s="642" t="str">
        <f>IF('rotation(W501D5)'!C90=0," ",$B32*'rotation(W501D5)'!C90)</f>
        <v xml:space="preserve"> </v>
      </c>
      <c r="E32" s="642" t="str">
        <f>IF('rotation(W501D5)'!D90=0," ",$B32*'rotation(W501D5)'!D90)</f>
        <v xml:space="preserve"> </v>
      </c>
      <c r="F32" s="642" t="str">
        <f>IF('rotation(W501D5)'!E90=0," ",$B32*'rotation(W501D5)'!E90)</f>
        <v xml:space="preserve"> </v>
      </c>
      <c r="G32" s="642" t="str">
        <f>IF('rotation(W501D5)'!F90=0," ",$B32*'rotation(W501D5)'!F90)</f>
        <v xml:space="preserve"> </v>
      </c>
      <c r="H32" s="642" t="str">
        <f>IF('rotation(W501D5)'!G90=0," ",$B32*'rotation(W501D5)'!G90)</f>
        <v xml:space="preserve"> </v>
      </c>
      <c r="I32" s="642" t="str">
        <f>IF('rotation(W501D5)'!H90=0," ",$B32*'rotation(W501D5)'!H90)</f>
        <v xml:space="preserve"> </v>
      </c>
      <c r="J32" s="642" t="str">
        <f>IF('rotation(W501D5)'!I90=0," ",$B32*'rotation(W501D5)'!I90)</f>
        <v xml:space="preserve"> </v>
      </c>
      <c r="K32" s="642" t="str">
        <f>IF('rotation(W501D5)'!J90=0," ",$B32*'rotation(W501D5)'!J90)</f>
        <v xml:space="preserve"> </v>
      </c>
      <c r="L32" s="642" t="str">
        <f>IF('rotation(W501D5)'!K90=0," ",$B32*'rotation(W501D5)'!K90)</f>
        <v xml:space="preserve"> </v>
      </c>
      <c r="M32" s="642" t="str">
        <f>IF('rotation(W501D5)'!L90=0," ",$B32*'rotation(W501D5)'!L90)</f>
        <v xml:space="preserve"> </v>
      </c>
      <c r="N32" s="642" t="str">
        <f>IF('rotation(W501D5)'!M90=0," ",$B32*'rotation(W501D5)'!M90)</f>
        <v xml:space="preserve"> </v>
      </c>
      <c r="O32" s="642" t="str">
        <f>IF('rotation(W501D5)'!N90=0," ",$B32*'rotation(W501D5)'!N90)</f>
        <v xml:space="preserve"> </v>
      </c>
      <c r="P32" s="642" t="str">
        <f>IF('rotation(W501D5)'!O90=0," ",$B32*'rotation(W501D5)'!O90)</f>
        <v xml:space="preserve"> </v>
      </c>
      <c r="Q32" s="642" t="str">
        <f>IF('rotation(W501D5)'!P90=0," ",$B32*'rotation(W501D5)'!P90)</f>
        <v xml:space="preserve"> </v>
      </c>
      <c r="R32" s="642" t="str">
        <f>IF('rotation(W501D5)'!Q90=0," ",$B32*'rotation(W501D5)'!Q90)</f>
        <v xml:space="preserve"> </v>
      </c>
      <c r="S32" s="642" t="str">
        <f>IF('rotation(W501D5)'!R90=0," ",$B32*'rotation(W501D5)'!R90)</f>
        <v xml:space="preserve"> </v>
      </c>
      <c r="T32" s="642" t="str">
        <f>IF('rotation(W501D5)'!S90=0," ",$B32*'rotation(W501D5)'!S90)</f>
        <v xml:space="preserve"> </v>
      </c>
      <c r="U32" s="642" t="str">
        <f>IF('rotation(W501D5)'!T90=0," ",$B32*'rotation(W501D5)'!T90)</f>
        <v xml:space="preserve"> </v>
      </c>
      <c r="V32" s="642" t="str">
        <f>IF('rotation(W501D5)'!U90=0," ",$B32*'rotation(W501D5)'!U90)</f>
        <v xml:space="preserve"> </v>
      </c>
      <c r="W32" s="642" t="str">
        <f>IF('rotation(W501D5)'!V90=0," ",$B32*'rotation(W501D5)'!V90)</f>
        <v xml:space="preserve"> </v>
      </c>
      <c r="X32" s="21">
        <f t="shared" si="0"/>
        <v>0</v>
      </c>
    </row>
    <row r="33" spans="1:24" s="21" customFormat="1" ht="15.75" customHeight="1">
      <c r="A33" s="640" t="s">
        <v>907</v>
      </c>
      <c r="C33" s="21">
        <f t="shared" ref="C33:W33" si="1">SUM(C14:C32)</f>
        <v>0</v>
      </c>
      <c r="D33" s="21">
        <f t="shared" si="1"/>
        <v>0</v>
      </c>
      <c r="E33" s="21">
        <f t="shared" si="1"/>
        <v>0</v>
      </c>
      <c r="F33" s="21">
        <f t="shared" si="1"/>
        <v>0</v>
      </c>
      <c r="G33" s="21">
        <f t="shared" si="1"/>
        <v>0</v>
      </c>
      <c r="H33" s="21">
        <f t="shared" si="1"/>
        <v>0</v>
      </c>
      <c r="I33" s="21">
        <f t="shared" si="1"/>
        <v>0</v>
      </c>
      <c r="J33" s="21">
        <f t="shared" si="1"/>
        <v>0</v>
      </c>
      <c r="K33" s="21">
        <f t="shared" si="1"/>
        <v>0</v>
      </c>
      <c r="L33" s="21">
        <f t="shared" si="1"/>
        <v>0</v>
      </c>
      <c r="M33" s="21">
        <f t="shared" si="1"/>
        <v>0</v>
      </c>
      <c r="N33" s="21">
        <f t="shared" si="1"/>
        <v>0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1">
        <f t="shared" si="0"/>
        <v>0</v>
      </c>
    </row>
    <row r="34" spans="1:24" s="21" customFormat="1" ht="16.5" customHeight="1">
      <c r="A34" s="640" t="s">
        <v>326</v>
      </c>
      <c r="B34" s="643">
        <v>0.1</v>
      </c>
      <c r="C34" s="21">
        <f t="shared" ref="C34:W34" si="2">C33*(1-$B34)</f>
        <v>0</v>
      </c>
      <c r="D34" s="21">
        <f t="shared" si="2"/>
        <v>0</v>
      </c>
      <c r="E34" s="21">
        <f t="shared" si="2"/>
        <v>0</v>
      </c>
      <c r="F34" s="21">
        <f t="shared" si="2"/>
        <v>0</v>
      </c>
      <c r="G34" s="21">
        <f t="shared" si="2"/>
        <v>0</v>
      </c>
      <c r="H34" s="21">
        <f t="shared" si="2"/>
        <v>0</v>
      </c>
      <c r="I34" s="21">
        <f t="shared" si="2"/>
        <v>0</v>
      </c>
      <c r="J34" s="21">
        <f t="shared" si="2"/>
        <v>0</v>
      </c>
      <c r="K34" s="21">
        <f t="shared" si="2"/>
        <v>0</v>
      </c>
      <c r="L34" s="21">
        <f t="shared" si="2"/>
        <v>0</v>
      </c>
      <c r="M34" s="21">
        <f t="shared" si="2"/>
        <v>0</v>
      </c>
      <c r="N34" s="21">
        <f t="shared" si="2"/>
        <v>0</v>
      </c>
      <c r="O34" s="21">
        <f t="shared" si="2"/>
        <v>0</v>
      </c>
      <c r="P34" s="21">
        <f t="shared" si="2"/>
        <v>0</v>
      </c>
      <c r="Q34" s="21">
        <f t="shared" si="2"/>
        <v>0</v>
      </c>
      <c r="R34" s="21">
        <f t="shared" si="2"/>
        <v>0</v>
      </c>
      <c r="S34" s="21">
        <f t="shared" si="2"/>
        <v>0</v>
      </c>
      <c r="T34" s="21">
        <f t="shared" si="2"/>
        <v>0</v>
      </c>
      <c r="U34" s="21">
        <f t="shared" si="2"/>
        <v>0</v>
      </c>
      <c r="V34" s="21">
        <f t="shared" si="2"/>
        <v>0</v>
      </c>
      <c r="W34" s="21">
        <f t="shared" si="2"/>
        <v>0</v>
      </c>
      <c r="X34" s="21">
        <f t="shared" si="0"/>
        <v>0</v>
      </c>
    </row>
    <row r="35" spans="1:24" s="21" customFormat="1" ht="12.75" customHeight="1">
      <c r="A35" s="640" t="s">
        <v>908</v>
      </c>
      <c r="B35" s="643">
        <v>0.03</v>
      </c>
      <c r="C35" s="21">
        <f t="shared" ref="C35:W35" si="3">C34*(1+$B35)</f>
        <v>0</v>
      </c>
      <c r="D35" s="21">
        <f t="shared" si="3"/>
        <v>0</v>
      </c>
      <c r="E35" s="21">
        <f t="shared" si="3"/>
        <v>0</v>
      </c>
      <c r="F35" s="21">
        <f t="shared" si="3"/>
        <v>0</v>
      </c>
      <c r="G35" s="21">
        <f t="shared" si="3"/>
        <v>0</v>
      </c>
      <c r="H35" s="21">
        <f t="shared" si="3"/>
        <v>0</v>
      </c>
      <c r="I35" s="21">
        <f t="shared" si="3"/>
        <v>0</v>
      </c>
      <c r="J35" s="21">
        <f t="shared" si="3"/>
        <v>0</v>
      </c>
      <c r="K35" s="21">
        <f t="shared" si="3"/>
        <v>0</v>
      </c>
      <c r="L35" s="21">
        <f t="shared" si="3"/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644">
        <f t="shared" si="0"/>
        <v>0</v>
      </c>
    </row>
    <row r="36" spans="1:24" s="21" customFormat="1">
      <c r="A36" s="640"/>
    </row>
    <row r="37" spans="1:24" s="21" customFormat="1">
      <c r="A37" s="640"/>
    </row>
    <row r="38" spans="1:24" s="21" customFormat="1">
      <c r="A38" s="645" t="s">
        <v>909</v>
      </c>
      <c r="D38" s="21">
        <v>1</v>
      </c>
      <c r="E38" s="21">
        <v>2</v>
      </c>
      <c r="F38" s="21">
        <v>3</v>
      </c>
      <c r="G38" s="21">
        <v>4</v>
      </c>
      <c r="H38" s="21">
        <v>5</v>
      </c>
      <c r="I38" s="21">
        <v>6</v>
      </c>
      <c r="J38" s="21">
        <v>7</v>
      </c>
      <c r="K38" s="21">
        <v>8</v>
      </c>
      <c r="L38" s="21">
        <v>9</v>
      </c>
      <c r="M38" s="21">
        <v>10</v>
      </c>
      <c r="N38" s="21">
        <v>11</v>
      </c>
      <c r="O38" s="21">
        <v>12</v>
      </c>
      <c r="P38" s="21">
        <v>13</v>
      </c>
      <c r="Q38" s="21">
        <v>14</v>
      </c>
      <c r="R38" s="21">
        <v>15</v>
      </c>
      <c r="S38" s="21">
        <v>16</v>
      </c>
      <c r="T38" s="21">
        <v>17</v>
      </c>
      <c r="U38" s="21">
        <v>18</v>
      </c>
      <c r="V38" s="21">
        <v>19</v>
      </c>
      <c r="W38" s="21">
        <v>20</v>
      </c>
    </row>
    <row r="39" spans="1:24" s="21" customFormat="1">
      <c r="A39" s="646" t="s">
        <v>901</v>
      </c>
      <c r="B39" s="647" t="s">
        <v>910</v>
      </c>
      <c r="C39" s="642"/>
      <c r="D39" s="642"/>
      <c r="E39" s="642"/>
      <c r="F39" s="642"/>
      <c r="G39" s="642"/>
      <c r="H39" s="642"/>
      <c r="I39" s="642"/>
      <c r="J39" s="642"/>
      <c r="K39" s="642"/>
      <c r="L39" s="642"/>
      <c r="M39" s="642"/>
      <c r="N39" s="642"/>
      <c r="O39" s="642"/>
      <c r="P39" s="642"/>
      <c r="Q39" s="642"/>
      <c r="R39" s="642"/>
      <c r="S39" s="642"/>
      <c r="T39" s="642"/>
      <c r="U39" s="642"/>
      <c r="V39" s="642"/>
      <c r="W39" s="642"/>
    </row>
    <row r="40" spans="1:24" s="21" customFormat="1">
      <c r="A40" s="648" t="str">
        <f>'GTDB(W501D5)'!A17</f>
        <v>Baskets</v>
      </c>
      <c r="B40" s="641">
        <f>'GTDB(W501D5)'!D17</f>
        <v>57.96</v>
      </c>
      <c r="C40" s="642">
        <v>0</v>
      </c>
      <c r="D40" s="642" t="str">
        <f>IF('rotation(W501D5)'!C17=0," ",$B40*'rotation(W501D5)'!C17)</f>
        <v xml:space="preserve"> </v>
      </c>
      <c r="E40" s="642" t="str">
        <f>IF('rotation(W501D5)'!D17=0," ",$B40*'rotation(W501D5)'!D17)</f>
        <v xml:space="preserve"> </v>
      </c>
      <c r="F40" s="642" t="str">
        <f>IF('rotation(W501D5)'!E17=0," ",$B40*'rotation(W501D5)'!E17)</f>
        <v xml:space="preserve"> </v>
      </c>
      <c r="G40" s="642" t="str">
        <f>IF('rotation(W501D5)'!F17=0," ",$B40*'rotation(W501D5)'!F17)</f>
        <v xml:space="preserve"> </v>
      </c>
      <c r="H40" s="642" t="str">
        <f>IF('rotation(W501D5)'!G17=0," ",$B40*'rotation(W501D5)'!G17)</f>
        <v xml:space="preserve"> </v>
      </c>
      <c r="I40" s="642" t="str">
        <f>IF('rotation(W501D5)'!H17=0," ",$B40*'rotation(W501D5)'!H17)</f>
        <v xml:space="preserve"> </v>
      </c>
      <c r="J40" s="642" t="str">
        <f>IF('rotation(W501D5)'!I17=0," ",$B40*'rotation(W501D5)'!I17)</f>
        <v xml:space="preserve"> </v>
      </c>
      <c r="K40" s="642" t="str">
        <f>IF('rotation(W501D5)'!J17=0," ",$B40*'rotation(W501D5)'!J17)</f>
        <v xml:space="preserve"> </v>
      </c>
      <c r="L40" s="642" t="str">
        <f>IF('rotation(W501D5)'!K17=0," ",$B40*'rotation(W501D5)'!K17)</f>
        <v xml:space="preserve"> </v>
      </c>
      <c r="M40" s="642" t="str">
        <f>IF('rotation(W501D5)'!L17=0," ",$B40*'rotation(W501D5)'!L17)</f>
        <v xml:space="preserve"> </v>
      </c>
      <c r="N40" s="642" t="str">
        <f>IF('rotation(W501D5)'!M17=0," ",$B40*'rotation(W501D5)'!M17)</f>
        <v xml:space="preserve"> </v>
      </c>
      <c r="O40" s="642" t="str">
        <f>IF('rotation(W501D5)'!N17=0," ",$B40*'rotation(W501D5)'!N17)</f>
        <v xml:space="preserve"> </v>
      </c>
      <c r="P40" s="642" t="str">
        <f>IF('rotation(W501D5)'!O17=0," ",$B40*'rotation(W501D5)'!O17)</f>
        <v xml:space="preserve"> </v>
      </c>
      <c r="Q40" s="642" t="str">
        <f>IF('rotation(W501D5)'!P17=0," ",$B40*'rotation(W501D5)'!P17)</f>
        <v xml:space="preserve"> </v>
      </c>
      <c r="R40" s="642" t="str">
        <f>IF('rotation(W501D5)'!Q17=0," ",$B40*'rotation(W501D5)'!Q17)</f>
        <v xml:space="preserve"> </v>
      </c>
      <c r="S40" s="642" t="str">
        <f>IF('rotation(W501D5)'!R17=0," ",$B40*'rotation(W501D5)'!R17)</f>
        <v xml:space="preserve"> </v>
      </c>
      <c r="T40" s="642" t="str">
        <f>IF('rotation(W501D5)'!S17=0," ",$B40*'rotation(W501D5)'!S17)</f>
        <v xml:space="preserve"> </v>
      </c>
      <c r="U40" s="642" t="str">
        <f>IF('rotation(W501D5)'!T17=0," ",$B40*'rotation(W501D5)'!T17)</f>
        <v xml:space="preserve"> </v>
      </c>
      <c r="V40" s="642" t="str">
        <f>IF('rotation(W501D5)'!U17=0," ",$B40*'rotation(W501D5)'!U17)</f>
        <v xml:space="preserve"> </v>
      </c>
      <c r="W40" s="642" t="str">
        <f>IF('rotation(W501D5)'!V17=0," ",$B40*'rotation(W501D5)'!V17)</f>
        <v xml:space="preserve"> </v>
      </c>
      <c r="X40" s="21">
        <f t="shared" ref="X40:X58" si="4">SUM(D40:W40)</f>
        <v>0</v>
      </c>
    </row>
    <row r="41" spans="1:24" s="21" customFormat="1">
      <c r="A41" s="648" t="str">
        <f>'GTDB(W501D5)'!A18</f>
        <v>Transition Pieces</v>
      </c>
      <c r="B41" s="641">
        <f>'GTDB(W501D5)'!D18</f>
        <v>105.65</v>
      </c>
      <c r="C41" s="642"/>
      <c r="D41" s="642" t="str">
        <f>IF('rotation(W501D5)'!C21=0," ",$B41*'rotation(W501D5)'!C21)</f>
        <v xml:space="preserve"> </v>
      </c>
      <c r="E41" s="642" t="str">
        <f>IF('rotation(W501D5)'!D21=0," ",$B41*'rotation(W501D5)'!D21)</f>
        <v xml:space="preserve"> </v>
      </c>
      <c r="F41" s="642" t="str">
        <f>IF('rotation(W501D5)'!E21=0," ",$B41*'rotation(W501D5)'!E21)</f>
        <v xml:space="preserve"> </v>
      </c>
      <c r="G41" s="642" t="str">
        <f>IF('rotation(W501D5)'!F21=0," ",$B41*'rotation(W501D5)'!F21)</f>
        <v xml:space="preserve"> </v>
      </c>
      <c r="H41" s="642" t="str">
        <f>IF('rotation(W501D5)'!G21=0," ",$B41*'rotation(W501D5)'!G21)</f>
        <v xml:space="preserve"> </v>
      </c>
      <c r="I41" s="642" t="str">
        <f>IF('rotation(W501D5)'!H21=0," ",$B41*'rotation(W501D5)'!H21)</f>
        <v xml:space="preserve"> </v>
      </c>
      <c r="J41" s="642" t="str">
        <f>IF('rotation(W501D5)'!I21=0," ",$B41*'rotation(W501D5)'!I21)</f>
        <v xml:space="preserve"> </v>
      </c>
      <c r="K41" s="642" t="str">
        <f>IF('rotation(W501D5)'!J21=0," ",$B41*'rotation(W501D5)'!J21)</f>
        <v xml:space="preserve"> </v>
      </c>
      <c r="L41" s="642" t="str">
        <f>IF('rotation(W501D5)'!K21=0," ",$B41*'rotation(W501D5)'!K21)</f>
        <v xml:space="preserve"> </v>
      </c>
      <c r="M41" s="642" t="str">
        <f>IF('rotation(W501D5)'!L21=0," ",$B41*'rotation(W501D5)'!L21)</f>
        <v xml:space="preserve"> </v>
      </c>
      <c r="N41" s="642" t="str">
        <f>IF('rotation(W501D5)'!M21=0," ",$B41*'rotation(W501D5)'!M21)</f>
        <v xml:space="preserve"> </v>
      </c>
      <c r="O41" s="642" t="str">
        <f>IF('rotation(W501D5)'!N21=0," ",$B41*'rotation(W501D5)'!N21)</f>
        <v xml:space="preserve"> </v>
      </c>
      <c r="P41" s="642" t="str">
        <f>IF('rotation(W501D5)'!O21=0," ",$B41*'rotation(W501D5)'!O21)</f>
        <v xml:space="preserve"> </v>
      </c>
      <c r="Q41" s="642" t="str">
        <f>IF('rotation(W501D5)'!P21=0," ",$B41*'rotation(W501D5)'!P21)</f>
        <v xml:space="preserve"> </v>
      </c>
      <c r="R41" s="642" t="str">
        <f>IF('rotation(W501D5)'!Q21=0," ",$B41*'rotation(W501D5)'!Q21)</f>
        <v xml:space="preserve"> </v>
      </c>
      <c r="S41" s="642" t="str">
        <f>IF('rotation(W501D5)'!R21=0," ",$B41*'rotation(W501D5)'!R21)</f>
        <v xml:space="preserve"> </v>
      </c>
      <c r="T41" s="642" t="str">
        <f>IF('rotation(W501D5)'!S21=0," ",$B41*'rotation(W501D5)'!S21)</f>
        <v xml:space="preserve"> </v>
      </c>
      <c r="U41" s="642" t="str">
        <f>IF('rotation(W501D5)'!T21=0," ",$B41*'rotation(W501D5)'!T21)</f>
        <v xml:space="preserve"> </v>
      </c>
      <c r="V41" s="642" t="str">
        <f>IF('rotation(W501D5)'!U21=0," ",$B41*'rotation(W501D5)'!U21)</f>
        <v xml:space="preserve"> </v>
      </c>
      <c r="W41" s="642" t="str">
        <f>IF('rotation(W501D5)'!V21=0," ",$B41*'rotation(W501D5)'!V21)</f>
        <v xml:space="preserve"> </v>
      </c>
      <c r="X41" s="21">
        <f t="shared" si="4"/>
        <v>0</v>
      </c>
    </row>
    <row r="42" spans="1:24" s="21" customFormat="1">
      <c r="A42" s="648" t="str">
        <f>'GTDB(W501D5)'!A19</f>
        <v>Transition Seals</v>
      </c>
      <c r="B42" s="641">
        <f>'GTDB(W501D5)'!D19</f>
        <v>15</v>
      </c>
      <c r="C42" s="642"/>
      <c r="D42" s="642" t="str">
        <f>IF('rotation(W501D5)'!C25=0," ",$B42*'rotation(W501D5)'!C25)</f>
        <v xml:space="preserve"> </v>
      </c>
      <c r="E42" s="642" t="str">
        <f>IF('rotation(W501D5)'!D25=0," ",$B42*'rotation(W501D5)'!D25)</f>
        <v xml:space="preserve"> </v>
      </c>
      <c r="F42" s="642" t="str">
        <f>IF('rotation(W501D5)'!E25=0," ",$B42*'rotation(W501D5)'!E25)</f>
        <v xml:space="preserve"> </v>
      </c>
      <c r="G42" s="642" t="str">
        <f>IF('rotation(W501D5)'!F25=0," ",$B42*'rotation(W501D5)'!F25)</f>
        <v xml:space="preserve"> </v>
      </c>
      <c r="H42" s="642" t="str">
        <f>IF('rotation(W501D5)'!G25=0," ",$B42*'rotation(W501D5)'!G25)</f>
        <v xml:space="preserve"> </v>
      </c>
      <c r="I42" s="642" t="str">
        <f>IF('rotation(W501D5)'!H25=0," ",$B42*'rotation(W501D5)'!H25)</f>
        <v xml:space="preserve"> </v>
      </c>
      <c r="J42" s="642" t="str">
        <f>IF('rotation(W501D5)'!I25=0," ",$B42*'rotation(W501D5)'!I25)</f>
        <v xml:space="preserve"> </v>
      </c>
      <c r="K42" s="642" t="str">
        <f>IF('rotation(W501D5)'!J25=0," ",$B42*'rotation(W501D5)'!J25)</f>
        <v xml:space="preserve"> </v>
      </c>
      <c r="L42" s="642" t="str">
        <f>IF('rotation(W501D5)'!K25=0," ",$B42*'rotation(W501D5)'!K25)</f>
        <v xml:space="preserve"> </v>
      </c>
      <c r="M42" s="642" t="str">
        <f>IF('rotation(W501D5)'!L25=0," ",$B42*'rotation(W501D5)'!L25)</f>
        <v xml:space="preserve"> </v>
      </c>
      <c r="N42" s="642" t="str">
        <f>IF('rotation(W501D5)'!M25=0," ",$B42*'rotation(W501D5)'!M25)</f>
        <v xml:space="preserve"> </v>
      </c>
      <c r="O42" s="642" t="str">
        <f>IF('rotation(W501D5)'!N25=0," ",$B42*'rotation(W501D5)'!N25)</f>
        <v xml:space="preserve"> </v>
      </c>
      <c r="P42" s="642" t="str">
        <f>IF('rotation(W501D5)'!O25=0," ",$B42*'rotation(W501D5)'!O25)</f>
        <v xml:space="preserve"> </v>
      </c>
      <c r="Q42" s="642" t="str">
        <f>IF('rotation(W501D5)'!P25=0," ",$B42*'rotation(W501D5)'!P25)</f>
        <v xml:space="preserve"> </v>
      </c>
      <c r="R42" s="642" t="str">
        <f>IF('rotation(W501D5)'!Q25=0," ",$B42*'rotation(W501D5)'!Q25)</f>
        <v xml:space="preserve"> </v>
      </c>
      <c r="S42" s="642" t="str">
        <f>IF('rotation(W501D5)'!R25=0," ",$B42*'rotation(W501D5)'!R25)</f>
        <v xml:space="preserve"> </v>
      </c>
      <c r="T42" s="642" t="str">
        <f>IF('rotation(W501D5)'!S25=0," ",$B42*'rotation(W501D5)'!S25)</f>
        <v xml:space="preserve"> </v>
      </c>
      <c r="U42" s="642" t="str">
        <f>IF('rotation(W501D5)'!T25=0," ",$B42*'rotation(W501D5)'!T25)</f>
        <v xml:space="preserve"> </v>
      </c>
      <c r="V42" s="642" t="str">
        <f>IF('rotation(W501D5)'!U25=0," ",$B42*'rotation(W501D5)'!U25)</f>
        <v xml:space="preserve"> </v>
      </c>
      <c r="W42" s="642" t="str">
        <f>IF('rotation(W501D5)'!V25=0," ",$B42*'rotation(W501D5)'!V25)</f>
        <v xml:space="preserve"> </v>
      </c>
      <c r="X42" s="21">
        <f t="shared" si="4"/>
        <v>0</v>
      </c>
    </row>
    <row r="43" spans="1:24" s="21" customFormat="1">
      <c r="A43" s="648" t="str">
        <f>'GTDB(W501D5)'!A20</f>
        <v>Fuel Nozzles</v>
      </c>
      <c r="B43" s="641">
        <f>'GTDB(W501D5)'!D20</f>
        <v>92.3</v>
      </c>
      <c r="C43" s="642"/>
      <c r="D43" s="642" t="str">
        <f>IF('rotation(W501D5)'!C29=0," ",$B43*'rotation(W501D5)'!C29)</f>
        <v xml:space="preserve"> </v>
      </c>
      <c r="E43" s="642" t="str">
        <f>IF('rotation(W501D5)'!D29=0," ",$B43*'rotation(W501D5)'!D29)</f>
        <v xml:space="preserve"> </v>
      </c>
      <c r="F43" s="642" t="str">
        <f>IF('rotation(W501D5)'!E29=0," ",$B43*'rotation(W501D5)'!E29)</f>
        <v xml:space="preserve"> </v>
      </c>
      <c r="G43" s="642" t="str">
        <f>IF('rotation(W501D5)'!F29=0," ",$B43*'rotation(W501D5)'!F29)</f>
        <v xml:space="preserve"> </v>
      </c>
      <c r="H43" s="642" t="str">
        <f>IF('rotation(W501D5)'!G29=0," ",$B43*'rotation(W501D5)'!G29)</f>
        <v xml:space="preserve"> </v>
      </c>
      <c r="I43" s="642" t="str">
        <f>IF('rotation(W501D5)'!H29=0," ",$B43*'rotation(W501D5)'!H29)</f>
        <v xml:space="preserve"> </v>
      </c>
      <c r="J43" s="642" t="str">
        <f>IF('rotation(W501D5)'!I29=0," ",$B43*'rotation(W501D5)'!I29)</f>
        <v xml:space="preserve"> </v>
      </c>
      <c r="K43" s="642" t="str">
        <f>IF('rotation(W501D5)'!J29=0," ",$B43*'rotation(W501D5)'!J29)</f>
        <v xml:space="preserve"> </v>
      </c>
      <c r="L43" s="642" t="str">
        <f>IF('rotation(W501D5)'!K29=0," ",$B43*'rotation(W501D5)'!K29)</f>
        <v xml:space="preserve"> </v>
      </c>
      <c r="M43" s="642" t="str">
        <f>IF('rotation(W501D5)'!L29=0," ",$B43*'rotation(W501D5)'!L29)</f>
        <v xml:space="preserve"> </v>
      </c>
      <c r="N43" s="642" t="str">
        <f>IF('rotation(W501D5)'!M29=0," ",$B43*'rotation(W501D5)'!M29)</f>
        <v xml:space="preserve"> </v>
      </c>
      <c r="O43" s="642" t="str">
        <f>IF('rotation(W501D5)'!N29=0," ",$B43*'rotation(W501D5)'!N29)</f>
        <v xml:space="preserve"> </v>
      </c>
      <c r="P43" s="642" t="str">
        <f>IF('rotation(W501D5)'!O29=0," ",$B43*'rotation(W501D5)'!O29)</f>
        <v xml:space="preserve"> </v>
      </c>
      <c r="Q43" s="642" t="str">
        <f>IF('rotation(W501D5)'!P29=0," ",$B43*'rotation(W501D5)'!P29)</f>
        <v xml:space="preserve"> </v>
      </c>
      <c r="R43" s="642" t="str">
        <f>IF('rotation(W501D5)'!Q29=0," ",$B43*'rotation(W501D5)'!Q29)</f>
        <v xml:space="preserve"> </v>
      </c>
      <c r="S43" s="642" t="str">
        <f>IF('rotation(W501D5)'!R29=0," ",$B43*'rotation(W501D5)'!R29)</f>
        <v xml:space="preserve"> </v>
      </c>
      <c r="T43" s="642" t="str">
        <f>IF('rotation(W501D5)'!S29=0," ",$B43*'rotation(W501D5)'!S29)</f>
        <v xml:space="preserve"> </v>
      </c>
      <c r="U43" s="642" t="str">
        <f>IF('rotation(W501D5)'!T29=0," ",$B43*'rotation(W501D5)'!T29)</f>
        <v xml:space="preserve"> </v>
      </c>
      <c r="V43" s="642" t="str">
        <f>IF('rotation(W501D5)'!U29=0," ",$B43*'rotation(W501D5)'!U29)</f>
        <v xml:space="preserve"> </v>
      </c>
      <c r="W43" s="642" t="str">
        <f>IF('rotation(W501D5)'!V29=0," ",$B43*'rotation(W501D5)'!V29)</f>
        <v xml:space="preserve"> </v>
      </c>
      <c r="X43" s="21">
        <f t="shared" si="4"/>
        <v>0</v>
      </c>
    </row>
    <row r="44" spans="1:24" s="21" customFormat="1">
      <c r="A44" s="648" t="str">
        <f>'GTDB(W501D5)'!A21</f>
        <v>Clamshells</v>
      </c>
      <c r="B44" s="641">
        <f>'GTDB(W501D5)'!D21</f>
        <v>14.7</v>
      </c>
      <c r="C44" s="642"/>
      <c r="D44" s="642" t="str">
        <f>IF('rotation(W501D5)'!C33=0," ",$B44*'rotation(W501D5)'!C33)</f>
        <v xml:space="preserve"> </v>
      </c>
      <c r="E44" s="642" t="str">
        <f>IF('rotation(W501D5)'!D33=0," ",$B44*'rotation(W501D5)'!D33)</f>
        <v xml:space="preserve"> </v>
      </c>
      <c r="F44" s="642" t="str">
        <f>IF('rotation(W501D5)'!E33=0," ",$B44*'rotation(W501D5)'!E33)</f>
        <v xml:space="preserve"> </v>
      </c>
      <c r="G44" s="642" t="str">
        <f>IF('rotation(W501D5)'!F33=0," ",$B44*'rotation(W501D5)'!F33)</f>
        <v xml:space="preserve"> </v>
      </c>
      <c r="H44" s="642" t="str">
        <f>IF('rotation(W501D5)'!G33=0," ",$B44*'rotation(W501D5)'!G33)</f>
        <v xml:space="preserve"> </v>
      </c>
      <c r="I44" s="642" t="str">
        <f>IF('rotation(W501D5)'!H33=0," ",$B44*'rotation(W501D5)'!H33)</f>
        <v xml:space="preserve"> </v>
      </c>
      <c r="J44" s="642" t="str">
        <f>IF('rotation(W501D5)'!I33=0," ",$B44*'rotation(W501D5)'!I33)</f>
        <v xml:space="preserve"> </v>
      </c>
      <c r="K44" s="642" t="str">
        <f>IF('rotation(W501D5)'!J33=0," ",$B44*'rotation(W501D5)'!J33)</f>
        <v xml:space="preserve"> </v>
      </c>
      <c r="L44" s="642" t="str">
        <f>IF('rotation(W501D5)'!K33=0," ",$B44*'rotation(W501D5)'!K33)</f>
        <v xml:space="preserve"> </v>
      </c>
      <c r="M44" s="642" t="str">
        <f>IF('rotation(W501D5)'!L33=0," ",$B44*'rotation(W501D5)'!L33)</f>
        <v xml:space="preserve"> </v>
      </c>
      <c r="N44" s="642" t="str">
        <f>IF('rotation(W501D5)'!M33=0," ",$B44*'rotation(W501D5)'!M33)</f>
        <v xml:space="preserve"> </v>
      </c>
      <c r="O44" s="642" t="str">
        <f>IF('rotation(W501D5)'!N33=0," ",$B44*'rotation(W501D5)'!N33)</f>
        <v xml:space="preserve"> </v>
      </c>
      <c r="P44" s="642" t="str">
        <f>IF('rotation(W501D5)'!O33=0," ",$B44*'rotation(W501D5)'!O33)</f>
        <v xml:space="preserve"> </v>
      </c>
      <c r="Q44" s="642" t="str">
        <f>IF('rotation(W501D5)'!P33=0," ",$B44*'rotation(W501D5)'!P33)</f>
        <v xml:space="preserve"> </v>
      </c>
      <c r="R44" s="642" t="str">
        <f>IF('rotation(W501D5)'!Q33=0," ",$B44*'rotation(W501D5)'!Q33)</f>
        <v xml:space="preserve"> </v>
      </c>
      <c r="S44" s="642" t="str">
        <f>IF('rotation(W501D5)'!R33=0," ",$B44*'rotation(W501D5)'!R33)</f>
        <v xml:space="preserve"> </v>
      </c>
      <c r="T44" s="642" t="str">
        <f>IF('rotation(W501D5)'!S33=0," ",$B44*'rotation(W501D5)'!S33)</f>
        <v xml:space="preserve"> </v>
      </c>
      <c r="U44" s="642" t="str">
        <f>IF('rotation(W501D5)'!T33=0," ",$B44*'rotation(W501D5)'!T33)</f>
        <v xml:space="preserve"> </v>
      </c>
      <c r="V44" s="642" t="str">
        <f>IF('rotation(W501D5)'!U33=0," ",$B44*'rotation(W501D5)'!U33)</f>
        <v xml:space="preserve"> </v>
      </c>
      <c r="W44" s="642" t="str">
        <f>IF('rotation(W501D5)'!V33=0," ",$B44*'rotation(W501D5)'!V33)</f>
        <v xml:space="preserve"> </v>
      </c>
      <c r="X44" s="21">
        <f t="shared" si="4"/>
        <v>0</v>
      </c>
    </row>
    <row r="45" spans="1:24" s="21" customFormat="1">
      <c r="A45" s="648" t="str">
        <f>'GTDB(W501D5)'!A22</f>
        <v>Row 1 Blades</v>
      </c>
      <c r="B45" s="641">
        <f>'GTDB(W501D5)'!D22</f>
        <v>73.5</v>
      </c>
      <c r="C45" s="642"/>
      <c r="D45" s="642" t="str">
        <f>IF('rotation(W501D5)'!C37=0," ",$B45*'rotation(W501D5)'!C37)</f>
        <v xml:space="preserve"> </v>
      </c>
      <c r="E45" s="642" t="str">
        <f>IF('rotation(W501D5)'!D37=0," ",$B45*'rotation(W501D5)'!D37)</f>
        <v xml:space="preserve"> </v>
      </c>
      <c r="F45" s="642" t="str">
        <f>IF('rotation(W501D5)'!E37=0," ",$B45*'rotation(W501D5)'!E37)</f>
        <v xml:space="preserve"> </v>
      </c>
      <c r="G45" s="642" t="str">
        <f>IF('rotation(W501D5)'!F37=0," ",$B45*'rotation(W501D5)'!F37)</f>
        <v xml:space="preserve"> </v>
      </c>
      <c r="H45" s="642" t="str">
        <f>IF('rotation(W501D5)'!G37=0," ",$B45*'rotation(W501D5)'!G37)</f>
        <v xml:space="preserve"> </v>
      </c>
      <c r="I45" s="642" t="str">
        <f>IF('rotation(W501D5)'!H37=0," ",$B45*'rotation(W501D5)'!H37)</f>
        <v xml:space="preserve"> </v>
      </c>
      <c r="J45" s="642" t="str">
        <f>IF('rotation(W501D5)'!I37=0," ",$B45*'rotation(W501D5)'!I37)</f>
        <v xml:space="preserve"> </v>
      </c>
      <c r="K45" s="642" t="str">
        <f>IF('rotation(W501D5)'!J37=0," ",$B45*'rotation(W501D5)'!J37)</f>
        <v xml:space="preserve"> </v>
      </c>
      <c r="L45" s="642" t="str">
        <f>IF('rotation(W501D5)'!K37=0," ",$B45*'rotation(W501D5)'!K37)</f>
        <v xml:space="preserve"> </v>
      </c>
      <c r="M45" s="642" t="str">
        <f>IF('rotation(W501D5)'!L37=0," ",$B45*'rotation(W501D5)'!L37)</f>
        <v xml:space="preserve"> </v>
      </c>
      <c r="N45" s="642" t="str">
        <f>IF('rotation(W501D5)'!M37=0," ",$B45*'rotation(W501D5)'!M37)</f>
        <v xml:space="preserve"> </v>
      </c>
      <c r="O45" s="642" t="str">
        <f>IF('rotation(W501D5)'!N37=0," ",$B45*'rotation(W501D5)'!N37)</f>
        <v xml:space="preserve"> </v>
      </c>
      <c r="P45" s="642" t="str">
        <f>IF('rotation(W501D5)'!O37=0," ",$B45*'rotation(W501D5)'!O37)</f>
        <v xml:space="preserve"> </v>
      </c>
      <c r="Q45" s="642" t="str">
        <f>IF('rotation(W501D5)'!P37=0," ",$B45*'rotation(W501D5)'!P37)</f>
        <v xml:space="preserve"> </v>
      </c>
      <c r="R45" s="642" t="str">
        <f>IF('rotation(W501D5)'!Q37=0," ",$B45*'rotation(W501D5)'!Q37)</f>
        <v xml:space="preserve"> </v>
      </c>
      <c r="S45" s="642" t="str">
        <f>IF('rotation(W501D5)'!R37=0," ",$B45*'rotation(W501D5)'!R37)</f>
        <v xml:space="preserve"> </v>
      </c>
      <c r="T45" s="642" t="str">
        <f>IF('rotation(W501D5)'!S37=0," ",$B45*'rotation(W501D5)'!S37)</f>
        <v xml:space="preserve"> </v>
      </c>
      <c r="U45" s="642" t="str">
        <f>IF('rotation(W501D5)'!T37=0," ",$B45*'rotation(W501D5)'!T37)</f>
        <v xml:space="preserve"> </v>
      </c>
      <c r="V45" s="642" t="str">
        <f>IF('rotation(W501D5)'!U37=0," ",$B45*'rotation(W501D5)'!U37)</f>
        <v xml:space="preserve"> </v>
      </c>
      <c r="W45" s="642" t="str">
        <f>IF('rotation(W501D5)'!V37=0," ",$B45*'rotation(W501D5)'!V37)</f>
        <v xml:space="preserve"> </v>
      </c>
      <c r="X45" s="21">
        <f t="shared" si="4"/>
        <v>0</v>
      </c>
    </row>
    <row r="46" spans="1:24" s="21" customFormat="1">
      <c r="A46" s="648" t="str">
        <f>'GTDB(W501D5)'!A23</f>
        <v>Row 2 Blades</v>
      </c>
      <c r="B46" s="641">
        <f>'GTDB(W501D5)'!D23</f>
        <v>68.400000000000006</v>
      </c>
      <c r="C46" s="642"/>
      <c r="D46" s="642" t="str">
        <f>IF('rotation(W501D5)'!C41=0," ",$B46*'rotation(W501D5)'!C41)</f>
        <v xml:space="preserve"> </v>
      </c>
      <c r="E46" s="642" t="str">
        <f>IF('rotation(W501D5)'!D41=0," ",$B46*'rotation(W501D5)'!D41)</f>
        <v xml:space="preserve"> </v>
      </c>
      <c r="F46" s="642" t="str">
        <f>IF('rotation(W501D5)'!E41=0," ",$B46*'rotation(W501D5)'!E41)</f>
        <v xml:space="preserve"> </v>
      </c>
      <c r="G46" s="642" t="str">
        <f>IF('rotation(W501D5)'!F41=0," ",$B46*'rotation(W501D5)'!F41)</f>
        <v xml:space="preserve"> </v>
      </c>
      <c r="H46" s="642" t="str">
        <f>IF('rotation(W501D5)'!G41=0," ",$B46*'rotation(W501D5)'!G41)</f>
        <v xml:space="preserve"> </v>
      </c>
      <c r="I46" s="642" t="str">
        <f>IF('rotation(W501D5)'!H41=0," ",$B46*'rotation(W501D5)'!H41)</f>
        <v xml:space="preserve"> </v>
      </c>
      <c r="J46" s="642" t="str">
        <f>IF('rotation(W501D5)'!I41=0," ",$B46*'rotation(W501D5)'!I41)</f>
        <v xml:space="preserve"> </v>
      </c>
      <c r="K46" s="642" t="str">
        <f>IF('rotation(W501D5)'!J41=0," ",$B46*'rotation(W501D5)'!J41)</f>
        <v xml:space="preserve"> </v>
      </c>
      <c r="L46" s="642" t="str">
        <f>IF('rotation(W501D5)'!K41=0," ",$B46*'rotation(W501D5)'!K41)</f>
        <v xml:space="preserve"> </v>
      </c>
      <c r="M46" s="642" t="str">
        <f>IF('rotation(W501D5)'!L41=0," ",$B46*'rotation(W501D5)'!L41)</f>
        <v xml:space="preserve"> </v>
      </c>
      <c r="N46" s="642" t="str">
        <f>IF('rotation(W501D5)'!M41=0," ",$B46*'rotation(W501D5)'!M41)</f>
        <v xml:space="preserve"> </v>
      </c>
      <c r="O46" s="642" t="str">
        <f>IF('rotation(W501D5)'!N41=0," ",$B46*'rotation(W501D5)'!N41)</f>
        <v xml:space="preserve"> </v>
      </c>
      <c r="P46" s="642" t="str">
        <f>IF('rotation(W501D5)'!O41=0," ",$B46*'rotation(W501D5)'!O41)</f>
        <v xml:space="preserve"> </v>
      </c>
      <c r="Q46" s="642" t="str">
        <f>IF('rotation(W501D5)'!P41=0," ",$B46*'rotation(W501D5)'!P41)</f>
        <v xml:space="preserve"> </v>
      </c>
      <c r="R46" s="642" t="str">
        <f>IF('rotation(W501D5)'!Q41=0," ",$B46*'rotation(W501D5)'!Q41)</f>
        <v xml:space="preserve"> </v>
      </c>
      <c r="S46" s="642" t="str">
        <f>IF('rotation(W501D5)'!R41=0," ",$B46*'rotation(W501D5)'!R41)</f>
        <v xml:space="preserve"> </v>
      </c>
      <c r="T46" s="642" t="str">
        <f>IF('rotation(W501D5)'!S41=0," ",$B46*'rotation(W501D5)'!S41)</f>
        <v xml:space="preserve"> </v>
      </c>
      <c r="U46" s="642" t="str">
        <f>IF('rotation(W501D5)'!T41=0," ",$B46*'rotation(W501D5)'!T41)</f>
        <v xml:space="preserve"> </v>
      </c>
      <c r="V46" s="642" t="str">
        <f>IF('rotation(W501D5)'!U41=0," ",$B46*'rotation(W501D5)'!U41)</f>
        <v xml:space="preserve"> </v>
      </c>
      <c r="W46" s="642" t="str">
        <f>IF('rotation(W501D5)'!V41=0," ",$B46*'rotation(W501D5)'!V41)</f>
        <v xml:space="preserve"> </v>
      </c>
      <c r="X46" s="21">
        <f t="shared" si="4"/>
        <v>0</v>
      </c>
    </row>
    <row r="47" spans="1:24" s="21" customFormat="1">
      <c r="A47" s="648" t="str">
        <f>'GTDB(W501D5)'!A24</f>
        <v>Row 3 Blades</v>
      </c>
      <c r="B47" s="641">
        <f>'GTDB(W501D5)'!D24</f>
        <v>56.7</v>
      </c>
      <c r="C47" s="642"/>
      <c r="D47" s="642" t="str">
        <f>IF('rotation(W501D5)'!C45=0," ",$B47*'rotation(W501D5)'!C45)</f>
        <v xml:space="preserve"> </v>
      </c>
      <c r="E47" s="642" t="str">
        <f>IF('rotation(W501D5)'!D45=0," ",$B47*'rotation(W501D5)'!D45)</f>
        <v xml:space="preserve"> </v>
      </c>
      <c r="F47" s="642" t="str">
        <f>IF('rotation(W501D5)'!E45=0," ",$B47*'rotation(W501D5)'!E45)</f>
        <v xml:space="preserve"> </v>
      </c>
      <c r="G47" s="642" t="str">
        <f>IF('rotation(W501D5)'!F45=0," ",$B47*'rotation(W501D5)'!F45)</f>
        <v xml:space="preserve"> </v>
      </c>
      <c r="H47" s="642" t="str">
        <f>IF('rotation(W501D5)'!G45=0," ",$B47*'rotation(W501D5)'!G45)</f>
        <v xml:space="preserve"> </v>
      </c>
      <c r="I47" s="642" t="str">
        <f>IF('rotation(W501D5)'!H45=0," ",$B47*'rotation(W501D5)'!H45)</f>
        <v xml:space="preserve"> </v>
      </c>
      <c r="J47" s="642" t="str">
        <f>IF('rotation(W501D5)'!I45=0," ",$B47*'rotation(W501D5)'!I45)</f>
        <v xml:space="preserve"> </v>
      </c>
      <c r="K47" s="642" t="str">
        <f>IF('rotation(W501D5)'!J45=0," ",$B47*'rotation(W501D5)'!J45)</f>
        <v xml:space="preserve"> </v>
      </c>
      <c r="L47" s="642" t="str">
        <f>IF('rotation(W501D5)'!K45=0," ",$B47*'rotation(W501D5)'!K45)</f>
        <v xml:space="preserve"> </v>
      </c>
      <c r="M47" s="642" t="str">
        <f>IF('rotation(W501D5)'!L45=0," ",$B47*'rotation(W501D5)'!L45)</f>
        <v xml:space="preserve"> </v>
      </c>
      <c r="N47" s="642" t="str">
        <f>IF('rotation(W501D5)'!M45=0," ",$B47*'rotation(W501D5)'!M45)</f>
        <v xml:space="preserve"> </v>
      </c>
      <c r="O47" s="642" t="str">
        <f>IF('rotation(W501D5)'!N45=0," ",$B47*'rotation(W501D5)'!N45)</f>
        <v xml:space="preserve"> </v>
      </c>
      <c r="P47" s="642" t="str">
        <f>IF('rotation(W501D5)'!O45=0," ",$B47*'rotation(W501D5)'!O45)</f>
        <v xml:space="preserve"> </v>
      </c>
      <c r="Q47" s="642" t="str">
        <f>IF('rotation(W501D5)'!P45=0," ",$B47*'rotation(W501D5)'!P45)</f>
        <v xml:space="preserve"> </v>
      </c>
      <c r="R47" s="642" t="str">
        <f>IF('rotation(W501D5)'!Q45=0," ",$B47*'rotation(W501D5)'!Q45)</f>
        <v xml:space="preserve"> </v>
      </c>
      <c r="S47" s="642" t="str">
        <f>IF('rotation(W501D5)'!R45=0," ",$B47*'rotation(W501D5)'!R45)</f>
        <v xml:space="preserve"> </v>
      </c>
      <c r="T47" s="642" t="str">
        <f>IF('rotation(W501D5)'!S45=0," ",$B47*'rotation(W501D5)'!S45)</f>
        <v xml:space="preserve"> </v>
      </c>
      <c r="U47" s="642" t="str">
        <f>IF('rotation(W501D5)'!T45=0," ",$B47*'rotation(W501D5)'!T45)</f>
        <v xml:space="preserve"> </v>
      </c>
      <c r="V47" s="642" t="str">
        <f>IF('rotation(W501D5)'!U45=0," ",$B47*'rotation(W501D5)'!U45)</f>
        <v xml:space="preserve"> </v>
      </c>
      <c r="W47" s="642" t="str">
        <f>IF('rotation(W501D5)'!V45=0," ",$B47*'rotation(W501D5)'!V45)</f>
        <v xml:space="preserve"> </v>
      </c>
      <c r="X47" s="21">
        <f t="shared" si="4"/>
        <v>0</v>
      </c>
    </row>
    <row r="48" spans="1:24" s="21" customFormat="1">
      <c r="A48" s="648" t="str">
        <f>'GTDB(W501D5)'!A25</f>
        <v>Row 4 Blades</v>
      </c>
      <c r="B48" s="641">
        <f>'GTDB(W501D5)'!D25</f>
        <v>79.17</v>
      </c>
      <c r="C48" s="642"/>
      <c r="D48" s="642" t="str">
        <f>IF('rotation(W501D5)'!C49=0," ",$B48*'rotation(W501D5)'!C49)</f>
        <v xml:space="preserve"> </v>
      </c>
      <c r="E48" s="642" t="str">
        <f>IF('rotation(W501D5)'!D49=0," ",$B48*'rotation(W501D5)'!D49)</f>
        <v xml:space="preserve"> </v>
      </c>
      <c r="F48" s="642" t="str">
        <f>IF('rotation(W501D5)'!E49=0," ",$B48*'rotation(W501D5)'!E49)</f>
        <v xml:space="preserve"> </v>
      </c>
      <c r="G48" s="642" t="str">
        <f>IF('rotation(W501D5)'!F49=0," ",$B48*'rotation(W501D5)'!F49)</f>
        <v xml:space="preserve"> </v>
      </c>
      <c r="H48" s="642" t="str">
        <f>IF('rotation(W501D5)'!G49=0," ",$B48*'rotation(W501D5)'!G49)</f>
        <v xml:space="preserve"> </v>
      </c>
      <c r="I48" s="642" t="str">
        <f>IF('rotation(W501D5)'!H49=0," ",$B48*'rotation(W501D5)'!H49)</f>
        <v xml:space="preserve"> </v>
      </c>
      <c r="J48" s="642" t="str">
        <f>IF('rotation(W501D5)'!I49=0," ",$B48*'rotation(W501D5)'!I49)</f>
        <v xml:space="preserve"> </v>
      </c>
      <c r="K48" s="642" t="str">
        <f>IF('rotation(W501D5)'!J49=0," ",$B48*'rotation(W501D5)'!J49)</f>
        <v xml:space="preserve"> </v>
      </c>
      <c r="L48" s="642" t="str">
        <f>IF('rotation(W501D5)'!K49=0," ",$B48*'rotation(W501D5)'!K49)</f>
        <v xml:space="preserve"> </v>
      </c>
      <c r="M48" s="642" t="str">
        <f>IF('rotation(W501D5)'!L49=0," ",$B48*'rotation(W501D5)'!L49)</f>
        <v xml:space="preserve"> </v>
      </c>
      <c r="N48" s="642" t="str">
        <f>IF('rotation(W501D5)'!M49=0," ",$B48*'rotation(W501D5)'!M49)</f>
        <v xml:space="preserve"> </v>
      </c>
      <c r="O48" s="642" t="str">
        <f>IF('rotation(W501D5)'!N49=0," ",$B48*'rotation(W501D5)'!N49)</f>
        <v xml:space="preserve"> </v>
      </c>
      <c r="P48" s="642" t="str">
        <f>IF('rotation(W501D5)'!O49=0," ",$B48*'rotation(W501D5)'!O49)</f>
        <v xml:space="preserve"> </v>
      </c>
      <c r="Q48" s="642" t="str">
        <f>IF('rotation(W501D5)'!P49=0," ",$B48*'rotation(W501D5)'!P49)</f>
        <v xml:space="preserve"> </v>
      </c>
      <c r="R48" s="642" t="str">
        <f>IF('rotation(W501D5)'!Q49=0," ",$B48*'rotation(W501D5)'!Q49)</f>
        <v xml:space="preserve"> </v>
      </c>
      <c r="S48" s="642" t="str">
        <f>IF('rotation(W501D5)'!R49=0," ",$B48*'rotation(W501D5)'!R49)</f>
        <v xml:space="preserve"> </v>
      </c>
      <c r="T48" s="642" t="str">
        <f>IF('rotation(W501D5)'!S49=0," ",$B48*'rotation(W501D5)'!S49)</f>
        <v xml:space="preserve"> </v>
      </c>
      <c r="U48" s="642" t="str">
        <f>IF('rotation(W501D5)'!T49=0," ",$B48*'rotation(W501D5)'!T49)</f>
        <v xml:space="preserve"> </v>
      </c>
      <c r="V48" s="642" t="str">
        <f>IF('rotation(W501D5)'!U49=0," ",$B48*'rotation(W501D5)'!U49)</f>
        <v xml:space="preserve"> </v>
      </c>
      <c r="W48" s="642" t="str">
        <f>IF('rotation(W501D5)'!V49=0," ",$B48*'rotation(W501D5)'!V49)</f>
        <v xml:space="preserve"> </v>
      </c>
      <c r="X48" s="21">
        <f t="shared" si="4"/>
        <v>0</v>
      </c>
    </row>
    <row r="49" spans="1:24" s="21" customFormat="1">
      <c r="A49" s="648" t="str">
        <f>'GTDB(W501D5)'!A26</f>
        <v xml:space="preserve">Row 1 Vanes </v>
      </c>
      <c r="B49" s="641">
        <f>'GTDB(W501D5)'!D26</f>
        <v>105.36</v>
      </c>
      <c r="C49" s="642"/>
      <c r="D49" s="642" t="str">
        <f>IF('rotation(W501D5)'!C53=0," ",$B49*'rotation(W501D5)'!C53)</f>
        <v xml:space="preserve"> </v>
      </c>
      <c r="E49" s="642" t="str">
        <f>IF('rotation(W501D5)'!D53=0," ",$B49*'rotation(W501D5)'!D53)</f>
        <v xml:space="preserve"> </v>
      </c>
      <c r="F49" s="642" t="str">
        <f>IF('rotation(W501D5)'!E53=0," ",$B49*'rotation(W501D5)'!E53)</f>
        <v xml:space="preserve"> </v>
      </c>
      <c r="G49" s="642" t="str">
        <f>IF('rotation(W501D5)'!F53=0," ",$B49*'rotation(W501D5)'!F53)</f>
        <v xml:space="preserve"> </v>
      </c>
      <c r="H49" s="642" t="str">
        <f>IF('rotation(W501D5)'!G53=0," ",$B49*'rotation(W501D5)'!G53)</f>
        <v xml:space="preserve"> </v>
      </c>
      <c r="I49" s="642" t="str">
        <f>IF('rotation(W501D5)'!H53=0," ",$B49*'rotation(W501D5)'!H53)</f>
        <v xml:space="preserve"> </v>
      </c>
      <c r="J49" s="642" t="str">
        <f>IF('rotation(W501D5)'!I53=0," ",$B49*'rotation(W501D5)'!I53)</f>
        <v xml:space="preserve"> </v>
      </c>
      <c r="K49" s="642" t="str">
        <f>IF('rotation(W501D5)'!J53=0," ",$B49*'rotation(W501D5)'!J53)</f>
        <v xml:space="preserve"> </v>
      </c>
      <c r="L49" s="642" t="str">
        <f>IF('rotation(W501D5)'!K53=0," ",$B49*'rotation(W501D5)'!K53)</f>
        <v xml:space="preserve"> </v>
      </c>
      <c r="M49" s="642" t="str">
        <f>IF('rotation(W501D5)'!L53=0," ",$B49*'rotation(W501D5)'!L53)</f>
        <v xml:space="preserve"> </v>
      </c>
      <c r="N49" s="642" t="str">
        <f>IF('rotation(W501D5)'!M53=0," ",$B49*'rotation(W501D5)'!M53)</f>
        <v xml:space="preserve"> </v>
      </c>
      <c r="O49" s="642" t="str">
        <f>IF('rotation(W501D5)'!N53=0," ",$B49*'rotation(W501D5)'!N53)</f>
        <v xml:space="preserve"> </v>
      </c>
      <c r="P49" s="642" t="str">
        <f>IF('rotation(W501D5)'!O53=0," ",$B49*'rotation(W501D5)'!O53)</f>
        <v xml:space="preserve"> </v>
      </c>
      <c r="Q49" s="642" t="str">
        <f>IF('rotation(W501D5)'!P53=0," ",$B49*'rotation(W501D5)'!P53)</f>
        <v xml:space="preserve"> </v>
      </c>
      <c r="R49" s="642" t="str">
        <f>IF('rotation(W501D5)'!Q53=0," ",$B49*'rotation(W501D5)'!Q53)</f>
        <v xml:space="preserve"> </v>
      </c>
      <c r="S49" s="642" t="str">
        <f>IF('rotation(W501D5)'!R53=0," ",$B49*'rotation(W501D5)'!R53)</f>
        <v xml:space="preserve"> </v>
      </c>
      <c r="T49" s="642" t="str">
        <f>IF('rotation(W501D5)'!S53=0," ",$B49*'rotation(W501D5)'!S53)</f>
        <v xml:space="preserve"> </v>
      </c>
      <c r="U49" s="642" t="str">
        <f>IF('rotation(W501D5)'!T53=0," ",$B49*'rotation(W501D5)'!T53)</f>
        <v xml:space="preserve"> </v>
      </c>
      <c r="V49" s="642" t="str">
        <f>IF('rotation(W501D5)'!U53=0," ",$B49*'rotation(W501D5)'!U53)</f>
        <v xml:space="preserve"> </v>
      </c>
      <c r="W49" s="642" t="str">
        <f>IF('rotation(W501D5)'!V53=0," ",$B49*'rotation(W501D5)'!V53)</f>
        <v xml:space="preserve"> </v>
      </c>
      <c r="X49" s="21">
        <f t="shared" si="4"/>
        <v>0</v>
      </c>
    </row>
    <row r="50" spans="1:24" s="21" customFormat="1">
      <c r="A50" s="648" t="str">
        <f>'GTDB(W501D5)'!A27</f>
        <v>Row 2 Vanes</v>
      </c>
      <c r="B50" s="641">
        <f>'GTDB(W501D5)'!D27</f>
        <v>84.68</v>
      </c>
      <c r="C50" s="642"/>
      <c r="D50" s="642" t="str">
        <f>IF('rotation(W501D5)'!C57=0," ",$B50*'rotation(W501D5)'!C57)</f>
        <v xml:space="preserve"> </v>
      </c>
      <c r="E50" s="642" t="str">
        <f>IF('rotation(W501D5)'!D57=0," ",$B50*'rotation(W501D5)'!D57)</f>
        <v xml:space="preserve"> </v>
      </c>
      <c r="F50" s="642" t="str">
        <f>IF('rotation(W501D5)'!E57=0," ",$B50*'rotation(W501D5)'!E57)</f>
        <v xml:space="preserve"> </v>
      </c>
      <c r="G50" s="642" t="str">
        <f>IF('rotation(W501D5)'!F57=0," ",$B50*'rotation(W501D5)'!F57)</f>
        <v xml:space="preserve"> </v>
      </c>
      <c r="H50" s="642" t="str">
        <f>IF('rotation(W501D5)'!G57=0," ",$B50*'rotation(W501D5)'!G57)</f>
        <v xml:space="preserve"> </v>
      </c>
      <c r="I50" s="642" t="str">
        <f>IF('rotation(W501D5)'!H57=0," ",$B50*'rotation(W501D5)'!H57)</f>
        <v xml:space="preserve"> </v>
      </c>
      <c r="J50" s="642" t="str">
        <f>IF('rotation(W501D5)'!I57=0," ",$B50*'rotation(W501D5)'!I57)</f>
        <v xml:space="preserve"> </v>
      </c>
      <c r="K50" s="642" t="str">
        <f>IF('rotation(W501D5)'!J57=0," ",$B50*'rotation(W501D5)'!J57)</f>
        <v xml:space="preserve"> </v>
      </c>
      <c r="L50" s="642" t="str">
        <f>IF('rotation(W501D5)'!K57=0," ",$B50*'rotation(W501D5)'!K57)</f>
        <v xml:space="preserve"> </v>
      </c>
      <c r="M50" s="642" t="str">
        <f>IF('rotation(W501D5)'!L57=0," ",$B50*'rotation(W501D5)'!L57)</f>
        <v xml:space="preserve"> </v>
      </c>
      <c r="N50" s="642" t="str">
        <f>IF('rotation(W501D5)'!M57=0," ",$B50*'rotation(W501D5)'!M57)</f>
        <v xml:space="preserve"> </v>
      </c>
      <c r="O50" s="642" t="str">
        <f>IF('rotation(W501D5)'!N57=0," ",$B50*'rotation(W501D5)'!N57)</f>
        <v xml:space="preserve"> </v>
      </c>
      <c r="P50" s="642" t="str">
        <f>IF('rotation(W501D5)'!O57=0," ",$B50*'rotation(W501D5)'!O57)</f>
        <v xml:space="preserve"> </v>
      </c>
      <c r="Q50" s="642" t="str">
        <f>IF('rotation(W501D5)'!P57=0," ",$B50*'rotation(W501D5)'!P57)</f>
        <v xml:space="preserve"> </v>
      </c>
      <c r="R50" s="642" t="str">
        <f>IF('rotation(W501D5)'!Q57=0," ",$B50*'rotation(W501D5)'!Q57)</f>
        <v xml:space="preserve"> </v>
      </c>
      <c r="S50" s="642" t="str">
        <f>IF('rotation(W501D5)'!R57=0," ",$B50*'rotation(W501D5)'!R57)</f>
        <v xml:space="preserve"> </v>
      </c>
      <c r="T50" s="642" t="str">
        <f>IF('rotation(W501D5)'!S57=0," ",$B50*'rotation(W501D5)'!S57)</f>
        <v xml:space="preserve"> </v>
      </c>
      <c r="U50" s="642" t="str">
        <f>IF('rotation(W501D5)'!T57=0," ",$B50*'rotation(W501D5)'!T57)</f>
        <v xml:space="preserve"> </v>
      </c>
      <c r="V50" s="642" t="str">
        <f>IF('rotation(W501D5)'!U57=0," ",$B50*'rotation(W501D5)'!U57)</f>
        <v xml:space="preserve"> </v>
      </c>
      <c r="W50" s="642" t="str">
        <f>IF('rotation(W501D5)'!V57=0," ",$B50*'rotation(W501D5)'!V57)</f>
        <v xml:space="preserve"> </v>
      </c>
      <c r="X50" s="21">
        <f t="shared" si="4"/>
        <v>0</v>
      </c>
    </row>
    <row r="51" spans="1:24" s="21" customFormat="1">
      <c r="A51" s="648" t="str">
        <f>'GTDB(W501D5)'!A28</f>
        <v>Row 3 Vanes</v>
      </c>
      <c r="B51" s="641">
        <f>'GTDB(W501D5)'!D28</f>
        <v>77.400000000000006</v>
      </c>
      <c r="C51" s="642"/>
      <c r="D51" s="642" t="str">
        <f>IF('rotation(W501D5)'!C61=0," ",$B51*'rotation(W501D5)'!C61)</f>
        <v xml:space="preserve"> </v>
      </c>
      <c r="E51" s="642" t="str">
        <f>IF('rotation(W501D5)'!D61=0," ",$B51*'rotation(W501D5)'!D61)</f>
        <v xml:space="preserve"> </v>
      </c>
      <c r="F51" s="642" t="str">
        <f>IF('rotation(W501D5)'!E61=0," ",$B51*'rotation(W501D5)'!E61)</f>
        <v xml:space="preserve"> </v>
      </c>
      <c r="G51" s="642" t="str">
        <f>IF('rotation(W501D5)'!F61=0," ",$B51*'rotation(W501D5)'!F61)</f>
        <v xml:space="preserve"> </v>
      </c>
      <c r="H51" s="642" t="str">
        <f>IF('rotation(W501D5)'!G61=0," ",$B51*'rotation(W501D5)'!G61)</f>
        <v xml:space="preserve"> </v>
      </c>
      <c r="I51" s="642" t="str">
        <f>IF('rotation(W501D5)'!H61=0," ",$B51*'rotation(W501D5)'!H61)</f>
        <v xml:space="preserve"> </v>
      </c>
      <c r="J51" s="642" t="str">
        <f>IF('rotation(W501D5)'!I61=0," ",$B51*'rotation(W501D5)'!I61)</f>
        <v xml:space="preserve"> </v>
      </c>
      <c r="K51" s="642" t="str">
        <f>IF('rotation(W501D5)'!J61=0," ",$B51*'rotation(W501D5)'!J61)</f>
        <v xml:space="preserve"> </v>
      </c>
      <c r="L51" s="642" t="str">
        <f>IF('rotation(W501D5)'!K61=0," ",$B51*'rotation(W501D5)'!K61)</f>
        <v xml:space="preserve"> </v>
      </c>
      <c r="M51" s="642" t="str">
        <f>IF('rotation(W501D5)'!L61=0," ",$B51*'rotation(W501D5)'!L61)</f>
        <v xml:space="preserve"> </v>
      </c>
      <c r="N51" s="642" t="str">
        <f>IF('rotation(W501D5)'!M61=0," ",$B51*'rotation(W501D5)'!M61)</f>
        <v xml:space="preserve"> </v>
      </c>
      <c r="O51" s="642" t="str">
        <f>IF('rotation(W501D5)'!N61=0," ",$B51*'rotation(W501D5)'!N61)</f>
        <v xml:space="preserve"> </v>
      </c>
      <c r="P51" s="642" t="str">
        <f>IF('rotation(W501D5)'!O61=0," ",$B51*'rotation(W501D5)'!O61)</f>
        <v xml:space="preserve"> </v>
      </c>
      <c r="Q51" s="642" t="str">
        <f>IF('rotation(W501D5)'!P61=0," ",$B51*'rotation(W501D5)'!P61)</f>
        <v xml:space="preserve"> </v>
      </c>
      <c r="R51" s="642" t="str">
        <f>IF('rotation(W501D5)'!Q61=0," ",$B51*'rotation(W501D5)'!Q61)</f>
        <v xml:space="preserve"> </v>
      </c>
      <c r="S51" s="642" t="str">
        <f>IF('rotation(W501D5)'!R61=0," ",$B51*'rotation(W501D5)'!R61)</f>
        <v xml:space="preserve"> </v>
      </c>
      <c r="T51" s="642" t="str">
        <f>IF('rotation(W501D5)'!S61=0," ",$B51*'rotation(W501D5)'!S61)</f>
        <v xml:space="preserve"> </v>
      </c>
      <c r="U51" s="642" t="str">
        <f>IF('rotation(W501D5)'!T61=0," ",$B51*'rotation(W501D5)'!T61)</f>
        <v xml:space="preserve"> </v>
      </c>
      <c r="V51" s="642" t="str">
        <f>IF('rotation(W501D5)'!U61=0," ",$B51*'rotation(W501D5)'!U61)</f>
        <v xml:space="preserve"> </v>
      </c>
      <c r="W51" s="642" t="str">
        <f>IF('rotation(W501D5)'!V61=0," ",$B51*'rotation(W501D5)'!V61)</f>
        <v xml:space="preserve"> </v>
      </c>
      <c r="X51" s="21">
        <f t="shared" si="4"/>
        <v>0</v>
      </c>
    </row>
    <row r="52" spans="1:24" s="21" customFormat="1">
      <c r="A52" s="648" t="str">
        <f>'GTDB(W501D5)'!A29</f>
        <v>Row 4 Vanes</v>
      </c>
      <c r="B52" s="641">
        <f>'GTDB(W501D5)'!D29</f>
        <v>70.95</v>
      </c>
      <c r="C52" s="642"/>
      <c r="D52" s="642" t="str">
        <f>IF('rotation(W501D5)'!C65=0," ",$B52*'rotation(W501D5)'!C65)</f>
        <v xml:space="preserve"> </v>
      </c>
      <c r="E52" s="642" t="str">
        <f>IF('rotation(W501D5)'!D65=0," ",$B52*'rotation(W501D5)'!D65)</f>
        <v xml:space="preserve"> </v>
      </c>
      <c r="F52" s="642" t="str">
        <f>IF('rotation(W501D5)'!E65=0," ",$B52*'rotation(W501D5)'!E65)</f>
        <v xml:space="preserve"> </v>
      </c>
      <c r="G52" s="642" t="str">
        <f>IF('rotation(W501D5)'!F65=0," ",$B52*'rotation(W501D5)'!F65)</f>
        <v xml:space="preserve"> </v>
      </c>
      <c r="H52" s="642" t="str">
        <f>IF('rotation(W501D5)'!G65=0," ",$B52*'rotation(W501D5)'!G65)</f>
        <v xml:space="preserve"> </v>
      </c>
      <c r="I52" s="642" t="str">
        <f>IF('rotation(W501D5)'!H65=0," ",$B52*'rotation(W501D5)'!H65)</f>
        <v xml:space="preserve"> </v>
      </c>
      <c r="J52" s="642" t="str">
        <f>IF('rotation(W501D5)'!I65=0," ",$B52*'rotation(W501D5)'!I65)</f>
        <v xml:space="preserve"> </v>
      </c>
      <c r="K52" s="642" t="str">
        <f>IF('rotation(W501D5)'!J65=0," ",$B52*'rotation(W501D5)'!J65)</f>
        <v xml:space="preserve"> </v>
      </c>
      <c r="L52" s="642" t="str">
        <f>IF('rotation(W501D5)'!K65=0," ",$B52*'rotation(W501D5)'!K65)</f>
        <v xml:space="preserve"> </v>
      </c>
      <c r="M52" s="642" t="str">
        <f>IF('rotation(W501D5)'!L65=0," ",$B52*'rotation(W501D5)'!L65)</f>
        <v xml:space="preserve"> </v>
      </c>
      <c r="N52" s="642" t="str">
        <f>IF('rotation(W501D5)'!M65=0," ",$B52*'rotation(W501D5)'!M65)</f>
        <v xml:space="preserve"> </v>
      </c>
      <c r="O52" s="642" t="str">
        <f>IF('rotation(W501D5)'!N65=0," ",$B52*'rotation(W501D5)'!N65)</f>
        <v xml:space="preserve"> </v>
      </c>
      <c r="P52" s="642" t="str">
        <f>IF('rotation(W501D5)'!O65=0," ",$B52*'rotation(W501D5)'!O65)</f>
        <v xml:space="preserve"> </v>
      </c>
      <c r="Q52" s="642" t="str">
        <f>IF('rotation(W501D5)'!P65=0," ",$B52*'rotation(W501D5)'!P65)</f>
        <v xml:space="preserve"> </v>
      </c>
      <c r="R52" s="642" t="str">
        <f>IF('rotation(W501D5)'!Q65=0," ",$B52*'rotation(W501D5)'!Q65)</f>
        <v xml:space="preserve"> </v>
      </c>
      <c r="S52" s="642" t="str">
        <f>IF('rotation(W501D5)'!R65=0," ",$B52*'rotation(W501D5)'!R65)</f>
        <v xml:space="preserve"> </v>
      </c>
      <c r="T52" s="642" t="str">
        <f>IF('rotation(W501D5)'!S65=0," ",$B52*'rotation(W501D5)'!S65)</f>
        <v xml:space="preserve"> </v>
      </c>
      <c r="U52" s="642" t="str">
        <f>IF('rotation(W501D5)'!T65=0," ",$B52*'rotation(W501D5)'!T65)</f>
        <v xml:space="preserve"> </v>
      </c>
      <c r="V52" s="642" t="str">
        <f>IF('rotation(W501D5)'!U65=0," ",$B52*'rotation(W501D5)'!U65)</f>
        <v xml:space="preserve"> </v>
      </c>
      <c r="W52" s="642" t="str">
        <f>IF('rotation(W501D5)'!V65=0," ",$B52*'rotation(W501D5)'!V65)</f>
        <v xml:space="preserve"> </v>
      </c>
      <c r="X52" s="21">
        <f t="shared" si="4"/>
        <v>0</v>
      </c>
    </row>
    <row r="53" spans="1:24" s="21" customFormat="1">
      <c r="A53" s="648" t="str">
        <f>'GTDB(W501D5)'!A30</f>
        <v>Row 1 ring segments</v>
      </c>
      <c r="B53" s="641">
        <f>'GTDB(W501D5)'!D30</f>
        <v>14.5</v>
      </c>
      <c r="C53" s="642"/>
      <c r="D53" s="642" t="str">
        <f>IF('rotation(W501D5)'!C69=0," ",$B53*'rotation(W501D5)'!C69)</f>
        <v xml:space="preserve"> </v>
      </c>
      <c r="E53" s="642" t="str">
        <f>IF('rotation(W501D5)'!D69=0," ",$B53*'rotation(W501D5)'!D69)</f>
        <v xml:space="preserve"> </v>
      </c>
      <c r="F53" s="642" t="str">
        <f>IF('rotation(W501D5)'!E69=0," ",$B53*'rotation(W501D5)'!E69)</f>
        <v xml:space="preserve"> </v>
      </c>
      <c r="G53" s="642" t="str">
        <f>IF('rotation(W501D5)'!F69=0," ",$B53*'rotation(W501D5)'!F69)</f>
        <v xml:space="preserve"> </v>
      </c>
      <c r="H53" s="642" t="str">
        <f>IF('rotation(W501D5)'!G69=0," ",$B53*'rotation(W501D5)'!G69)</f>
        <v xml:space="preserve"> </v>
      </c>
      <c r="I53" s="642" t="str">
        <f>IF('rotation(W501D5)'!H69=0," ",$B53*'rotation(W501D5)'!H69)</f>
        <v xml:space="preserve"> </v>
      </c>
      <c r="J53" s="642" t="str">
        <f>IF('rotation(W501D5)'!I69=0," ",$B53*'rotation(W501D5)'!I69)</f>
        <v xml:space="preserve"> </v>
      </c>
      <c r="K53" s="642" t="str">
        <f>IF('rotation(W501D5)'!J69=0," ",$B53*'rotation(W501D5)'!J69)</f>
        <v xml:space="preserve"> </v>
      </c>
      <c r="L53" s="642" t="str">
        <f>IF('rotation(W501D5)'!K69=0," ",$B53*'rotation(W501D5)'!K69)</f>
        <v xml:space="preserve"> </v>
      </c>
      <c r="M53" s="642" t="str">
        <f>IF('rotation(W501D5)'!L69=0," ",$B53*'rotation(W501D5)'!L69)</f>
        <v xml:space="preserve"> </v>
      </c>
      <c r="N53" s="642" t="str">
        <f>IF('rotation(W501D5)'!M69=0," ",$B53*'rotation(W501D5)'!M69)</f>
        <v xml:space="preserve"> </v>
      </c>
      <c r="O53" s="642" t="str">
        <f>IF('rotation(W501D5)'!N69=0," ",$B53*'rotation(W501D5)'!N69)</f>
        <v xml:space="preserve"> </v>
      </c>
      <c r="P53" s="642" t="str">
        <f>IF('rotation(W501D5)'!O69=0," ",$B53*'rotation(W501D5)'!O69)</f>
        <v xml:space="preserve"> </v>
      </c>
      <c r="Q53" s="642" t="str">
        <f>IF('rotation(W501D5)'!P69=0," ",$B53*'rotation(W501D5)'!P69)</f>
        <v xml:space="preserve"> </v>
      </c>
      <c r="R53" s="642" t="str">
        <f>IF('rotation(W501D5)'!Q69=0," ",$B53*'rotation(W501D5)'!Q69)</f>
        <v xml:space="preserve"> </v>
      </c>
      <c r="S53" s="642" t="str">
        <f>IF('rotation(W501D5)'!R69=0," ",$B53*'rotation(W501D5)'!R69)</f>
        <v xml:space="preserve"> </v>
      </c>
      <c r="T53" s="642" t="str">
        <f>IF('rotation(W501D5)'!S69=0," ",$B53*'rotation(W501D5)'!S69)</f>
        <v xml:space="preserve"> </v>
      </c>
      <c r="U53" s="642" t="str">
        <f>IF('rotation(W501D5)'!T69=0," ",$B53*'rotation(W501D5)'!T69)</f>
        <v xml:space="preserve"> </v>
      </c>
      <c r="V53" s="642" t="str">
        <f>IF('rotation(W501D5)'!U69=0," ",$B53*'rotation(W501D5)'!U69)</f>
        <v xml:space="preserve"> </v>
      </c>
      <c r="W53" s="642" t="str">
        <f>IF('rotation(W501D5)'!V69=0," ",$B53*'rotation(W501D5)'!V69)</f>
        <v xml:space="preserve"> </v>
      </c>
      <c r="X53" s="21">
        <f t="shared" si="4"/>
        <v>0</v>
      </c>
    </row>
    <row r="54" spans="1:24" s="21" customFormat="1">
      <c r="A54" s="648" t="str">
        <f>'GTDB(W501D5)'!A31</f>
        <v>Row 2 ring segments</v>
      </c>
      <c r="B54" s="641">
        <f>'GTDB(W501D5)'!D31</f>
        <v>14.5</v>
      </c>
      <c r="C54" s="642"/>
      <c r="D54" s="642" t="str">
        <f>IF('rotation(W501D5)'!C73=0," ",$B54*'rotation(W501D5)'!C73)</f>
        <v xml:space="preserve"> </v>
      </c>
      <c r="E54" s="642" t="str">
        <f>IF('rotation(W501D5)'!D73=0," ",$B54*'rotation(W501D5)'!D73)</f>
        <v xml:space="preserve"> </v>
      </c>
      <c r="F54" s="642" t="str">
        <f>IF('rotation(W501D5)'!E73=0," ",$B54*'rotation(W501D5)'!E73)</f>
        <v xml:space="preserve"> </v>
      </c>
      <c r="G54" s="642" t="str">
        <f>IF('rotation(W501D5)'!F73=0," ",$B54*'rotation(W501D5)'!F73)</f>
        <v xml:space="preserve"> </v>
      </c>
      <c r="H54" s="642" t="str">
        <f>IF('rotation(W501D5)'!G73=0," ",$B54*'rotation(W501D5)'!G73)</f>
        <v xml:space="preserve"> </v>
      </c>
      <c r="I54" s="642" t="str">
        <f>IF('rotation(W501D5)'!H73=0," ",$B54*'rotation(W501D5)'!H73)</f>
        <v xml:space="preserve"> </v>
      </c>
      <c r="J54" s="642" t="str">
        <f>IF('rotation(W501D5)'!I73=0," ",$B54*'rotation(W501D5)'!I73)</f>
        <v xml:space="preserve"> </v>
      </c>
      <c r="K54" s="642" t="str">
        <f>IF('rotation(W501D5)'!J73=0," ",$B54*'rotation(W501D5)'!J73)</f>
        <v xml:space="preserve"> </v>
      </c>
      <c r="L54" s="642" t="str">
        <f>IF('rotation(W501D5)'!K73=0," ",$B54*'rotation(W501D5)'!K73)</f>
        <v xml:space="preserve"> </v>
      </c>
      <c r="M54" s="642" t="str">
        <f>IF('rotation(W501D5)'!L73=0," ",$B54*'rotation(W501D5)'!L73)</f>
        <v xml:space="preserve"> </v>
      </c>
      <c r="N54" s="642" t="str">
        <f>IF('rotation(W501D5)'!M73=0," ",$B54*'rotation(W501D5)'!M73)</f>
        <v xml:space="preserve"> </v>
      </c>
      <c r="O54" s="642" t="str">
        <f>IF('rotation(W501D5)'!N73=0," ",$B54*'rotation(W501D5)'!N73)</f>
        <v xml:space="preserve"> </v>
      </c>
      <c r="P54" s="642" t="str">
        <f>IF('rotation(W501D5)'!O73=0," ",$B54*'rotation(W501D5)'!O73)</f>
        <v xml:space="preserve"> </v>
      </c>
      <c r="Q54" s="642" t="str">
        <f>IF('rotation(W501D5)'!P73=0," ",$B54*'rotation(W501D5)'!P73)</f>
        <v xml:space="preserve"> </v>
      </c>
      <c r="R54" s="642" t="str">
        <f>IF('rotation(W501D5)'!Q73=0," ",$B54*'rotation(W501D5)'!Q73)</f>
        <v xml:space="preserve"> </v>
      </c>
      <c r="S54" s="642" t="str">
        <f>IF('rotation(W501D5)'!R73=0," ",$B54*'rotation(W501D5)'!R73)</f>
        <v xml:space="preserve"> </v>
      </c>
      <c r="T54" s="642" t="str">
        <f>IF('rotation(W501D5)'!S73=0," ",$B54*'rotation(W501D5)'!S73)</f>
        <v xml:space="preserve"> </v>
      </c>
      <c r="U54" s="642" t="str">
        <f>IF('rotation(W501D5)'!T73=0," ",$B54*'rotation(W501D5)'!T73)</f>
        <v xml:space="preserve"> </v>
      </c>
      <c r="V54" s="642" t="str">
        <f>IF('rotation(W501D5)'!U73=0," ",$B54*'rotation(W501D5)'!U73)</f>
        <v xml:space="preserve"> </v>
      </c>
      <c r="W54" s="642" t="str">
        <f>IF('rotation(W501D5)'!V73=0," ",$B54*'rotation(W501D5)'!V73)</f>
        <v xml:space="preserve"> </v>
      </c>
      <c r="X54" s="21">
        <f t="shared" si="4"/>
        <v>0</v>
      </c>
    </row>
    <row r="55" spans="1:24" s="21" customFormat="1">
      <c r="A55" s="648" t="str">
        <f>'GTDB(W501D5)'!A32</f>
        <v>Row 3 rings segments</v>
      </c>
      <c r="B55" s="641">
        <f>'GTDB(W501D5)'!D32</f>
        <v>13</v>
      </c>
      <c r="C55" s="642"/>
      <c r="D55" s="642" t="str">
        <f>IF('rotation(W501D5)'!C77=0," ",$B55*'rotation(W501D5)'!C77)</f>
        <v xml:space="preserve"> </v>
      </c>
      <c r="E55" s="642" t="str">
        <f>IF('rotation(W501D5)'!D77=0," ",$B55*'rotation(W501D5)'!D77)</f>
        <v xml:space="preserve"> </v>
      </c>
      <c r="F55" s="642" t="str">
        <f>IF('rotation(W501D5)'!E77=0," ",$B55*'rotation(W501D5)'!E77)</f>
        <v xml:space="preserve"> </v>
      </c>
      <c r="G55" s="642" t="str">
        <f>IF('rotation(W501D5)'!F77=0," ",$B55*'rotation(W501D5)'!F77)</f>
        <v xml:space="preserve"> </v>
      </c>
      <c r="H55" s="642" t="str">
        <f>IF('rotation(W501D5)'!G77=0," ",$B55*'rotation(W501D5)'!G77)</f>
        <v xml:space="preserve"> </v>
      </c>
      <c r="I55" s="642" t="str">
        <f>IF('rotation(W501D5)'!H77=0," ",$B55*'rotation(W501D5)'!H77)</f>
        <v xml:space="preserve"> </v>
      </c>
      <c r="J55" s="642" t="str">
        <f>IF('rotation(W501D5)'!I77=0," ",$B55*'rotation(W501D5)'!I77)</f>
        <v xml:space="preserve"> </v>
      </c>
      <c r="K55" s="642" t="str">
        <f>IF('rotation(W501D5)'!J77=0," ",$B55*'rotation(W501D5)'!J77)</f>
        <v xml:space="preserve"> </v>
      </c>
      <c r="L55" s="642" t="str">
        <f>IF('rotation(W501D5)'!K77=0," ",$B55*'rotation(W501D5)'!K77)</f>
        <v xml:space="preserve"> </v>
      </c>
      <c r="M55" s="642" t="str">
        <f>IF('rotation(W501D5)'!L77=0," ",$B55*'rotation(W501D5)'!L77)</f>
        <v xml:space="preserve"> </v>
      </c>
      <c r="N55" s="642" t="str">
        <f>IF('rotation(W501D5)'!M77=0," ",$B55*'rotation(W501D5)'!M77)</f>
        <v xml:space="preserve"> </v>
      </c>
      <c r="O55" s="642" t="str">
        <f>IF('rotation(W501D5)'!N77=0," ",$B55*'rotation(W501D5)'!N77)</f>
        <v xml:space="preserve"> </v>
      </c>
      <c r="P55" s="642" t="str">
        <f>IF('rotation(W501D5)'!O77=0," ",$B55*'rotation(W501D5)'!O77)</f>
        <v xml:space="preserve"> </v>
      </c>
      <c r="Q55" s="642" t="str">
        <f>IF('rotation(W501D5)'!P77=0," ",$B55*'rotation(W501D5)'!P77)</f>
        <v xml:space="preserve"> </v>
      </c>
      <c r="R55" s="642" t="str">
        <f>IF('rotation(W501D5)'!Q77=0," ",$B55*'rotation(W501D5)'!Q77)</f>
        <v xml:space="preserve"> </v>
      </c>
      <c r="S55" s="642" t="str">
        <f>IF('rotation(W501D5)'!R77=0," ",$B55*'rotation(W501D5)'!R77)</f>
        <v xml:space="preserve"> </v>
      </c>
      <c r="T55" s="642" t="str">
        <f>IF('rotation(W501D5)'!S77=0," ",$B55*'rotation(W501D5)'!S77)</f>
        <v xml:space="preserve"> </v>
      </c>
      <c r="U55" s="642" t="str">
        <f>IF('rotation(W501D5)'!T77=0," ",$B55*'rotation(W501D5)'!T77)</f>
        <v xml:space="preserve"> </v>
      </c>
      <c r="V55" s="642" t="str">
        <f>IF('rotation(W501D5)'!U77=0," ",$B55*'rotation(W501D5)'!U77)</f>
        <v xml:space="preserve"> </v>
      </c>
      <c r="W55" s="642" t="str">
        <f>IF('rotation(W501D5)'!V77=0," ",$B55*'rotation(W501D5)'!V77)</f>
        <v xml:space="preserve"> </v>
      </c>
      <c r="X55" s="21">
        <f t="shared" si="4"/>
        <v>0</v>
      </c>
    </row>
    <row r="56" spans="1:24" s="21" customFormat="1">
      <c r="A56" s="648" t="str">
        <f>'GTDB(W501D5)'!A33</f>
        <v>Row 4 rings segments</v>
      </c>
      <c r="B56" s="641">
        <f>'GTDB(W501D5)'!D33</f>
        <v>13</v>
      </c>
      <c r="C56" s="642"/>
      <c r="D56" s="642" t="str">
        <f>IF('rotation(W501D5)'!C81=0," ",$B56*'rotation(W501D5)'!C81)</f>
        <v xml:space="preserve"> </v>
      </c>
      <c r="E56" s="642" t="str">
        <f>IF('rotation(W501D5)'!D81=0," ",$B56*'rotation(W501D5)'!D81)</f>
        <v xml:space="preserve"> </v>
      </c>
      <c r="F56" s="642" t="str">
        <f>IF('rotation(W501D5)'!E81=0," ",$B56*'rotation(W501D5)'!E81)</f>
        <v xml:space="preserve"> </v>
      </c>
      <c r="G56" s="642" t="str">
        <f>IF('rotation(W501D5)'!F81=0," ",$B56*'rotation(W501D5)'!F81)</f>
        <v xml:space="preserve"> </v>
      </c>
      <c r="H56" s="642" t="str">
        <f>IF('rotation(W501D5)'!G81=0," ",$B56*'rotation(W501D5)'!G81)</f>
        <v xml:space="preserve"> </v>
      </c>
      <c r="I56" s="642" t="str">
        <f>IF('rotation(W501D5)'!H81=0," ",$B56*'rotation(W501D5)'!H81)</f>
        <v xml:space="preserve"> </v>
      </c>
      <c r="J56" s="642" t="str">
        <f>IF('rotation(W501D5)'!I81=0," ",$B56*'rotation(W501D5)'!I81)</f>
        <v xml:space="preserve"> </v>
      </c>
      <c r="K56" s="642" t="str">
        <f>IF('rotation(W501D5)'!J81=0," ",$B56*'rotation(W501D5)'!J81)</f>
        <v xml:space="preserve"> </v>
      </c>
      <c r="L56" s="642" t="str">
        <f>IF('rotation(W501D5)'!K81=0," ",$B56*'rotation(W501D5)'!K81)</f>
        <v xml:space="preserve"> </v>
      </c>
      <c r="M56" s="642" t="str">
        <f>IF('rotation(W501D5)'!L81=0," ",$B56*'rotation(W501D5)'!L81)</f>
        <v xml:space="preserve"> </v>
      </c>
      <c r="N56" s="642" t="str">
        <f>IF('rotation(W501D5)'!M81=0," ",$B56*'rotation(W501D5)'!M81)</f>
        <v xml:space="preserve"> </v>
      </c>
      <c r="O56" s="642" t="str">
        <f>IF('rotation(W501D5)'!N81=0," ",$B56*'rotation(W501D5)'!N81)</f>
        <v xml:space="preserve"> </v>
      </c>
      <c r="P56" s="642" t="str">
        <f>IF('rotation(W501D5)'!O81=0," ",$B56*'rotation(W501D5)'!O81)</f>
        <v xml:space="preserve"> </v>
      </c>
      <c r="Q56" s="642" t="str">
        <f>IF('rotation(W501D5)'!P81=0," ",$B56*'rotation(W501D5)'!P81)</f>
        <v xml:space="preserve"> </v>
      </c>
      <c r="R56" s="642" t="str">
        <f>IF('rotation(W501D5)'!Q81=0," ",$B56*'rotation(W501D5)'!Q81)</f>
        <v xml:space="preserve"> </v>
      </c>
      <c r="S56" s="642" t="str">
        <f>IF('rotation(W501D5)'!R81=0," ",$B56*'rotation(W501D5)'!R81)</f>
        <v xml:space="preserve"> </v>
      </c>
      <c r="T56" s="642" t="str">
        <f>IF('rotation(W501D5)'!S81=0," ",$B56*'rotation(W501D5)'!S81)</f>
        <v xml:space="preserve"> </v>
      </c>
      <c r="U56" s="642" t="str">
        <f>IF('rotation(W501D5)'!T81=0," ",$B56*'rotation(W501D5)'!T81)</f>
        <v xml:space="preserve"> </v>
      </c>
      <c r="V56" s="642" t="str">
        <f>IF('rotation(W501D5)'!U81=0," ",$B56*'rotation(W501D5)'!U81)</f>
        <v xml:space="preserve"> </v>
      </c>
      <c r="W56" s="642" t="str">
        <f>IF('rotation(W501D5)'!V81=0," ",$B56*'rotation(W501D5)'!V81)</f>
        <v xml:space="preserve"> </v>
      </c>
      <c r="X56" s="21">
        <f t="shared" si="4"/>
        <v>0</v>
      </c>
    </row>
    <row r="57" spans="1:24" s="21" customFormat="1">
      <c r="A57" s="648" t="str">
        <f>'GTDB(W501D5)'!A34</f>
        <v>Comp Rotor Blades</v>
      </c>
      <c r="B57" s="641">
        <f>'GTDB(W501D5)'!D34</f>
        <v>63</v>
      </c>
      <c r="C57" s="642"/>
      <c r="D57" s="642" t="str">
        <f>IF('rotation(W501D5)'!C85=0," ",$B57*'rotation(W501D5)'!C85)</f>
        <v xml:space="preserve"> </v>
      </c>
      <c r="E57" s="642" t="str">
        <f>IF('rotation(W501D5)'!D85=0," ",$B57*'rotation(W501D5)'!D85)</f>
        <v xml:space="preserve"> </v>
      </c>
      <c r="F57" s="642" t="str">
        <f>IF('rotation(W501D5)'!E85=0," ",$B57*'rotation(W501D5)'!E85)</f>
        <v xml:space="preserve"> </v>
      </c>
      <c r="G57" s="642" t="str">
        <f>IF('rotation(W501D5)'!F85=0," ",$B57*'rotation(W501D5)'!F85)</f>
        <v xml:space="preserve"> </v>
      </c>
      <c r="H57" s="642" t="str">
        <f>IF('rotation(W501D5)'!G85=0," ",$B57*'rotation(W501D5)'!G85)</f>
        <v xml:space="preserve"> </v>
      </c>
      <c r="I57" s="642" t="str">
        <f>IF('rotation(W501D5)'!H85=0," ",$B57*'rotation(W501D5)'!H85)</f>
        <v xml:space="preserve"> </v>
      </c>
      <c r="J57" s="642" t="str">
        <f>IF('rotation(W501D5)'!I85=0," ",$B57*'rotation(W501D5)'!I85)</f>
        <v xml:space="preserve"> </v>
      </c>
      <c r="K57" s="642" t="str">
        <f>IF('rotation(W501D5)'!J85=0," ",$B57*'rotation(W501D5)'!J85)</f>
        <v xml:space="preserve"> </v>
      </c>
      <c r="L57" s="642" t="str">
        <f>IF('rotation(W501D5)'!K85=0," ",$B57*'rotation(W501D5)'!K85)</f>
        <v xml:space="preserve"> </v>
      </c>
      <c r="M57" s="642" t="str">
        <f>IF('rotation(W501D5)'!L85=0," ",$B57*'rotation(W501D5)'!L85)</f>
        <v xml:space="preserve"> </v>
      </c>
      <c r="N57" s="642" t="str">
        <f>IF('rotation(W501D5)'!M85=0," ",$B57*'rotation(W501D5)'!M85)</f>
        <v xml:space="preserve"> </v>
      </c>
      <c r="O57" s="642" t="str">
        <f>IF('rotation(W501D5)'!N85=0," ",$B57*'rotation(W501D5)'!N85)</f>
        <v xml:space="preserve"> </v>
      </c>
      <c r="P57" s="642" t="str">
        <f>IF('rotation(W501D5)'!O85=0," ",$B57*'rotation(W501D5)'!O85)</f>
        <v xml:space="preserve"> </v>
      </c>
      <c r="Q57" s="642" t="str">
        <f>IF('rotation(W501D5)'!P85=0," ",$B57*'rotation(W501D5)'!P85)</f>
        <v xml:space="preserve"> </v>
      </c>
      <c r="R57" s="642" t="str">
        <f>IF('rotation(W501D5)'!Q85=0," ",$B57*'rotation(W501D5)'!Q85)</f>
        <v xml:space="preserve"> </v>
      </c>
      <c r="S57" s="642" t="str">
        <f>IF('rotation(W501D5)'!R85=0," ",$B57*'rotation(W501D5)'!R85)</f>
        <v xml:space="preserve"> </v>
      </c>
      <c r="T57" s="642" t="str">
        <f>IF('rotation(W501D5)'!S85=0," ",$B57*'rotation(W501D5)'!S85)</f>
        <v xml:space="preserve"> </v>
      </c>
      <c r="U57" s="642" t="str">
        <f>IF('rotation(W501D5)'!T85=0," ",$B57*'rotation(W501D5)'!T85)</f>
        <v xml:space="preserve"> </v>
      </c>
      <c r="V57" s="642" t="str">
        <f>IF('rotation(W501D5)'!U85=0," ",$B57*'rotation(W501D5)'!U85)</f>
        <v xml:space="preserve"> </v>
      </c>
      <c r="W57" s="642" t="str">
        <f>IF('rotation(W501D5)'!V85=0," ",$B57*'rotation(W501D5)'!V85)</f>
        <v xml:space="preserve"> </v>
      </c>
      <c r="X57" s="21">
        <f t="shared" si="4"/>
        <v>0</v>
      </c>
    </row>
    <row r="58" spans="1:24" s="21" customFormat="1">
      <c r="A58" s="648" t="str">
        <f>'GTDB(W501D5)'!A35</f>
        <v>Comp Diaphragms</v>
      </c>
      <c r="B58" s="641">
        <f>'GTDB(W501D5)'!D35</f>
        <v>63</v>
      </c>
      <c r="C58" s="642"/>
      <c r="D58" s="642" t="str">
        <f>IF('rotation(W501D5)'!C89=0," ",$B58*'rotation(W501D5)'!C89)</f>
        <v xml:space="preserve"> </v>
      </c>
      <c r="E58" s="642" t="str">
        <f>IF('rotation(W501D5)'!D89=0," ",$B58*'rotation(W501D5)'!D89)</f>
        <v xml:space="preserve"> </v>
      </c>
      <c r="F58" s="642" t="str">
        <f>IF('rotation(W501D5)'!E89=0," ",$B58*'rotation(W501D5)'!E89)</f>
        <v xml:space="preserve"> </v>
      </c>
      <c r="G58" s="642" t="str">
        <f>IF('rotation(W501D5)'!F89=0," ",$B58*'rotation(W501D5)'!F89)</f>
        <v xml:space="preserve"> </v>
      </c>
      <c r="H58" s="642" t="str">
        <f>IF('rotation(W501D5)'!G89=0," ",$B58*'rotation(W501D5)'!G89)</f>
        <v xml:space="preserve"> </v>
      </c>
      <c r="I58" s="642" t="str">
        <f>IF('rotation(W501D5)'!H89=0," ",$B58*'rotation(W501D5)'!H89)</f>
        <v xml:space="preserve"> </v>
      </c>
      <c r="J58" s="642" t="str">
        <f>IF('rotation(W501D5)'!I89=0," ",$B58*'rotation(W501D5)'!I89)</f>
        <v xml:space="preserve"> </v>
      </c>
      <c r="K58" s="642" t="str">
        <f>IF('rotation(W501D5)'!J89=0," ",$B58*'rotation(W501D5)'!J89)</f>
        <v xml:space="preserve"> </v>
      </c>
      <c r="L58" s="642" t="str">
        <f>IF('rotation(W501D5)'!K89=0," ",$B58*'rotation(W501D5)'!K89)</f>
        <v xml:space="preserve"> </v>
      </c>
      <c r="M58" s="642" t="str">
        <f>IF('rotation(W501D5)'!L89=0," ",$B58*'rotation(W501D5)'!L89)</f>
        <v xml:space="preserve"> </v>
      </c>
      <c r="N58" s="642" t="str">
        <f>IF('rotation(W501D5)'!M89=0," ",$B58*'rotation(W501D5)'!M89)</f>
        <v xml:space="preserve"> </v>
      </c>
      <c r="O58" s="642" t="str">
        <f>IF('rotation(W501D5)'!N89=0," ",$B58*'rotation(W501D5)'!N89)</f>
        <v xml:space="preserve"> </v>
      </c>
      <c r="P58" s="642" t="str">
        <f>IF('rotation(W501D5)'!O89=0," ",$B58*'rotation(W501D5)'!O89)</f>
        <v xml:space="preserve"> </v>
      </c>
      <c r="Q58" s="642" t="str">
        <f>IF('rotation(W501D5)'!P89=0," ",$B58*'rotation(W501D5)'!P89)</f>
        <v xml:space="preserve"> </v>
      </c>
      <c r="R58" s="642" t="str">
        <f>IF('rotation(W501D5)'!Q89=0," ",$B58*'rotation(W501D5)'!Q89)</f>
        <v xml:space="preserve"> </v>
      </c>
      <c r="S58" s="642" t="str">
        <f>IF('rotation(W501D5)'!R89=0," ",$B58*'rotation(W501D5)'!R89)</f>
        <v xml:space="preserve"> </v>
      </c>
      <c r="T58" s="642" t="str">
        <f>IF('rotation(W501D5)'!S89=0," ",$B58*'rotation(W501D5)'!S89)</f>
        <v xml:space="preserve"> </v>
      </c>
      <c r="U58" s="642" t="str">
        <f>IF('rotation(W501D5)'!T89=0," ",$B58*'rotation(W501D5)'!T89)</f>
        <v xml:space="preserve"> </v>
      </c>
      <c r="V58" s="642" t="str">
        <f>IF('rotation(W501D5)'!U89=0," ",$B58*'rotation(W501D5)'!U89)</f>
        <v xml:space="preserve"> </v>
      </c>
      <c r="W58" s="642" t="str">
        <f>IF('rotation(W501D5)'!V89=0," ",$B58*'rotation(W501D5)'!V89)</f>
        <v xml:space="preserve"> </v>
      </c>
      <c r="X58" s="21">
        <f t="shared" si="4"/>
        <v>0</v>
      </c>
    </row>
    <row r="59" spans="1:24" s="21" customFormat="1">
      <c r="A59" s="64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 spans="1:24" s="21" customFormat="1">
      <c r="A60" s="651" t="s">
        <v>911</v>
      </c>
      <c r="B60" s="643">
        <v>0.02</v>
      </c>
      <c r="C60" s="79"/>
      <c r="D60" s="79">
        <f t="shared" ref="D60:W60" si="5">SUM(D40:D58)*(1-$B60)</f>
        <v>0</v>
      </c>
      <c r="E60" s="79">
        <f t="shared" si="5"/>
        <v>0</v>
      </c>
      <c r="F60" s="79">
        <f t="shared" si="5"/>
        <v>0</v>
      </c>
      <c r="G60" s="79">
        <f t="shared" si="5"/>
        <v>0</v>
      </c>
      <c r="H60" s="79">
        <f t="shared" si="5"/>
        <v>0</v>
      </c>
      <c r="I60" s="79">
        <f t="shared" si="5"/>
        <v>0</v>
      </c>
      <c r="J60" s="79">
        <f t="shared" si="5"/>
        <v>0</v>
      </c>
      <c r="K60" s="79">
        <f t="shared" si="5"/>
        <v>0</v>
      </c>
      <c r="L60" s="79">
        <f t="shared" si="5"/>
        <v>0</v>
      </c>
      <c r="M60" s="79">
        <f t="shared" si="5"/>
        <v>0</v>
      </c>
      <c r="N60" s="79">
        <f t="shared" si="5"/>
        <v>0</v>
      </c>
      <c r="O60" s="79">
        <f t="shared" si="5"/>
        <v>0</v>
      </c>
      <c r="P60" s="79">
        <f t="shared" si="5"/>
        <v>0</v>
      </c>
      <c r="Q60" s="79">
        <f t="shared" si="5"/>
        <v>0</v>
      </c>
      <c r="R60" s="79">
        <f t="shared" si="5"/>
        <v>0</v>
      </c>
      <c r="S60" s="79">
        <f t="shared" si="5"/>
        <v>0</v>
      </c>
      <c r="T60" s="79">
        <f t="shared" si="5"/>
        <v>0</v>
      </c>
      <c r="U60" s="79">
        <f t="shared" si="5"/>
        <v>0</v>
      </c>
      <c r="V60" s="79">
        <f t="shared" si="5"/>
        <v>0</v>
      </c>
      <c r="W60" s="79">
        <f t="shared" si="5"/>
        <v>0</v>
      </c>
      <c r="X60" s="21">
        <f>SUM(D60:W60)</f>
        <v>0</v>
      </c>
    </row>
    <row r="61" spans="1:24" s="21" customFormat="1">
      <c r="A61" s="651" t="s">
        <v>912</v>
      </c>
      <c r="B61" s="643">
        <v>0.01</v>
      </c>
      <c r="C61" s="79"/>
      <c r="D61" s="79">
        <f t="shared" ref="D61:W61" si="6">D60*(1+$B61)</f>
        <v>0</v>
      </c>
      <c r="E61" s="79">
        <f t="shared" si="6"/>
        <v>0</v>
      </c>
      <c r="F61" s="79">
        <f t="shared" si="6"/>
        <v>0</v>
      </c>
      <c r="G61" s="79">
        <f t="shared" si="6"/>
        <v>0</v>
      </c>
      <c r="H61" s="79">
        <f t="shared" si="6"/>
        <v>0</v>
      </c>
      <c r="I61" s="79">
        <f t="shared" si="6"/>
        <v>0</v>
      </c>
      <c r="J61" s="79">
        <f t="shared" si="6"/>
        <v>0</v>
      </c>
      <c r="K61" s="79">
        <f t="shared" si="6"/>
        <v>0</v>
      </c>
      <c r="L61" s="79">
        <f t="shared" si="6"/>
        <v>0</v>
      </c>
      <c r="M61" s="79">
        <f t="shared" si="6"/>
        <v>0</v>
      </c>
      <c r="N61" s="79">
        <f t="shared" si="6"/>
        <v>0</v>
      </c>
      <c r="O61" s="79">
        <f t="shared" si="6"/>
        <v>0</v>
      </c>
      <c r="P61" s="79">
        <f t="shared" si="6"/>
        <v>0</v>
      </c>
      <c r="Q61" s="79">
        <f t="shared" si="6"/>
        <v>0</v>
      </c>
      <c r="R61" s="79">
        <f t="shared" si="6"/>
        <v>0</v>
      </c>
      <c r="S61" s="79">
        <f t="shared" si="6"/>
        <v>0</v>
      </c>
      <c r="T61" s="79">
        <f t="shared" si="6"/>
        <v>0</v>
      </c>
      <c r="U61" s="79">
        <f t="shared" si="6"/>
        <v>0</v>
      </c>
      <c r="V61" s="79">
        <f t="shared" si="6"/>
        <v>0</v>
      </c>
      <c r="W61" s="79">
        <f t="shared" si="6"/>
        <v>0</v>
      </c>
      <c r="X61" s="644">
        <f>SUM(D61:W61)</f>
        <v>0</v>
      </c>
    </row>
    <row r="62" spans="1:24" s="21" customFormat="1">
      <c r="A62" s="640"/>
    </row>
    <row r="63" spans="1:24" s="21" customFormat="1">
      <c r="A63" s="640" t="s">
        <v>913</v>
      </c>
      <c r="D63" s="21">
        <f t="shared" ref="D63:W63" si="7">D10+D35+D61</f>
        <v>0</v>
      </c>
      <c r="E63" s="21">
        <f t="shared" si="7"/>
        <v>0</v>
      </c>
      <c r="F63" s="21">
        <f t="shared" si="7"/>
        <v>0</v>
      </c>
      <c r="G63" s="21">
        <f t="shared" si="7"/>
        <v>0</v>
      </c>
      <c r="H63" s="21">
        <f t="shared" si="7"/>
        <v>0</v>
      </c>
      <c r="I63" s="21">
        <f t="shared" si="7"/>
        <v>0</v>
      </c>
      <c r="J63" s="21">
        <f t="shared" si="7"/>
        <v>0</v>
      </c>
      <c r="K63" s="21">
        <f t="shared" si="7"/>
        <v>0</v>
      </c>
      <c r="L63" s="21">
        <f t="shared" si="7"/>
        <v>0</v>
      </c>
      <c r="M63" s="21">
        <f t="shared" si="7"/>
        <v>0</v>
      </c>
      <c r="N63" s="21">
        <f t="shared" si="7"/>
        <v>0</v>
      </c>
      <c r="O63" s="21">
        <f t="shared" si="7"/>
        <v>0</v>
      </c>
      <c r="P63" s="21">
        <f t="shared" si="7"/>
        <v>0</v>
      </c>
      <c r="Q63" s="21">
        <f t="shared" si="7"/>
        <v>0</v>
      </c>
      <c r="R63" s="21">
        <f t="shared" si="7"/>
        <v>0</v>
      </c>
      <c r="S63" s="21">
        <f t="shared" si="7"/>
        <v>0</v>
      </c>
      <c r="T63" s="21">
        <f t="shared" si="7"/>
        <v>0</v>
      </c>
      <c r="U63" s="21">
        <f t="shared" si="7"/>
        <v>0</v>
      </c>
      <c r="V63" s="21">
        <f t="shared" si="7"/>
        <v>0</v>
      </c>
      <c r="W63" s="21">
        <f t="shared" si="7"/>
        <v>0</v>
      </c>
      <c r="X63" s="724">
        <f>SUM(D63:W63)</f>
        <v>0</v>
      </c>
    </row>
    <row r="64" spans="1:24" s="21" customFormat="1">
      <c r="A64" s="640"/>
    </row>
    <row r="65" spans="1:1" s="21" customFormat="1">
      <c r="A65" s="640"/>
    </row>
    <row r="66" spans="1:1" s="21" customFormat="1">
      <c r="A66" s="640"/>
    </row>
    <row r="67" spans="1:1" s="21" customFormat="1">
      <c r="A67" s="640"/>
    </row>
    <row r="68" spans="1:1" s="21" customFormat="1">
      <c r="A68" s="640"/>
    </row>
    <row r="69" spans="1:1" s="21" customFormat="1">
      <c r="A69" s="640"/>
    </row>
    <row r="70" spans="1:1" s="21" customFormat="1">
      <c r="A70" s="640"/>
    </row>
    <row r="71" spans="1:1" s="21" customFormat="1">
      <c r="A71" s="640"/>
    </row>
    <row r="72" spans="1:1" s="21" customFormat="1">
      <c r="A72" s="640"/>
    </row>
    <row r="73" spans="1:1" s="21" customFormat="1">
      <c r="A73" s="640"/>
    </row>
    <row r="74" spans="1:1" s="21" customFormat="1">
      <c r="A74" s="640"/>
    </row>
    <row r="75" spans="1:1" s="21" customFormat="1">
      <c r="A75" s="640"/>
    </row>
    <row r="76" spans="1:1" s="21" customFormat="1">
      <c r="A76" s="640"/>
    </row>
  </sheetData>
  <pageMargins left="0.75" right="0.75" top="1" bottom="1" header="0.5" footer="0.5"/>
  <pageSetup scale="53" orientation="landscape" r:id="rId1"/>
  <headerFooter alignWithMargins="0">
    <oddFooter>&amp;LRichard Bickings
&amp;D&amp;CPage &amp;P&amp;R&amp;F
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2:AF92"/>
  <sheetViews>
    <sheetView topLeftCell="A26" zoomScale="75" zoomScaleNormal="75" workbookViewId="0">
      <selection activeCell="X8" sqref="X8"/>
    </sheetView>
  </sheetViews>
  <sheetFormatPr defaultRowHeight="12.75"/>
  <cols>
    <col min="1" max="1" width="12.5703125" customWidth="1"/>
    <col min="3" max="3" width="9.28515625" bestFit="1" customWidth="1"/>
    <col min="5" max="5" width="9.28515625" customWidth="1"/>
    <col min="10" max="10" width="7.5703125" customWidth="1"/>
    <col min="11" max="11" width="7.42578125" customWidth="1"/>
    <col min="23" max="23" width="19" customWidth="1"/>
    <col min="24" max="24" width="10.42578125" customWidth="1"/>
    <col min="26" max="26" width="10.7109375" customWidth="1"/>
    <col min="28" max="28" width="10.7109375" customWidth="1"/>
  </cols>
  <sheetData>
    <row r="2" spans="1:32" ht="20.25">
      <c r="W2" s="652" t="s">
        <v>914</v>
      </c>
    </row>
    <row r="4" spans="1:32" ht="20.25">
      <c r="A4" s="652" t="s">
        <v>915</v>
      </c>
      <c r="B4" s="132"/>
      <c r="C4" s="132"/>
      <c r="D4" s="132"/>
      <c r="W4" s="653" t="str">
        <f>'GTDB(W501D5)'!B4</f>
        <v>W501D5</v>
      </c>
      <c r="X4" s="140" t="s">
        <v>916</v>
      </c>
      <c r="Y4" s="140" t="s">
        <v>917</v>
      </c>
      <c r="Z4" s="102" t="s">
        <v>278</v>
      </c>
      <c r="AA4" s="140" t="s">
        <v>918</v>
      </c>
    </row>
    <row r="5" spans="1:32">
      <c r="A5" s="140" t="s">
        <v>919</v>
      </c>
      <c r="B5" s="140" t="s">
        <v>278</v>
      </c>
      <c r="C5" s="140">
        <v>1</v>
      </c>
      <c r="D5" s="140">
        <v>2</v>
      </c>
      <c r="E5" s="140">
        <v>3</v>
      </c>
      <c r="F5" s="140">
        <v>4</v>
      </c>
      <c r="G5" s="140">
        <v>5</v>
      </c>
      <c r="H5" s="140">
        <v>6</v>
      </c>
      <c r="I5" s="140">
        <v>7</v>
      </c>
      <c r="J5" s="140">
        <v>8</v>
      </c>
      <c r="K5" s="140">
        <v>9</v>
      </c>
      <c r="L5" s="140">
        <v>10</v>
      </c>
      <c r="M5" s="140">
        <v>11</v>
      </c>
      <c r="N5" s="140">
        <v>12</v>
      </c>
      <c r="O5" s="140">
        <v>13</v>
      </c>
      <c r="P5" s="140">
        <v>14</v>
      </c>
      <c r="Q5" s="140">
        <v>15</v>
      </c>
      <c r="R5" s="140">
        <v>16</v>
      </c>
      <c r="S5" s="140">
        <v>17</v>
      </c>
      <c r="T5" s="140">
        <v>18</v>
      </c>
      <c r="U5" s="140">
        <v>19</v>
      </c>
      <c r="V5" s="420">
        <v>20</v>
      </c>
      <c r="W5" s="603" t="s">
        <v>920</v>
      </c>
      <c r="X5" s="654">
        <v>20</v>
      </c>
      <c r="Y5" s="654">
        <f>20-X5</f>
        <v>0</v>
      </c>
      <c r="Z5" s="102" t="s">
        <v>278</v>
      </c>
      <c r="AA5" s="655"/>
    </row>
    <row r="6" spans="1:32" ht="13.5" thickBot="1">
      <c r="A6" s="140" t="s">
        <v>921</v>
      </c>
      <c r="B6" s="617"/>
      <c r="C6" s="140">
        <f t="shared" ref="C6:V6" si="0">B6+IF(C5&gt;$X$5,$Y$6,$X$6)</f>
        <v>0</v>
      </c>
      <c r="D6" s="140">
        <f t="shared" si="0"/>
        <v>0</v>
      </c>
      <c r="E6" s="140">
        <f t="shared" si="0"/>
        <v>0</v>
      </c>
      <c r="F6" s="140">
        <f t="shared" si="0"/>
        <v>0</v>
      </c>
      <c r="G6" s="140">
        <f t="shared" si="0"/>
        <v>0</v>
      </c>
      <c r="H6" s="140">
        <f t="shared" si="0"/>
        <v>0</v>
      </c>
      <c r="I6" s="140">
        <f t="shared" si="0"/>
        <v>0</v>
      </c>
      <c r="J6" s="140">
        <f t="shared" si="0"/>
        <v>0</v>
      </c>
      <c r="K6" s="140">
        <f t="shared" si="0"/>
        <v>0</v>
      </c>
      <c r="L6" s="140">
        <f t="shared" si="0"/>
        <v>0</v>
      </c>
      <c r="M6" s="140">
        <f t="shared" si="0"/>
        <v>0</v>
      </c>
      <c r="N6" s="140">
        <f t="shared" si="0"/>
        <v>0</v>
      </c>
      <c r="O6" s="140">
        <f t="shared" si="0"/>
        <v>0</v>
      </c>
      <c r="P6" s="140">
        <f t="shared" si="0"/>
        <v>0</v>
      </c>
      <c r="Q6" s="140">
        <f t="shared" si="0"/>
        <v>0</v>
      </c>
      <c r="R6" s="140">
        <f t="shared" si="0"/>
        <v>0</v>
      </c>
      <c r="S6" s="140">
        <f t="shared" si="0"/>
        <v>0</v>
      </c>
      <c r="T6" s="140">
        <f t="shared" si="0"/>
        <v>0</v>
      </c>
      <c r="U6" s="140">
        <f t="shared" si="0"/>
        <v>0</v>
      </c>
      <c r="V6" s="140">
        <f t="shared" si="0"/>
        <v>0</v>
      </c>
      <c r="W6" s="656" t="s">
        <v>922</v>
      </c>
      <c r="X6" s="657">
        <f>IF(X7=0,0,Scope!F41)</f>
        <v>0</v>
      </c>
      <c r="Y6" s="658">
        <v>8000</v>
      </c>
      <c r="Z6" s="659"/>
      <c r="AA6" s="655"/>
      <c r="AD6" s="660">
        <v>1</v>
      </c>
    </row>
    <row r="7" spans="1:32" ht="13.5" thickBot="1">
      <c r="A7" s="102"/>
      <c r="B7" s="102" t="s">
        <v>278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661" t="s">
        <v>923</v>
      </c>
      <c r="X7" s="662">
        <v>0</v>
      </c>
      <c r="Y7" s="663"/>
      <c r="Z7" s="102"/>
      <c r="AA7" s="664"/>
    </row>
    <row r="8" spans="1:32">
      <c r="A8" s="140" t="s">
        <v>924</v>
      </c>
      <c r="B8" s="140">
        <v>0</v>
      </c>
      <c r="C8" s="140">
        <f t="shared" ref="C8:V8" si="1">( INT(C6/$X8)*$X$7-INT(B6/$X8)*$X$7-C9-C10)</f>
        <v>0</v>
      </c>
      <c r="D8" s="140">
        <f t="shared" si="1"/>
        <v>0</v>
      </c>
      <c r="E8" s="140">
        <f t="shared" si="1"/>
        <v>0</v>
      </c>
      <c r="F8" s="140">
        <f t="shared" si="1"/>
        <v>0</v>
      </c>
      <c r="G8" s="140">
        <f t="shared" si="1"/>
        <v>0</v>
      </c>
      <c r="H8" s="140">
        <f t="shared" si="1"/>
        <v>0</v>
      </c>
      <c r="I8" s="140">
        <f t="shared" si="1"/>
        <v>0</v>
      </c>
      <c r="J8" s="140">
        <f t="shared" si="1"/>
        <v>0</v>
      </c>
      <c r="K8" s="140">
        <f t="shared" si="1"/>
        <v>0</v>
      </c>
      <c r="L8" s="140">
        <f t="shared" si="1"/>
        <v>0</v>
      </c>
      <c r="M8" s="140">
        <f t="shared" si="1"/>
        <v>0</v>
      </c>
      <c r="N8" s="140">
        <f t="shared" si="1"/>
        <v>0</v>
      </c>
      <c r="O8" s="140">
        <f t="shared" si="1"/>
        <v>0</v>
      </c>
      <c r="P8" s="140">
        <f t="shared" si="1"/>
        <v>0</v>
      </c>
      <c r="Q8" s="140">
        <f t="shared" si="1"/>
        <v>0</v>
      </c>
      <c r="R8" s="140">
        <f t="shared" si="1"/>
        <v>0</v>
      </c>
      <c r="S8" s="140">
        <f t="shared" si="1"/>
        <v>0</v>
      </c>
      <c r="T8" s="140">
        <f t="shared" si="1"/>
        <v>0</v>
      </c>
      <c r="U8" s="140">
        <f t="shared" si="1"/>
        <v>0</v>
      </c>
      <c r="V8" s="420">
        <f t="shared" si="1"/>
        <v>0</v>
      </c>
      <c r="W8" s="665" t="s">
        <v>925</v>
      </c>
      <c r="X8" s="666">
        <f>IF($AD$6=1,'GTDB(W501D5)'!B12,'GTDB(W501D5)'!G12)</f>
        <v>8000</v>
      </c>
      <c r="Y8" s="663"/>
      <c r="Z8" s="663"/>
    </row>
    <row r="9" spans="1:32">
      <c r="A9" s="140" t="s">
        <v>1223</v>
      </c>
      <c r="B9" s="140">
        <v>0</v>
      </c>
      <c r="C9" s="140">
        <f t="shared" ref="C9:V9" si="2">(INT(C6/$X9)-INT(B6/$X9))*$X$7-C10</f>
        <v>0</v>
      </c>
      <c r="D9" s="140">
        <f t="shared" si="2"/>
        <v>0</v>
      </c>
      <c r="E9" s="140">
        <f t="shared" si="2"/>
        <v>0</v>
      </c>
      <c r="F9" s="140">
        <f t="shared" si="2"/>
        <v>0</v>
      </c>
      <c r="G9" s="140">
        <f t="shared" si="2"/>
        <v>0</v>
      </c>
      <c r="H9" s="140">
        <f t="shared" si="2"/>
        <v>0</v>
      </c>
      <c r="I9" s="140">
        <f t="shared" si="2"/>
        <v>0</v>
      </c>
      <c r="J9" s="140">
        <f t="shared" si="2"/>
        <v>0</v>
      </c>
      <c r="K9" s="140">
        <f t="shared" si="2"/>
        <v>0</v>
      </c>
      <c r="L9" s="140">
        <f t="shared" si="2"/>
        <v>0</v>
      </c>
      <c r="M9" s="140">
        <f t="shared" si="2"/>
        <v>0</v>
      </c>
      <c r="N9" s="140">
        <f t="shared" si="2"/>
        <v>0</v>
      </c>
      <c r="O9" s="140">
        <f t="shared" si="2"/>
        <v>0</v>
      </c>
      <c r="P9" s="140">
        <f t="shared" si="2"/>
        <v>0</v>
      </c>
      <c r="Q9" s="140">
        <f t="shared" si="2"/>
        <v>0</v>
      </c>
      <c r="R9" s="140">
        <f t="shared" si="2"/>
        <v>0</v>
      </c>
      <c r="S9" s="140">
        <f t="shared" si="2"/>
        <v>0</v>
      </c>
      <c r="T9" s="140">
        <f t="shared" si="2"/>
        <v>0</v>
      </c>
      <c r="U9" s="140">
        <f t="shared" si="2"/>
        <v>0</v>
      </c>
      <c r="V9" s="420">
        <f t="shared" si="2"/>
        <v>0</v>
      </c>
      <c r="W9" s="667" t="s">
        <v>926</v>
      </c>
      <c r="X9" s="666">
        <f>IF($AD$6=1,'GTDB(W501D5)'!B13,'GTDB(W501D5)'!G13)</f>
        <v>24000</v>
      </c>
      <c r="Y9" s="663"/>
      <c r="Z9" s="663"/>
    </row>
    <row r="10" spans="1:32">
      <c r="A10" s="140" t="s">
        <v>1224</v>
      </c>
      <c r="B10" s="140">
        <v>0</v>
      </c>
      <c r="C10" s="140">
        <f t="shared" ref="C10:V10" si="3">(INT(C6/$X10)-INT(B6/$X10))*$X$7</f>
        <v>0</v>
      </c>
      <c r="D10" s="140">
        <f t="shared" si="3"/>
        <v>0</v>
      </c>
      <c r="E10" s="140">
        <f t="shared" si="3"/>
        <v>0</v>
      </c>
      <c r="F10" s="140">
        <f t="shared" si="3"/>
        <v>0</v>
      </c>
      <c r="G10" s="140">
        <f t="shared" si="3"/>
        <v>0</v>
      </c>
      <c r="H10" s="140">
        <f t="shared" si="3"/>
        <v>0</v>
      </c>
      <c r="I10" s="140">
        <f t="shared" si="3"/>
        <v>0</v>
      </c>
      <c r="J10" s="140">
        <f t="shared" si="3"/>
        <v>0</v>
      </c>
      <c r="K10" s="140">
        <f t="shared" si="3"/>
        <v>0</v>
      </c>
      <c r="L10" s="140">
        <f t="shared" si="3"/>
        <v>0</v>
      </c>
      <c r="M10" s="140">
        <f t="shared" si="3"/>
        <v>0</v>
      </c>
      <c r="N10" s="140">
        <f t="shared" si="3"/>
        <v>0</v>
      </c>
      <c r="O10" s="140">
        <f t="shared" si="3"/>
        <v>0</v>
      </c>
      <c r="P10" s="140">
        <f t="shared" si="3"/>
        <v>0</v>
      </c>
      <c r="Q10" s="140">
        <f t="shared" si="3"/>
        <v>0</v>
      </c>
      <c r="R10" s="140">
        <f t="shared" si="3"/>
        <v>0</v>
      </c>
      <c r="S10" s="140">
        <f t="shared" si="3"/>
        <v>0</v>
      </c>
      <c r="T10" s="140">
        <f t="shared" si="3"/>
        <v>0</v>
      </c>
      <c r="U10" s="140">
        <f t="shared" si="3"/>
        <v>0</v>
      </c>
      <c r="V10" s="420">
        <f t="shared" si="3"/>
        <v>0</v>
      </c>
      <c r="W10" s="667" t="s">
        <v>927</v>
      </c>
      <c r="X10" s="666">
        <f>IF($AD$6=1,'GTDB(W501D5)'!B14,'GTDB(W501D5)'!G14)</f>
        <v>48000</v>
      </c>
      <c r="Y10" s="663"/>
      <c r="Z10" s="663"/>
      <c r="AA10" t="s">
        <v>278</v>
      </c>
    </row>
    <row r="11" spans="1:32" ht="11.2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668"/>
      <c r="X11" s="669"/>
      <c r="Y11" s="663"/>
      <c r="Z11" s="663"/>
      <c r="AF11" s="670"/>
    </row>
    <row r="12" spans="1:32" hidden="1">
      <c r="A12" s="140" t="s">
        <v>924</v>
      </c>
      <c r="B12" s="140"/>
      <c r="C12" s="140" t="str">
        <f t="shared" ref="C12:V12" si="4">IF(C8=0," ",IF(C8/$X$7=1,"C",C8/$X$7&amp;"C"))</f>
        <v xml:space="preserve"> </v>
      </c>
      <c r="D12" s="140" t="str">
        <f t="shared" si="4"/>
        <v xml:space="preserve"> </v>
      </c>
      <c r="E12" s="140" t="str">
        <f t="shared" si="4"/>
        <v xml:space="preserve"> </v>
      </c>
      <c r="F12" s="140" t="str">
        <f t="shared" si="4"/>
        <v xml:space="preserve"> </v>
      </c>
      <c r="G12" s="140" t="str">
        <f t="shared" si="4"/>
        <v xml:space="preserve"> </v>
      </c>
      <c r="H12" s="140" t="str">
        <f t="shared" si="4"/>
        <v xml:space="preserve"> </v>
      </c>
      <c r="I12" s="140" t="str">
        <f t="shared" si="4"/>
        <v xml:space="preserve"> </v>
      </c>
      <c r="J12" s="140" t="str">
        <f t="shared" si="4"/>
        <v xml:space="preserve"> </v>
      </c>
      <c r="K12" s="140" t="str">
        <f t="shared" si="4"/>
        <v xml:space="preserve"> </v>
      </c>
      <c r="L12" s="140" t="str">
        <f t="shared" si="4"/>
        <v xml:space="preserve"> </v>
      </c>
      <c r="M12" s="140" t="str">
        <f t="shared" si="4"/>
        <v xml:space="preserve"> </v>
      </c>
      <c r="N12" s="140" t="str">
        <f t="shared" si="4"/>
        <v xml:space="preserve"> </v>
      </c>
      <c r="O12" s="140" t="str">
        <f t="shared" si="4"/>
        <v xml:space="preserve"> </v>
      </c>
      <c r="P12" s="140" t="str">
        <f t="shared" si="4"/>
        <v xml:space="preserve"> </v>
      </c>
      <c r="Q12" s="140" t="str">
        <f t="shared" si="4"/>
        <v xml:space="preserve"> </v>
      </c>
      <c r="R12" s="140" t="str">
        <f t="shared" si="4"/>
        <v xml:space="preserve"> </v>
      </c>
      <c r="S12" s="140" t="str">
        <f t="shared" si="4"/>
        <v xml:space="preserve"> </v>
      </c>
      <c r="T12" s="140" t="str">
        <f t="shared" si="4"/>
        <v xml:space="preserve"> </v>
      </c>
      <c r="U12" s="140" t="str">
        <f t="shared" si="4"/>
        <v xml:space="preserve"> </v>
      </c>
      <c r="V12" s="140" t="str">
        <f t="shared" si="4"/>
        <v xml:space="preserve"> </v>
      </c>
      <c r="W12" s="615"/>
      <c r="X12" s="671"/>
      <c r="Y12" s="672"/>
      <c r="Z12" s="672"/>
    </row>
    <row r="13" spans="1:32" hidden="1">
      <c r="A13" s="140" t="s">
        <v>1223</v>
      </c>
      <c r="B13" s="140"/>
      <c r="C13" s="140" t="str">
        <f t="shared" ref="C13:V13" si="5">IF(C9=0," ",IF(C9/$X$7=1,"H",C9/$X$7&amp;"H"))</f>
        <v xml:space="preserve"> </v>
      </c>
      <c r="D13" s="140" t="str">
        <f t="shared" si="5"/>
        <v xml:space="preserve"> </v>
      </c>
      <c r="E13" s="140" t="str">
        <f t="shared" si="5"/>
        <v xml:space="preserve"> </v>
      </c>
      <c r="F13" s="140" t="str">
        <f t="shared" si="5"/>
        <v xml:space="preserve"> </v>
      </c>
      <c r="G13" s="140" t="str">
        <f t="shared" si="5"/>
        <v xml:space="preserve"> </v>
      </c>
      <c r="H13" s="140" t="str">
        <f t="shared" si="5"/>
        <v xml:space="preserve"> </v>
      </c>
      <c r="I13" s="140" t="str">
        <f t="shared" si="5"/>
        <v xml:space="preserve"> </v>
      </c>
      <c r="J13" s="140" t="str">
        <f t="shared" si="5"/>
        <v xml:space="preserve"> </v>
      </c>
      <c r="K13" s="140" t="str">
        <f t="shared" si="5"/>
        <v xml:space="preserve"> </v>
      </c>
      <c r="L13" s="140" t="str">
        <f t="shared" si="5"/>
        <v xml:space="preserve"> </v>
      </c>
      <c r="M13" s="140" t="str">
        <f t="shared" si="5"/>
        <v xml:space="preserve"> </v>
      </c>
      <c r="N13" s="140" t="str">
        <f t="shared" si="5"/>
        <v xml:space="preserve"> </v>
      </c>
      <c r="O13" s="140" t="str">
        <f t="shared" si="5"/>
        <v xml:space="preserve"> </v>
      </c>
      <c r="P13" s="140" t="str">
        <f t="shared" si="5"/>
        <v xml:space="preserve"> </v>
      </c>
      <c r="Q13" s="140" t="str">
        <f t="shared" si="5"/>
        <v xml:space="preserve"> </v>
      </c>
      <c r="R13" s="140" t="str">
        <f t="shared" si="5"/>
        <v xml:space="preserve"> </v>
      </c>
      <c r="S13" s="140" t="str">
        <f t="shared" si="5"/>
        <v xml:space="preserve"> </v>
      </c>
      <c r="T13" s="140" t="str">
        <f t="shared" si="5"/>
        <v xml:space="preserve"> </v>
      </c>
      <c r="U13" s="140" t="str">
        <f t="shared" si="5"/>
        <v xml:space="preserve"> </v>
      </c>
      <c r="V13" s="140" t="str">
        <f t="shared" si="5"/>
        <v xml:space="preserve"> </v>
      </c>
      <c r="W13" s="615"/>
      <c r="X13" s="671"/>
      <c r="Y13" s="672"/>
      <c r="Z13" s="672"/>
    </row>
    <row r="14" spans="1:32" ht="12.75" hidden="1" customHeight="1">
      <c r="A14" s="140" t="s">
        <v>1224</v>
      </c>
      <c r="B14" s="140"/>
      <c r="C14" s="140" t="str">
        <f t="shared" ref="C14:V14" si="6">IF(C10=0," ",IF(C10/$X$7=1,"M",C10/$X$7&amp;"M"))</f>
        <v xml:space="preserve"> </v>
      </c>
      <c r="D14" s="140" t="str">
        <f t="shared" si="6"/>
        <v xml:space="preserve"> </v>
      </c>
      <c r="E14" s="140" t="str">
        <f t="shared" si="6"/>
        <v xml:space="preserve"> </v>
      </c>
      <c r="F14" s="140" t="str">
        <f t="shared" si="6"/>
        <v xml:space="preserve"> </v>
      </c>
      <c r="G14" s="140" t="str">
        <f t="shared" si="6"/>
        <v xml:space="preserve"> </v>
      </c>
      <c r="H14" s="140" t="str">
        <f t="shared" si="6"/>
        <v xml:space="preserve"> </v>
      </c>
      <c r="I14" s="140" t="str">
        <f t="shared" si="6"/>
        <v xml:space="preserve"> </v>
      </c>
      <c r="J14" s="140" t="str">
        <f t="shared" si="6"/>
        <v xml:space="preserve"> </v>
      </c>
      <c r="K14" s="140" t="str">
        <f t="shared" si="6"/>
        <v xml:space="preserve"> </v>
      </c>
      <c r="L14" s="140" t="str">
        <f t="shared" si="6"/>
        <v xml:space="preserve"> </v>
      </c>
      <c r="M14" s="140" t="str">
        <f t="shared" si="6"/>
        <v xml:space="preserve"> </v>
      </c>
      <c r="N14" s="140" t="str">
        <f t="shared" si="6"/>
        <v xml:space="preserve"> </v>
      </c>
      <c r="O14" s="140" t="str">
        <f t="shared" si="6"/>
        <v xml:space="preserve"> </v>
      </c>
      <c r="P14" s="140" t="str">
        <f t="shared" si="6"/>
        <v xml:space="preserve"> </v>
      </c>
      <c r="Q14" s="140" t="str">
        <f t="shared" si="6"/>
        <v xml:space="preserve"> </v>
      </c>
      <c r="R14" s="140" t="str">
        <f t="shared" si="6"/>
        <v xml:space="preserve"> </v>
      </c>
      <c r="S14" s="140" t="str">
        <f t="shared" si="6"/>
        <v xml:space="preserve"> </v>
      </c>
      <c r="T14" s="140" t="str">
        <f t="shared" si="6"/>
        <v xml:space="preserve"> </v>
      </c>
      <c r="U14" s="140" t="str">
        <f t="shared" si="6"/>
        <v xml:space="preserve"> </v>
      </c>
      <c r="V14" s="140" t="str">
        <f t="shared" si="6"/>
        <v xml:space="preserve"> </v>
      </c>
      <c r="W14" s="78" t="s">
        <v>278</v>
      </c>
    </row>
    <row r="15" spans="1:32" ht="36.7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673"/>
      <c r="W15" s="674" t="s">
        <v>928</v>
      </c>
      <c r="X15" s="675" t="s">
        <v>929</v>
      </c>
      <c r="Y15" s="675" t="s">
        <v>930</v>
      </c>
      <c r="Z15" s="675" t="s">
        <v>931</v>
      </c>
      <c r="AA15" s="676" t="s">
        <v>932</v>
      </c>
      <c r="AB15" s="675" t="s">
        <v>933</v>
      </c>
    </row>
    <row r="16" spans="1:32" hidden="1">
      <c r="A16" s="140" t="s">
        <v>934</v>
      </c>
      <c r="B16" s="603"/>
      <c r="C16" s="140">
        <f t="shared" ref="C16:V16" si="7">INT((INT(C$6/$X17)*$X$7+$X$7+$Z17-1)/($X$7+$Z17)/$Y17)</f>
        <v>0</v>
      </c>
      <c r="D16" s="140">
        <f t="shared" si="7"/>
        <v>0</v>
      </c>
      <c r="E16" s="140">
        <f t="shared" si="7"/>
        <v>0</v>
      </c>
      <c r="F16" s="140">
        <f t="shared" si="7"/>
        <v>0</v>
      </c>
      <c r="G16" s="140">
        <f t="shared" si="7"/>
        <v>0</v>
      </c>
      <c r="H16" s="140">
        <f t="shared" si="7"/>
        <v>0</v>
      </c>
      <c r="I16" s="140">
        <f t="shared" si="7"/>
        <v>0</v>
      </c>
      <c r="J16" s="140">
        <f t="shared" si="7"/>
        <v>0</v>
      </c>
      <c r="K16" s="140">
        <f t="shared" si="7"/>
        <v>0</v>
      </c>
      <c r="L16" s="140">
        <f t="shared" si="7"/>
        <v>0</v>
      </c>
      <c r="M16" s="140">
        <f t="shared" si="7"/>
        <v>0</v>
      </c>
      <c r="N16" s="140">
        <f t="shared" si="7"/>
        <v>0</v>
      </c>
      <c r="O16" s="140">
        <f t="shared" si="7"/>
        <v>0</v>
      </c>
      <c r="P16" s="140">
        <f t="shared" si="7"/>
        <v>0</v>
      </c>
      <c r="Q16" s="140">
        <f t="shared" si="7"/>
        <v>0</v>
      </c>
      <c r="R16" s="140">
        <f t="shared" si="7"/>
        <v>0</v>
      </c>
      <c r="S16" s="140">
        <f t="shared" si="7"/>
        <v>0</v>
      </c>
      <c r="T16" s="140">
        <f t="shared" si="7"/>
        <v>0</v>
      </c>
      <c r="U16" s="140">
        <f t="shared" si="7"/>
        <v>0</v>
      </c>
      <c r="V16" s="140">
        <f t="shared" si="7"/>
        <v>0</v>
      </c>
      <c r="AB16" s="140"/>
    </row>
    <row r="17" spans="1:28">
      <c r="A17" s="140" t="s">
        <v>935</v>
      </c>
      <c r="B17" s="603" t="s">
        <v>278</v>
      </c>
      <c r="C17" s="603">
        <f>IF($Y17=1,0,$X$7*(INT(C$6/$X17)-INT(B$6/$X17))-IF(SUM($B17:B17)&gt;0,C18,0))</f>
        <v>0</v>
      </c>
      <c r="D17" s="603">
        <f>IF($Y17=1,0,$X$7*(INT(D$6/$X17)-INT(C$6/$X17))-IF(SUM($B17:C17)&gt;0,D18,0))</f>
        <v>0</v>
      </c>
      <c r="E17" s="603">
        <f>IF($Y17=1,0,$X$7*(INT(E$6/$X17)-INT(D$6/$X17))-IF(SUM($B17:D17)&gt;0,E18,0))</f>
        <v>0</v>
      </c>
      <c r="F17" s="603">
        <f>IF($Y17=1,0,$X$7*(INT(F$6/$X17)-INT(E$6/$X17))-IF(SUM($B17:E17)&gt;0,F18,0))</f>
        <v>0</v>
      </c>
      <c r="G17" s="603">
        <f>IF($Y17=1,0,$X$7*(INT(G$6/$X17)-INT(F$6/$X17))-IF(SUM($B17:F17)&gt;0,G18,0))</f>
        <v>0</v>
      </c>
      <c r="H17" s="603">
        <f>IF($Y17=1,0,$X$7*(INT(H$6/$X17)-INT(G$6/$X17))-IF(SUM($B17:G17)&gt;0,H18,0))</f>
        <v>0</v>
      </c>
      <c r="I17" s="603">
        <f>IF($Y17=1,0,$X$7*(INT(I$6/$X17)-INT(H$6/$X17))-IF(SUM($B17:H17)&gt;0,I18,0))</f>
        <v>0</v>
      </c>
      <c r="J17" s="603">
        <f>IF($Y17=1,0,$X$7*(INT(J$6/$X17)-INT(I$6/$X17))-IF(SUM($B17:I17)&gt;0,J18,0))</f>
        <v>0</v>
      </c>
      <c r="K17" s="603">
        <f>IF($Y17=1,0,$X$7*(INT(K$6/$X17)-INT(J$6/$X17))-IF(SUM($B17:J17)&gt;0,K18,0))</f>
        <v>0</v>
      </c>
      <c r="L17" s="603">
        <f>IF($Y17=1,0,$X$7*(INT(L$6/$X17)-INT(K$6/$X17))-IF(SUM($B17:K17)&gt;0,L18,0))</f>
        <v>0</v>
      </c>
      <c r="M17" s="603">
        <f>IF($Y17=1,0,$X$7*(INT(M$6/$X17)-INT(L$6/$X17))-IF(SUM($B17:L17)&gt;0,M18,0))</f>
        <v>0</v>
      </c>
      <c r="N17" s="603">
        <f>IF($Y17=1,0,$X$7*(INT(N$6/$X17)-INT(M$6/$X17))-IF(SUM($B17:M17)&gt;0,N18,0))</f>
        <v>0</v>
      </c>
      <c r="O17" s="603">
        <f>IF($Y17=1,0,$X$7*(INT(O$6/$X17)-INT(N$6/$X17))-IF(SUM($B17:N17)&gt;0,O18,0))</f>
        <v>0</v>
      </c>
      <c r="P17" s="603">
        <f>IF($Y17=1,0,$X$7*(INT(P$6/$X17)-INT(O$6/$X17))-IF(SUM($B17:O17)&gt;0,P18,0))</f>
        <v>0</v>
      </c>
      <c r="Q17" s="603">
        <f>IF($Y17=1,0,$X$7*(INT(Q$6/$X17)-INT(P$6/$X17))-IF(SUM($B17:P17)&gt;0,Q18,0))</f>
        <v>0</v>
      </c>
      <c r="R17" s="603">
        <f>IF($Y17=1,0,$X$7*(INT(R$6/$X17)-INT(Q$6/$X17))-IF(SUM($B17:Q17)&gt;0,R18,0))</f>
        <v>0</v>
      </c>
      <c r="S17" s="603">
        <f>IF($Y17=1,0,$X$7*(INT(S$6/$X17)-INT(R$6/$X17))-IF(SUM($B17:R17)&gt;0,S18,0))</f>
        <v>0</v>
      </c>
      <c r="T17" s="603">
        <f>IF($Y17=1,0,$X$7*(INT(T$6/$X17)-INT(S$6/$X17))-IF(SUM($B17:S17)&gt;0,T18,0))</f>
        <v>0</v>
      </c>
      <c r="U17" s="603">
        <f>IF($Y17=1,0,$X$7*(INT(U$6/$X17)-INT(T$6/$X17))-IF(SUM($B17:T17)&gt;0,U18,0))</f>
        <v>0</v>
      </c>
      <c r="V17" s="603">
        <f>IF($Y17=1,0,$X$7*(INT(V$6/$X17)-INT(U$6/$X17))-IF(SUM($B17:U17)&gt;0,V18,0))</f>
        <v>0</v>
      </c>
      <c r="W17" s="677" t="str">
        <f>'GT schd cost(W501D5)'!A14</f>
        <v>Baskets</v>
      </c>
      <c r="X17" s="678">
        <f>IF($AD$6=1,'GTDB(W501D5)'!B17,'GTDB(W501D5)'!G17)</f>
        <v>8000</v>
      </c>
      <c r="Y17" s="678">
        <f>IF($AD$6=1,'GTDB(W501D5)'!C17,'GTDB(W501D5)'!H17)</f>
        <v>6</v>
      </c>
      <c r="Z17" s="679">
        <v>2</v>
      </c>
      <c r="AA17" s="832">
        <f>'Initial_Spares(W501D5)'!$E$11</f>
        <v>0</v>
      </c>
      <c r="AB17" s="642">
        <f>'GT schd cost(W501D5)'!X14+'GT schd cost(W501D5)'!X40</f>
        <v>0</v>
      </c>
    </row>
    <row r="18" spans="1:28">
      <c r="A18" s="140" t="s">
        <v>936</v>
      </c>
      <c r="B18" s="603" t="s">
        <v>278</v>
      </c>
      <c r="C18" s="603">
        <f>IF(INT(C$6/$X17)*$X$7&gt;C16*($X$7+$Z17)*$Y17,C16*($X$7+$Z17)-SUM($B18:B18),INT(C$6/$X17)*$X$7-C16*($X$7+$Z17)*($Y17-1)-SUM($B18:B18))+IF($Y17&gt;1,IF(INT(C$6/$X17)&gt;0,$Z17-$AA17,0),-$AA17)</f>
        <v>0</v>
      </c>
      <c r="D18" s="603">
        <f>IF(INT(D$6/$X17)*$X$7&gt;D16*($X$7+$Z17)*$Y17,D16*($X$7+$Z17)-SUM($B18:C18),INT(D$6/$X17)*$X$7-D16*($X$7+$Z17)*($Y17-1)-SUM($B18:C18))+IF($Y17&gt;1,IF(INT(D$6/$X17)&gt;0,$Z17-$AA17,0),-$AA17)</f>
        <v>0</v>
      </c>
      <c r="E18" s="603">
        <f>IF(INT(E$6/$X17)*$X$7&gt;E16*($X$7+$Z17)*$Y17,E16*($X$7+$Z17)-SUM($B18:D18),INT(E$6/$X17)*$X$7-E16*($X$7+$Z17)*($Y17-1)-SUM($B18:D18))+IF($Y17&gt;1,IF(INT(E$6/$X17)&gt;0,$Z17-$AA17,0),-$AA17)</f>
        <v>0</v>
      </c>
      <c r="F18" s="603">
        <f>IF(INT(F$6/$X17)*$X$7&gt;F16*($X$7+$Z17)*$Y17,F16*($X$7+$Z17)-SUM($B18:E18),INT(F$6/$X17)*$X$7-F16*($X$7+$Z17)*($Y17-1)-SUM($B18:E18))+IF($Y17&gt;1,IF(INT(F$6/$X17)&gt;0,$Z17-$AA17,0),-$AA17)</f>
        <v>0</v>
      </c>
      <c r="G18" s="603">
        <f>IF(INT(G$6/$X17)*$X$7&gt;G16*($X$7+$Z17)*$Y17,G16*($X$7+$Z17)-SUM($B18:F18),INT(G$6/$X17)*$X$7-G16*($X$7+$Z17)*($Y17-1)-SUM($B18:F18))+IF($Y17&gt;1,IF(INT(G$6/$X17)&gt;0,$Z17-$AA17,0),-$AA17)</f>
        <v>0</v>
      </c>
      <c r="H18" s="603">
        <f>IF(INT(H$6/$X17)*$X$7&gt;H16*($X$7+$Z17)*$Y17,H16*($X$7+$Z17)-SUM($B18:G18),INT(H$6/$X17)*$X$7-H16*($X$7+$Z17)*($Y17-1)-SUM($B18:G18))+IF($Y17&gt;1,IF(INT(H$6/$X17)&gt;0,$Z17-$AA17,0),-$AA17)</f>
        <v>0</v>
      </c>
      <c r="I18" s="603">
        <f>IF(INT(I$6/$X17)*$X$7&gt;I16*($X$7+$Z17)*$Y17,I16*($X$7+$Z17)-SUM($B18:H18),INT(I$6/$X17)*$X$7-I16*($X$7+$Z17)*($Y17-1)-SUM($B18:H18))+IF($Y17&gt;1,IF(INT(I$6/$X17)&gt;0,$Z17-$AA17,0),-$AA17)</f>
        <v>0</v>
      </c>
      <c r="J18" s="603">
        <f>IF(INT(J$6/$X17)*$X$7&gt;J16*($X$7+$Z17)*$Y17,J16*($X$7+$Z17)-SUM($B18:I18),INT(J$6/$X17)*$X$7-J16*($X$7+$Z17)*($Y17-1)-SUM($B18:I18))+IF($Y17&gt;1,IF(INT(J$6/$X17)&gt;0,$Z17-$AA17,0),-$AA17)</f>
        <v>0</v>
      </c>
      <c r="K18" s="603">
        <f>IF(INT(K$6/$X17)*$X$7&gt;K16*($X$7+$Z17)*$Y17,K16*($X$7+$Z17)-SUM($B18:J18),INT(K$6/$X17)*$X$7-K16*($X$7+$Z17)*($Y17-1)-SUM($B18:J18))+IF($Y17&gt;1,IF(INT(K$6/$X17)&gt;0,$Z17-$AA17,0),-$AA17)</f>
        <v>0</v>
      </c>
      <c r="L18" s="603">
        <f>IF(INT(L$6/$X17)*$X$7&gt;L16*($X$7+$Z17)*$Y17,L16*($X$7+$Z17)-SUM($B18:K18),INT(L$6/$X17)*$X$7-L16*($X$7+$Z17)*($Y17-1)-SUM($B18:K18))+IF($Y17&gt;1,IF(INT(L$6/$X17)&gt;0,$Z17-$AA17,0),-$AA17)</f>
        <v>0</v>
      </c>
      <c r="M18" s="603">
        <f>IF(INT(M$6/$X17)*$X$7&gt;M16*($X$7+$Z17)*$Y17,M16*($X$7+$Z17)-SUM($B18:L18),INT(M$6/$X17)*$X$7-M16*($X$7+$Z17)*($Y17-1)-SUM($B18:L18))+IF($Y17&gt;1,IF(INT(M$6/$X17)&gt;0,$Z17-$AA17,0),-$AA17)</f>
        <v>0</v>
      </c>
      <c r="N18" s="603">
        <f>IF(INT(N$6/$X17)*$X$7&gt;N16*($X$7+$Z17)*$Y17,N16*($X$7+$Z17)-SUM($B18:M18),INT(N$6/$X17)*$X$7-N16*($X$7+$Z17)*($Y17-1)-SUM($B18:M18))+IF($Y17&gt;1,IF(INT(N$6/$X17)&gt;0,$Z17-$AA17,0),-$AA17)</f>
        <v>0</v>
      </c>
      <c r="O18" s="603">
        <f>IF(INT(O$6/$X17)*$X$7&gt;O16*($X$7+$Z17)*$Y17,O16*($X$7+$Z17)-SUM($B18:N18),INT(O$6/$X17)*$X$7-O16*($X$7+$Z17)*($Y17-1)-SUM($B18:N18))+IF($Y17&gt;1,IF(INT(O$6/$X17)&gt;0,$Z17-$AA17,0),-$AA17)</f>
        <v>0</v>
      </c>
      <c r="P18" s="603">
        <f>IF(INT(P$6/$X17)*$X$7&gt;P16*($X$7+$Z17)*$Y17,P16*($X$7+$Z17)-SUM($B18:O18),INT(P$6/$X17)*$X$7-P16*($X$7+$Z17)*($Y17-1)-SUM($B18:O18))+IF($Y17&gt;1,IF(INT(P$6/$X17)&gt;0,$Z17-$AA17,0),-$AA17)</f>
        <v>0</v>
      </c>
      <c r="Q18" s="603">
        <f>IF(INT(Q$6/$X17)*$X$7&gt;Q16*($X$7+$Z17)*$Y17,Q16*($X$7+$Z17)-SUM($B18:P18),INT(Q$6/$X17)*$X$7-Q16*($X$7+$Z17)*($Y17-1)-SUM($B18:P18))+IF($Y17&gt;1,IF(INT(Q$6/$X17)&gt;0,$Z17-$AA17,0),-$AA17)</f>
        <v>0</v>
      </c>
      <c r="R18" s="603">
        <f>IF(INT(R$6/$X17)*$X$7&gt;R16*($X$7+$Z17)*$Y17,R16*($X$7+$Z17)-SUM($B18:Q18),INT(R$6/$X17)*$X$7-R16*($X$7+$Z17)*($Y17-1)-SUM($B18:Q18))+IF($Y17&gt;1,IF(INT(R$6/$X17)&gt;0,$Z17-$AA17,0),-$AA17)</f>
        <v>0</v>
      </c>
      <c r="S18" s="603">
        <f>IF(INT(S$6/$X17)*$X$7&gt;S16*($X$7+$Z17)*$Y17,S16*($X$7+$Z17)-SUM($B18:R18),INT(S$6/$X17)*$X$7-S16*($X$7+$Z17)*($Y17-1)-SUM($B18:R18))+IF($Y17&gt;1,IF(INT(S$6/$X17)&gt;0,$Z17-$AA17,0),-$AA17)</f>
        <v>0</v>
      </c>
      <c r="T18" s="603">
        <f>IF(INT(T$6/$X17)*$X$7&gt;T16*($X$7+$Z17)*$Y17,T16*($X$7+$Z17)-SUM($B18:S18),INT(T$6/$X17)*$X$7-T16*($X$7+$Z17)*($Y17-1)-SUM($B18:S18))+IF($Y17&gt;1,IF(INT(T$6/$X17)&gt;0,$Z17-$AA17,0),-$AA17)</f>
        <v>0</v>
      </c>
      <c r="U18" s="603">
        <f>IF(INT(U$6/$X17)*$X$7&gt;U16*($X$7+$Z17)*$Y17,U16*($X$7+$Z17)-SUM($B18:T18),INT(U$6/$X17)*$X$7-U16*($X$7+$Z17)*($Y17-1)-SUM($B18:T18))+IF($Y17&gt;1,IF(INT(U$6/$X17)&gt;0,$Z17-$AA17,0),-$AA17)</f>
        <v>0</v>
      </c>
      <c r="V18" s="603">
        <f>IF(INT(V$6/$X17)*$X$7&gt;V16*($X$7+$Z17)*$Y17,V16*($X$7+$Z17)-SUM($B18:U18),INT(V$6/$X17)*$X$7-V16*($X$7+$Z17)*($Y17-1)-SUM($B18:U18))+IF($Y17&gt;1,IF(INT(V$6/$X17)&gt;0,$Z17-$AA17,0),-$AA17)</f>
        <v>0</v>
      </c>
      <c r="W18" s="681"/>
    </row>
    <row r="19" spans="1:28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681" t="s">
        <v>278</v>
      </c>
      <c r="X19" t="s">
        <v>278</v>
      </c>
    </row>
    <row r="20" spans="1:28" hidden="1">
      <c r="A20" s="140" t="s">
        <v>934</v>
      </c>
      <c r="B20" s="603"/>
      <c r="C20" s="140">
        <f t="shared" ref="C20:V20" si="8">INT((INT(C$6/$X21)*$X$7+$X$7+$Z21-1)/($X$7+$Z21)/$Y21)</f>
        <v>0</v>
      </c>
      <c r="D20" s="140">
        <f t="shared" si="8"/>
        <v>0</v>
      </c>
      <c r="E20" s="140">
        <f t="shared" si="8"/>
        <v>0</v>
      </c>
      <c r="F20" s="140">
        <f t="shared" si="8"/>
        <v>0</v>
      </c>
      <c r="G20" s="140">
        <f t="shared" si="8"/>
        <v>0</v>
      </c>
      <c r="H20" s="140">
        <f t="shared" si="8"/>
        <v>0</v>
      </c>
      <c r="I20" s="140">
        <f t="shared" si="8"/>
        <v>0</v>
      </c>
      <c r="J20" s="140">
        <f t="shared" si="8"/>
        <v>0</v>
      </c>
      <c r="K20" s="140">
        <f t="shared" si="8"/>
        <v>0</v>
      </c>
      <c r="L20" s="140">
        <f t="shared" si="8"/>
        <v>0</v>
      </c>
      <c r="M20" s="140">
        <f t="shared" si="8"/>
        <v>0</v>
      </c>
      <c r="N20" s="140">
        <f t="shared" si="8"/>
        <v>0</v>
      </c>
      <c r="O20" s="140">
        <f t="shared" si="8"/>
        <v>0</v>
      </c>
      <c r="P20" s="140">
        <f t="shared" si="8"/>
        <v>0</v>
      </c>
      <c r="Q20" s="140">
        <f t="shared" si="8"/>
        <v>0</v>
      </c>
      <c r="R20" s="140">
        <f t="shared" si="8"/>
        <v>0</v>
      </c>
      <c r="S20" s="140">
        <f t="shared" si="8"/>
        <v>0</v>
      </c>
      <c r="T20" s="140">
        <f t="shared" si="8"/>
        <v>0</v>
      </c>
      <c r="U20" s="140">
        <f t="shared" si="8"/>
        <v>0</v>
      </c>
      <c r="V20" s="140">
        <f t="shared" si="8"/>
        <v>0</v>
      </c>
    </row>
    <row r="21" spans="1:28">
      <c r="A21" s="140" t="s">
        <v>935</v>
      </c>
      <c r="B21" s="603" t="s">
        <v>278</v>
      </c>
      <c r="C21" s="603">
        <f>IF($Y21=1,0,$X$7*(INT(C$6/$X21)-INT(B$6/$X21))-IF(SUM($B21:B21)&gt;0,C22,0))</f>
        <v>0</v>
      </c>
      <c r="D21" s="603">
        <f>IF($Y21=1,0,$X$7*(INT(D$6/$X21)-INT(C$6/$X21))-IF(SUM($B21:C21)&gt;0,D22,0))</f>
        <v>0</v>
      </c>
      <c r="E21" s="603">
        <f>IF($Y21=1,0,$X$7*(INT(E$6/$X21)-INT(D$6/$X21))-IF(SUM($B21:D21)&gt;0,E22,0))</f>
        <v>0</v>
      </c>
      <c r="F21" s="603">
        <f>IF($Y21=1,0,$X$7*(INT(F$6/$X21)-INT(E$6/$X21))-IF(SUM($B21:E21)&gt;0,F22,0))</f>
        <v>0</v>
      </c>
      <c r="G21" s="603">
        <f>IF($Y21=1,0,$X$7*(INT(G$6/$X21)-INT(F$6/$X21))-IF(SUM($B21:F21)&gt;0,G22,0))</f>
        <v>0</v>
      </c>
      <c r="H21" s="603">
        <f>IF($Y21=1,0,$X$7*(INT(H$6/$X21)-INT(G$6/$X21))-IF(SUM($B21:G21)&gt;0,H22,0))</f>
        <v>0</v>
      </c>
      <c r="I21" s="603">
        <f>IF($Y21=1,0,$X$7*(INT(I$6/$X21)-INT(H$6/$X21))-IF(SUM($B21:H21)&gt;0,I22,0))</f>
        <v>0</v>
      </c>
      <c r="J21" s="603">
        <f>IF($Y21=1,0,$X$7*(INT(J$6/$X21)-INT(I$6/$X21))-IF(SUM($B21:I21)&gt;0,J22,0))</f>
        <v>0</v>
      </c>
      <c r="K21" s="603">
        <f>IF($Y21=1,0,$X$7*(INT(K$6/$X21)-INT(J$6/$X21))-IF(SUM($B21:J21)&gt;0,K22,0))</f>
        <v>0</v>
      </c>
      <c r="L21" s="603">
        <f>IF($Y21=1,0,$X$7*(INT(L$6/$X21)-INT(K$6/$X21))-IF(SUM($B21:K21)&gt;0,L22,0))</f>
        <v>0</v>
      </c>
      <c r="M21" s="603">
        <f>IF($Y21=1,0,$X$7*(INT(M$6/$X21)-INT(L$6/$X21))-IF(SUM($B21:L21)&gt;0,M22,0))</f>
        <v>0</v>
      </c>
      <c r="N21" s="603">
        <f>IF($Y21=1,0,$X$7*(INT(N$6/$X21)-INT(M$6/$X21))-IF(SUM($B21:M21)&gt;0,N22,0))</f>
        <v>0</v>
      </c>
      <c r="O21" s="603">
        <f>IF($Y21=1,0,$X$7*(INT(O$6/$X21)-INT(N$6/$X21))-IF(SUM($B21:N21)&gt;0,O22,0))</f>
        <v>0</v>
      </c>
      <c r="P21" s="603">
        <f>IF($Y21=1,0,$X$7*(INT(P$6/$X21)-INT(O$6/$X21))-IF(SUM($B21:O21)&gt;0,P22,0))</f>
        <v>0</v>
      </c>
      <c r="Q21" s="603">
        <f>IF($Y21=1,0,$X$7*(INT(Q$6/$X21)-INT(P$6/$X21))-IF(SUM($B21:P21)&gt;0,Q22,0))</f>
        <v>0</v>
      </c>
      <c r="R21" s="603">
        <f>IF($Y21=1,0,$X$7*(INT(R$6/$X21)-INT(Q$6/$X21))-IF(SUM($B21:Q21)&gt;0,R22,0))</f>
        <v>0</v>
      </c>
      <c r="S21" s="603">
        <f>IF($Y21=1,0,$X$7*(INT(S$6/$X21)-INT(R$6/$X21))-IF(SUM($B21:R21)&gt;0,S22,0))</f>
        <v>0</v>
      </c>
      <c r="T21" s="603">
        <f>IF($Y21=1,0,$X$7*(INT(T$6/$X21)-INT(S$6/$X21))-IF(SUM($B21:S21)&gt;0,T22,0))</f>
        <v>0</v>
      </c>
      <c r="U21" s="603">
        <f>IF($Y21=1,0,$X$7*(INT(U$6/$X21)-INT(T$6/$X21))-IF(SUM($B21:T21)&gt;0,U22,0))</f>
        <v>0</v>
      </c>
      <c r="V21" s="603">
        <f>IF($Y21=1,0,$X$7*(INT(V$6/$X21)-INT(U$6/$X21))-IF(SUM($B21:U21)&gt;0,V22,0))</f>
        <v>0</v>
      </c>
      <c r="W21" s="678" t="str">
        <f>'GT schd cost(W501D5)'!A15</f>
        <v>Transition Pieces</v>
      </c>
      <c r="X21" s="678">
        <f>IF($AD$6=1,'GTDB(W501D5)'!B18,'GTDB(W501D5)'!G18)</f>
        <v>8000</v>
      </c>
      <c r="Y21" s="678">
        <f>IF($AD$6=1,'GTDB(W501D5)'!C18,'GTDB(W501D5)'!H18)</f>
        <v>6</v>
      </c>
      <c r="Z21" s="679">
        <v>2</v>
      </c>
      <c r="AA21" s="833">
        <f>'Initial_Spares(W501D5)'!$E$12</f>
        <v>0</v>
      </c>
      <c r="AB21" s="642">
        <f>'GT schd cost(W501D5)'!X15+'GT schd cost(W501D5)'!X41</f>
        <v>0</v>
      </c>
    </row>
    <row r="22" spans="1:28">
      <c r="A22" s="140" t="s">
        <v>936</v>
      </c>
      <c r="B22" s="603" t="s">
        <v>278</v>
      </c>
      <c r="C22" s="603">
        <f>IF(INT(C$6/$X21)*$X$7&gt;C20*($X$7+$Z21)*$Y21,C20*($X$7+$Z21)-SUM($B22:B22),INT(C$6/$X21)*$X$7-C20*($X$7+$Z21)*($Y21-1)-SUM($B22:B22))+IF($Y21&gt;1,IF(INT(C$6/$X21)&gt;0,$Z21-$AA21,0),-$AA21)</f>
        <v>0</v>
      </c>
      <c r="D22" s="603">
        <f>IF(INT(D$6/$X21)*$X$7&gt;D20*($X$7+$Z21)*$Y21,D20*($X$7+$Z21)-SUM($B22:C22),INT(D$6/$X21)*$X$7-D20*($X$7+$Z21)*($Y21-1)-SUM($B22:C22))+IF($Y21&gt;1,IF(INT(D$6/$X21)&gt;0,$Z21-$AA21,0),-$AA21)</f>
        <v>0</v>
      </c>
      <c r="E22" s="603">
        <f>IF(INT(E$6/$X21)*$X$7&gt;E20*($X$7+$Z21)*$Y21,E20*($X$7+$Z21)-SUM($B22:D22),INT(E$6/$X21)*$X$7-E20*($X$7+$Z21)*($Y21-1)-SUM($B22:D22))+IF($Y21&gt;1,IF(INT(E$6/$X21)&gt;0,$Z21-$AA21,0),-$AA21)</f>
        <v>0</v>
      </c>
      <c r="F22" s="603">
        <f>IF(INT(F$6/$X21)*$X$7&gt;F20*($X$7+$Z21)*$Y21,F20*($X$7+$Z21)-SUM($B22:E22),INT(F$6/$X21)*$X$7-F20*($X$7+$Z21)*($Y21-1)-SUM($B22:E22))+IF($Y21&gt;1,IF(INT(F$6/$X21)&gt;0,$Z21-$AA21,0),-$AA21)</f>
        <v>0</v>
      </c>
      <c r="G22" s="603">
        <f>IF(INT(G$6/$X21)*$X$7&gt;G20*($X$7+$Z21)*$Y21,G20*($X$7+$Z21)-SUM($B22:F22),INT(G$6/$X21)*$X$7-G20*($X$7+$Z21)*($Y21-1)-SUM($B22:F22))+IF($Y21&gt;1,IF(INT(G$6/$X21)&gt;0,$Z21-$AA21,0),-$AA21)</f>
        <v>0</v>
      </c>
      <c r="H22" s="603">
        <f>IF(INT(H$6/$X21)*$X$7&gt;H20*($X$7+$Z21)*$Y21,H20*($X$7+$Z21)-SUM($B22:G22),INT(H$6/$X21)*$X$7-H20*($X$7+$Z21)*($Y21-1)-SUM($B22:G22))+IF($Y21&gt;1,IF(INT(H$6/$X21)&gt;0,$Z21-$AA21,0),-$AA21)</f>
        <v>0</v>
      </c>
      <c r="I22" s="603">
        <f>IF(INT(I$6/$X21)*$X$7&gt;I20*($X$7+$Z21)*$Y21,I20*($X$7+$Z21)-SUM($B22:H22),INT(I$6/$X21)*$X$7-I20*($X$7+$Z21)*($Y21-1)-SUM($B22:H22))+IF($Y21&gt;1,IF(INT(I$6/$X21)&gt;0,$Z21-$AA21,0),-$AA21)</f>
        <v>0</v>
      </c>
      <c r="J22" s="603">
        <f>IF(INT(J$6/$X21)*$X$7&gt;J20*($X$7+$Z21)*$Y21,J20*($X$7+$Z21)-SUM($B22:I22),INT(J$6/$X21)*$X$7-J20*($X$7+$Z21)*($Y21-1)-SUM($B22:I22))+IF($Y21&gt;1,IF(INT(J$6/$X21)&gt;0,$Z21-$AA21,0),-$AA21)</f>
        <v>0</v>
      </c>
      <c r="K22" s="603">
        <f>IF(INT(K$6/$X21)*$X$7&gt;K20*($X$7+$Z21)*$Y21,K20*($X$7+$Z21)-SUM($B22:J22),INT(K$6/$X21)*$X$7-K20*($X$7+$Z21)*($Y21-1)-SUM($B22:J22))+IF($Y21&gt;1,IF(INT(K$6/$X21)&gt;0,$Z21-$AA21,0),-$AA21)</f>
        <v>0</v>
      </c>
      <c r="L22" s="603">
        <f>IF(INT(L$6/$X21)*$X$7&gt;L20*($X$7+$Z21)*$Y21,L20*($X$7+$Z21)-SUM($B22:K22),INT(L$6/$X21)*$X$7-L20*($X$7+$Z21)*($Y21-1)-SUM($B22:K22))+IF($Y21&gt;1,IF(INT(L$6/$X21)&gt;0,$Z21-$AA21,0),-$AA21)</f>
        <v>0</v>
      </c>
      <c r="M22" s="603">
        <f>IF(INT(M$6/$X21)*$X$7&gt;M20*($X$7+$Z21)*$Y21,M20*($X$7+$Z21)-SUM($B22:L22),INT(M$6/$X21)*$X$7-M20*($X$7+$Z21)*($Y21-1)-SUM($B22:L22))+IF($Y21&gt;1,IF(INT(M$6/$X21)&gt;0,$Z21-$AA21,0),-$AA21)</f>
        <v>0</v>
      </c>
      <c r="N22" s="603">
        <f>IF(INT(N$6/$X21)*$X$7&gt;N20*($X$7+$Z21)*$Y21,N20*($X$7+$Z21)-SUM($B22:M22),INT(N$6/$X21)*$X$7-N20*($X$7+$Z21)*($Y21-1)-SUM($B22:M22))+IF($Y21&gt;1,IF(INT(N$6/$X21)&gt;0,$Z21-$AA21,0),-$AA21)</f>
        <v>0</v>
      </c>
      <c r="O22" s="603">
        <f>IF(INT(O$6/$X21)*$X$7&gt;O20*($X$7+$Z21)*$Y21,O20*($X$7+$Z21)-SUM($B22:N22),INT(O$6/$X21)*$X$7-O20*($X$7+$Z21)*($Y21-1)-SUM($B22:N22))+IF($Y21&gt;1,IF(INT(O$6/$X21)&gt;0,$Z21-$AA21,0),-$AA21)</f>
        <v>0</v>
      </c>
      <c r="P22" s="603">
        <f>IF(INT(P$6/$X21)*$X$7&gt;P20*($X$7+$Z21)*$Y21,P20*($X$7+$Z21)-SUM($B22:O22),INT(P$6/$X21)*$X$7-P20*($X$7+$Z21)*($Y21-1)-SUM($B22:O22))+IF($Y21&gt;1,IF(INT(P$6/$X21)&gt;0,$Z21-$AA21,0),-$AA21)</f>
        <v>0</v>
      </c>
      <c r="Q22" s="603">
        <f>IF(INT(Q$6/$X21)*$X$7&gt;Q20*($X$7+$Z21)*$Y21,Q20*($X$7+$Z21)-SUM($B22:P22),INT(Q$6/$X21)*$X$7-Q20*($X$7+$Z21)*($Y21-1)-SUM($B22:P22))+IF($Y21&gt;1,IF(INT(Q$6/$X21)&gt;0,$Z21-$AA21,0),-$AA21)</f>
        <v>0</v>
      </c>
      <c r="R22" s="603">
        <f>IF(INT(R$6/$X21)*$X$7&gt;R20*($X$7+$Z21)*$Y21,R20*($X$7+$Z21)-SUM($B22:Q22),INT(R$6/$X21)*$X$7-R20*($X$7+$Z21)*($Y21-1)-SUM($B22:Q22))+IF($Y21&gt;1,IF(INT(R$6/$X21)&gt;0,$Z21-$AA21,0),-$AA21)</f>
        <v>0</v>
      </c>
      <c r="S22" s="603">
        <f>IF(INT(S$6/$X21)*$X$7&gt;S20*($X$7+$Z21)*$Y21,S20*($X$7+$Z21)-SUM($B22:R22),INT(S$6/$X21)*$X$7-S20*($X$7+$Z21)*($Y21-1)-SUM($B22:R22))+IF($Y21&gt;1,IF(INT(S$6/$X21)&gt;0,$Z21-$AA21,0),-$AA21)</f>
        <v>0</v>
      </c>
      <c r="T22" s="603">
        <f>IF(INT(T$6/$X21)*$X$7&gt;T20*($X$7+$Z21)*$Y21,T20*($X$7+$Z21)-SUM($B22:S22),INT(T$6/$X21)*$X$7-T20*($X$7+$Z21)*($Y21-1)-SUM($B22:S22))+IF($Y21&gt;1,IF(INT(T$6/$X21)&gt;0,$Z21-$AA21,0),-$AA21)</f>
        <v>0</v>
      </c>
      <c r="U22" s="603">
        <f>IF(INT(U$6/$X21)*$X$7&gt;U20*($X$7+$Z21)*$Y21,U20*($X$7+$Z21)-SUM($B22:T22),INT(U$6/$X21)*$X$7-U20*($X$7+$Z21)*($Y21-1)-SUM($B22:T22))+IF($Y21&gt;1,IF(INT(U$6/$X21)&gt;0,$Z21-$AA21,0),-$AA21)</f>
        <v>0</v>
      </c>
      <c r="V22" s="603">
        <f>IF(INT(V$6/$X21)*$X$7&gt;V20*($X$7+$Z21)*$Y21,V20*($X$7+$Z21)-SUM($B22:U22),INT(V$6/$X21)*$X$7-V20*($X$7+$Z21)*($Y21-1)-SUM($B22:U22))+IF($Y21&gt;1,IF(INT(V$6/$X21)&gt;0,$Z21-$AA21,0),-$AA21)</f>
        <v>0</v>
      </c>
      <c r="W22" s="681"/>
    </row>
    <row r="23" spans="1:28">
      <c r="W23" s="681"/>
    </row>
    <row r="24" spans="1:28" hidden="1">
      <c r="A24" s="140" t="s">
        <v>934</v>
      </c>
      <c r="B24" s="603"/>
      <c r="C24" s="140">
        <f t="shared" ref="C24:V24" si="9">INT((INT(C$6/$X25)*$X$7+$X$7+$Z25-1)/($X$7+$Z25)/$Y25)</f>
        <v>0</v>
      </c>
      <c r="D24" s="140">
        <f t="shared" si="9"/>
        <v>0</v>
      </c>
      <c r="E24" s="140">
        <f t="shared" si="9"/>
        <v>0</v>
      </c>
      <c r="F24" s="140">
        <f t="shared" si="9"/>
        <v>0</v>
      </c>
      <c r="G24" s="140">
        <f t="shared" si="9"/>
        <v>0</v>
      </c>
      <c r="H24" s="140">
        <f t="shared" si="9"/>
        <v>0</v>
      </c>
      <c r="I24" s="140">
        <f t="shared" si="9"/>
        <v>0</v>
      </c>
      <c r="J24" s="140">
        <f t="shared" si="9"/>
        <v>0</v>
      </c>
      <c r="K24" s="140">
        <f t="shared" si="9"/>
        <v>0</v>
      </c>
      <c r="L24" s="140">
        <f t="shared" si="9"/>
        <v>0</v>
      </c>
      <c r="M24" s="140">
        <f t="shared" si="9"/>
        <v>0</v>
      </c>
      <c r="N24" s="140">
        <f t="shared" si="9"/>
        <v>0</v>
      </c>
      <c r="O24" s="140">
        <f t="shared" si="9"/>
        <v>0</v>
      </c>
      <c r="P24" s="140">
        <f t="shared" si="9"/>
        <v>0</v>
      </c>
      <c r="Q24" s="140">
        <f t="shared" si="9"/>
        <v>0</v>
      </c>
      <c r="R24" s="140">
        <f t="shared" si="9"/>
        <v>0</v>
      </c>
      <c r="S24" s="140">
        <f t="shared" si="9"/>
        <v>0</v>
      </c>
      <c r="T24" s="140">
        <f t="shared" si="9"/>
        <v>0</v>
      </c>
      <c r="U24" s="140">
        <f t="shared" si="9"/>
        <v>0</v>
      </c>
      <c r="V24" s="140">
        <f t="shared" si="9"/>
        <v>0</v>
      </c>
    </row>
    <row r="25" spans="1:28">
      <c r="A25" s="140" t="s">
        <v>935</v>
      </c>
      <c r="B25" s="603" t="s">
        <v>278</v>
      </c>
      <c r="C25" s="603">
        <f>IF($Y25=1,0,$X$7*(INT(C$6/$X25)-INT(B$6/$X25))-IF(SUM($B25:B25)&gt;0,C26,0))</f>
        <v>0</v>
      </c>
      <c r="D25" s="603">
        <f>IF($Y25=1,0,$X$7*(INT(D$6/$X25)-INT(C$6/$X25))-IF(SUM($B25:C25)&gt;0,D26,0))</f>
        <v>0</v>
      </c>
      <c r="E25" s="603">
        <f>IF($Y25=1,0,$X$7*(INT(E$6/$X25)-INT(D$6/$X25))-IF(SUM($B25:D25)&gt;0,E26,0))</f>
        <v>0</v>
      </c>
      <c r="F25" s="603">
        <f>IF($Y25=1,0,$X$7*(INT(F$6/$X25)-INT(E$6/$X25))-IF(SUM($B25:E25)&gt;0,F26,0))</f>
        <v>0</v>
      </c>
      <c r="G25" s="603">
        <f>IF($Y25=1,0,$X$7*(INT(G$6/$X25)-INT(F$6/$X25))-IF(SUM($B25:F25)&gt;0,G26,0))</f>
        <v>0</v>
      </c>
      <c r="H25" s="603">
        <f>IF($Y25=1,0,$X$7*(INT(H$6/$X25)-INT(G$6/$X25))-IF(SUM($B25:G25)&gt;0,H26,0))</f>
        <v>0</v>
      </c>
      <c r="I25" s="603">
        <f>IF($Y25=1,0,$X$7*(INT(I$6/$X25)-INT(H$6/$X25))-IF(SUM($B25:H25)&gt;0,I26,0))</f>
        <v>0</v>
      </c>
      <c r="J25" s="603">
        <f>IF($Y25=1,0,$X$7*(INT(J$6/$X25)-INT(I$6/$X25))-IF(SUM($B25:I25)&gt;0,J26,0))</f>
        <v>0</v>
      </c>
      <c r="K25" s="603">
        <f>IF($Y25=1,0,$X$7*(INT(K$6/$X25)-INT(J$6/$X25))-IF(SUM($B25:J25)&gt;0,K26,0))</f>
        <v>0</v>
      </c>
      <c r="L25" s="603">
        <f>IF($Y25=1,0,$X$7*(INT(L$6/$X25)-INT(K$6/$X25))-IF(SUM($B25:K25)&gt;0,L26,0))</f>
        <v>0</v>
      </c>
      <c r="M25" s="603">
        <f>IF($Y25=1,0,$X$7*(INT(M$6/$X25)-INT(L$6/$X25))-IF(SUM($B25:L25)&gt;0,M26,0))</f>
        <v>0</v>
      </c>
      <c r="N25" s="603">
        <f>IF($Y25=1,0,$X$7*(INT(N$6/$X25)-INT(M$6/$X25))-IF(SUM($B25:M25)&gt;0,N26,0))</f>
        <v>0</v>
      </c>
      <c r="O25" s="603">
        <f>IF($Y25=1,0,$X$7*(INT(O$6/$X25)-INT(N$6/$X25))-IF(SUM($B25:N25)&gt;0,O26,0))</f>
        <v>0</v>
      </c>
      <c r="P25" s="603">
        <f>IF($Y25=1,0,$X$7*(INT(P$6/$X25)-INT(O$6/$X25))-IF(SUM($B25:O25)&gt;0,P26,0))</f>
        <v>0</v>
      </c>
      <c r="Q25" s="603">
        <f>IF($Y25=1,0,$X$7*(INT(Q$6/$X25)-INT(P$6/$X25))-IF(SUM($B25:P25)&gt;0,Q26,0))</f>
        <v>0</v>
      </c>
      <c r="R25" s="603">
        <f>IF($Y25=1,0,$X$7*(INT(R$6/$X25)-INT(Q$6/$X25))-IF(SUM($B25:Q25)&gt;0,R26,0))</f>
        <v>0</v>
      </c>
      <c r="S25" s="603">
        <f>IF($Y25=1,0,$X$7*(INT(S$6/$X25)-INT(R$6/$X25))-IF(SUM($B25:R25)&gt;0,S26,0))</f>
        <v>0</v>
      </c>
      <c r="T25" s="603">
        <f>IF($Y25=1,0,$X$7*(INT(T$6/$X25)-INT(S$6/$X25))-IF(SUM($B25:S25)&gt;0,T26,0))</f>
        <v>0</v>
      </c>
      <c r="U25" s="603">
        <f>IF($Y25=1,0,$X$7*(INT(U$6/$X25)-INT(T$6/$X25))-IF(SUM($B25:T25)&gt;0,U26,0))</f>
        <v>0</v>
      </c>
      <c r="V25" s="603">
        <f>IF($Y25=1,0,$X$7*(INT(V$6/$X25)-INT(U$6/$X25))-IF(SUM($B25:U25)&gt;0,V26,0))</f>
        <v>0</v>
      </c>
      <c r="W25" s="678" t="str">
        <f xml:space="preserve"> 'GT schd cost(W501D5)'!A16</f>
        <v>Transition Seals</v>
      </c>
      <c r="X25" s="678">
        <f>IF($AD$6=1,'GTDB(W501D5)'!B19,'GTDB(W501D5)'!G19)</f>
        <v>8000</v>
      </c>
      <c r="Y25" s="678">
        <f>IF($AD$6=1,'GTDB(W501D5)'!C19,'GTDB(W501D5)'!H19)</f>
        <v>3</v>
      </c>
      <c r="Z25" s="679">
        <v>2</v>
      </c>
      <c r="AA25" s="834">
        <f>'Initial_Spares(W501D5)'!$E$13</f>
        <v>0</v>
      </c>
      <c r="AB25" s="642">
        <f>'GT schd cost(W501D5)'!X16+'GT schd cost(W501D5)'!X42</f>
        <v>0</v>
      </c>
    </row>
    <row r="26" spans="1:28">
      <c r="A26" s="140" t="s">
        <v>936</v>
      </c>
      <c r="B26" s="603" t="s">
        <v>278</v>
      </c>
      <c r="C26" s="603">
        <f>IF(INT(C$6/$X25)*$X$7&gt;C24*($X$7+$Z25)*$Y25,C24*($X$7+$Z25)-SUM($B26:B26),INT(C$6/$X25)*$X$7-C24*($X$7+$Z25)*($Y25-1)-SUM($B26:B26))+IF($Y25&gt;1,IF(INT(C$6/$X25)&gt;0,$Z25-$AA25,0),-$AA25)</f>
        <v>0</v>
      </c>
      <c r="D26" s="603">
        <f>IF(INT(D$6/$X25)*$X$7&gt;D24*($X$7+$Z25)*$Y25,D24*($X$7+$Z25)-SUM($B26:C26),INT(D$6/$X25)*$X$7-D24*($X$7+$Z25)*($Y25-1)-SUM($B26:C26))+IF($Y25&gt;1,IF(INT(D$6/$X25)&gt;0,$Z25-$AA25,0),-$AA25)</f>
        <v>0</v>
      </c>
      <c r="E26" s="603">
        <f>IF(INT(E$6/$X25)*$X$7&gt;E24*($X$7+$Z25)*$Y25,E24*($X$7+$Z25)-SUM($B26:D26),INT(E$6/$X25)*$X$7-E24*($X$7+$Z25)*($Y25-1)-SUM($B26:D26))+IF($Y25&gt;1,IF(INT(E$6/$X25)&gt;0,$Z25-$AA25,0),-$AA25)</f>
        <v>0</v>
      </c>
      <c r="F26" s="603">
        <f>IF(INT(F$6/$X25)*$X$7&gt;F24*($X$7+$Z25)*$Y25,F24*($X$7+$Z25)-SUM($B26:E26),INT(F$6/$X25)*$X$7-F24*($X$7+$Z25)*($Y25-1)-SUM($B26:E26))+IF($Y25&gt;1,IF(INT(F$6/$X25)&gt;0,$Z25-$AA25,0),-$AA25)</f>
        <v>0</v>
      </c>
      <c r="G26" s="603">
        <f>IF(INT(G$6/$X25)*$X$7&gt;G24*($X$7+$Z25)*$Y25,G24*($X$7+$Z25)-SUM($B26:F26),INT(G$6/$X25)*$X$7-G24*($X$7+$Z25)*($Y25-1)-SUM($B26:F26))+IF($Y25&gt;1,IF(INT(G$6/$X25)&gt;0,$Z25-$AA25,0),-$AA25)</f>
        <v>0</v>
      </c>
      <c r="H26" s="603">
        <f>IF(INT(H$6/$X25)*$X$7&gt;H24*($X$7+$Z25)*$Y25,H24*($X$7+$Z25)-SUM($B26:G26),INT(H$6/$X25)*$X$7-H24*($X$7+$Z25)*($Y25-1)-SUM($B26:G26))+IF($Y25&gt;1,IF(INT(H$6/$X25)&gt;0,$Z25-$AA25,0),-$AA25)</f>
        <v>0</v>
      </c>
      <c r="I26" s="603">
        <f>IF(INT(I$6/$X25)*$X$7&gt;I24*($X$7+$Z25)*$Y25,I24*($X$7+$Z25)-SUM($B26:H26),INT(I$6/$X25)*$X$7-I24*($X$7+$Z25)*($Y25-1)-SUM($B26:H26))+IF($Y25&gt;1,IF(INT(I$6/$X25)&gt;0,$Z25-$AA25,0),-$AA25)</f>
        <v>0</v>
      </c>
      <c r="J26" s="603">
        <f>IF(INT(J$6/$X25)*$X$7&gt;J24*($X$7+$Z25)*$Y25,J24*($X$7+$Z25)-SUM($B26:I26),INT(J$6/$X25)*$X$7-J24*($X$7+$Z25)*($Y25-1)-SUM($B26:I26))+IF($Y25&gt;1,IF(INT(J$6/$X25)&gt;0,$Z25-$AA25,0),-$AA25)</f>
        <v>0</v>
      </c>
      <c r="K26" s="603">
        <f>IF(INT(K$6/$X25)*$X$7&gt;K24*($X$7+$Z25)*$Y25,K24*($X$7+$Z25)-SUM($B26:J26),INT(K$6/$X25)*$X$7-K24*($X$7+$Z25)*($Y25-1)-SUM($B26:J26))+IF($Y25&gt;1,IF(INT(K$6/$X25)&gt;0,$Z25-$AA25,0),-$AA25)</f>
        <v>0</v>
      </c>
      <c r="L26" s="603">
        <f>IF(INT(L$6/$X25)*$X$7&gt;L24*($X$7+$Z25)*$Y25,L24*($X$7+$Z25)-SUM($B26:K26),INT(L$6/$X25)*$X$7-L24*($X$7+$Z25)*($Y25-1)-SUM($B26:K26))+IF($Y25&gt;1,IF(INT(L$6/$X25)&gt;0,$Z25-$AA25,0),-$AA25)</f>
        <v>0</v>
      </c>
      <c r="M26" s="603">
        <f>IF(INT(M$6/$X25)*$X$7&gt;M24*($X$7+$Z25)*$Y25,M24*($X$7+$Z25)-SUM($B26:L26),INT(M$6/$X25)*$X$7-M24*($X$7+$Z25)*($Y25-1)-SUM($B26:L26))+IF($Y25&gt;1,IF(INT(M$6/$X25)&gt;0,$Z25-$AA25,0),-$AA25)</f>
        <v>0</v>
      </c>
      <c r="N26" s="603">
        <f>IF(INT(N$6/$X25)*$X$7&gt;N24*($X$7+$Z25)*$Y25,N24*($X$7+$Z25)-SUM($B26:M26),INT(N$6/$X25)*$X$7-N24*($X$7+$Z25)*($Y25-1)-SUM($B26:M26))+IF($Y25&gt;1,IF(INT(N$6/$X25)&gt;0,$Z25-$AA25,0),-$AA25)</f>
        <v>0</v>
      </c>
      <c r="O26" s="603">
        <f>IF(INT(O$6/$X25)*$X$7&gt;O24*($X$7+$Z25)*$Y25,O24*($X$7+$Z25)-SUM($B26:N26),INT(O$6/$X25)*$X$7-O24*($X$7+$Z25)*($Y25-1)-SUM($B26:N26))+IF($Y25&gt;1,IF(INT(O$6/$X25)&gt;0,$Z25-$AA25,0),-$AA25)</f>
        <v>0</v>
      </c>
      <c r="P26" s="603">
        <f>IF(INT(P$6/$X25)*$X$7&gt;P24*($X$7+$Z25)*$Y25,P24*($X$7+$Z25)-SUM($B26:O26),INT(P$6/$X25)*$X$7-P24*($X$7+$Z25)*($Y25-1)-SUM($B26:O26))+IF($Y25&gt;1,IF(INT(P$6/$X25)&gt;0,$Z25-$AA25,0),-$AA25)</f>
        <v>0</v>
      </c>
      <c r="Q26" s="603">
        <f>IF(INT(Q$6/$X25)*$X$7&gt;Q24*($X$7+$Z25)*$Y25,Q24*($X$7+$Z25)-SUM($B26:P26),INT(Q$6/$X25)*$X$7-Q24*($X$7+$Z25)*($Y25-1)-SUM($B26:P26))+IF($Y25&gt;1,IF(INT(Q$6/$X25)&gt;0,$Z25-$AA25,0),-$AA25)</f>
        <v>0</v>
      </c>
      <c r="R26" s="603">
        <f>IF(INT(R$6/$X25)*$X$7&gt;R24*($X$7+$Z25)*$Y25,R24*($X$7+$Z25)-SUM($B26:Q26),INT(R$6/$X25)*$X$7-R24*($X$7+$Z25)*($Y25-1)-SUM($B26:Q26))+IF($Y25&gt;1,IF(INT(R$6/$X25)&gt;0,$Z25-$AA25,0),-$AA25)</f>
        <v>0</v>
      </c>
      <c r="S26" s="603">
        <f>IF(INT(S$6/$X25)*$X$7&gt;S24*($X$7+$Z25)*$Y25,S24*($X$7+$Z25)-SUM($B26:R26),INT(S$6/$X25)*$X$7-S24*($X$7+$Z25)*($Y25-1)-SUM($B26:R26))+IF($Y25&gt;1,IF(INT(S$6/$X25)&gt;0,$Z25-$AA25,0),-$AA25)</f>
        <v>0</v>
      </c>
      <c r="T26" s="603">
        <f>IF(INT(T$6/$X25)*$X$7&gt;T24*($X$7+$Z25)*$Y25,T24*($X$7+$Z25)-SUM($B26:S26),INT(T$6/$X25)*$X$7-T24*($X$7+$Z25)*($Y25-1)-SUM($B26:S26))+IF($Y25&gt;1,IF(INT(T$6/$X25)&gt;0,$Z25-$AA25,0),-$AA25)</f>
        <v>0</v>
      </c>
      <c r="U26" s="603">
        <f>IF(INT(U$6/$X25)*$X$7&gt;U24*($X$7+$Z25)*$Y25,U24*($X$7+$Z25)-SUM($B26:T26),INT(U$6/$X25)*$X$7-U24*($X$7+$Z25)*($Y25-1)-SUM($B26:T26))+IF($Y25&gt;1,IF(INT(U$6/$X25)&gt;0,$Z25-$AA25,0),-$AA25)</f>
        <v>0</v>
      </c>
      <c r="V26" s="603">
        <f>IF(INT(V$6/$X25)*$X$7&gt;V24*($X$7+$Z25)*$Y25,V24*($X$7+$Z25)-SUM($B26:U26),INT(V$6/$X25)*$X$7-V24*($X$7+$Z25)*($Y25-1)-SUM($B26:U26))+IF($Y25&gt;1,IF(INT(V$6/$X25)&gt;0,$Z25-$AA25,0),-$AA25)</f>
        <v>0</v>
      </c>
      <c r="W26" s="681"/>
    </row>
    <row r="27" spans="1:28">
      <c r="W27" s="681"/>
    </row>
    <row r="28" spans="1:28" hidden="1">
      <c r="A28" s="140" t="s">
        <v>934</v>
      </c>
      <c r="B28" s="603"/>
      <c r="C28" s="140">
        <f t="shared" ref="C28:V28" si="10">INT((INT(C$6/$X29)*$X$7+$X$7+$Z29-1)/($X$7+$Z29)/$Y29)</f>
        <v>0</v>
      </c>
      <c r="D28" s="140">
        <f t="shared" si="10"/>
        <v>0</v>
      </c>
      <c r="E28" s="140">
        <f t="shared" si="10"/>
        <v>0</v>
      </c>
      <c r="F28" s="140">
        <f t="shared" si="10"/>
        <v>0</v>
      </c>
      <c r="G28" s="140">
        <f t="shared" si="10"/>
        <v>0</v>
      </c>
      <c r="H28" s="140">
        <f t="shared" si="10"/>
        <v>0</v>
      </c>
      <c r="I28" s="140">
        <f t="shared" si="10"/>
        <v>0</v>
      </c>
      <c r="J28" s="140">
        <f t="shared" si="10"/>
        <v>0</v>
      </c>
      <c r="K28" s="140">
        <f t="shared" si="10"/>
        <v>0</v>
      </c>
      <c r="L28" s="140">
        <f t="shared" si="10"/>
        <v>0</v>
      </c>
      <c r="M28" s="140">
        <f t="shared" si="10"/>
        <v>0</v>
      </c>
      <c r="N28" s="140">
        <f t="shared" si="10"/>
        <v>0</v>
      </c>
      <c r="O28" s="140">
        <f t="shared" si="10"/>
        <v>0</v>
      </c>
      <c r="P28" s="140">
        <f t="shared" si="10"/>
        <v>0</v>
      </c>
      <c r="Q28" s="140">
        <f t="shared" si="10"/>
        <v>0</v>
      </c>
      <c r="R28" s="140">
        <f t="shared" si="10"/>
        <v>0</v>
      </c>
      <c r="S28" s="140">
        <f t="shared" si="10"/>
        <v>0</v>
      </c>
      <c r="T28" s="140">
        <f t="shared" si="10"/>
        <v>0</v>
      </c>
      <c r="U28" s="140">
        <f t="shared" si="10"/>
        <v>0</v>
      </c>
      <c r="V28" s="140">
        <f t="shared" si="10"/>
        <v>0</v>
      </c>
    </row>
    <row r="29" spans="1:28">
      <c r="A29" s="140" t="s">
        <v>935</v>
      </c>
      <c r="B29" s="603" t="s">
        <v>278</v>
      </c>
      <c r="C29" s="603">
        <f>IF($Y29=1,0,$X$7*(INT(C$6/$X29)-INT(B$6/$X29))-IF(SUM($B29:B29)&gt;0,C30,0))</f>
        <v>0</v>
      </c>
      <c r="D29" s="603">
        <f>IF($Y29=1,0,$X$7*(INT(D$6/$X29)-INT(C$6/$X29))-IF(SUM($B29:C29)&gt;0,D30,0))</f>
        <v>0</v>
      </c>
      <c r="E29" s="603">
        <f>IF($Y29=1,0,$X$7*(INT(E$6/$X29)-INT(D$6/$X29))-IF(SUM($B29:D29)&gt;0,E30,0))</f>
        <v>0</v>
      </c>
      <c r="F29" s="603">
        <f>IF($Y29=1,0,$X$7*(INT(F$6/$X29)-INT(E$6/$X29))-IF(SUM($B29:E29)&gt;0,F30,0))</f>
        <v>0</v>
      </c>
      <c r="G29" s="603">
        <f>IF($Y29=1,0,$X$7*(INT(G$6/$X29)-INT(F$6/$X29))-IF(SUM($B29:F29)&gt;0,G30,0))</f>
        <v>0</v>
      </c>
      <c r="H29" s="603">
        <f>IF($Y29=1,0,$X$7*(INT(H$6/$X29)-INT(G$6/$X29))-IF(SUM($B29:G29)&gt;0,H30,0))</f>
        <v>0</v>
      </c>
      <c r="I29" s="603">
        <f>IF($Y29=1,0,$X$7*(INT(I$6/$X29)-INT(H$6/$X29))-IF(SUM($B29:H29)&gt;0,I30,0))</f>
        <v>0</v>
      </c>
      <c r="J29" s="603">
        <f>IF($Y29=1,0,$X$7*(INT(J$6/$X29)-INT(I$6/$X29))-IF(SUM($B29:I29)&gt;0,J30,0))</f>
        <v>0</v>
      </c>
      <c r="K29" s="603">
        <f>IF($Y29=1,0,$X$7*(INT(K$6/$X29)-INT(J$6/$X29))-IF(SUM($B29:J29)&gt;0,K30,0))</f>
        <v>0</v>
      </c>
      <c r="L29" s="603">
        <f>IF($Y29=1,0,$X$7*(INT(L$6/$X29)-INT(K$6/$X29))-IF(SUM($B29:K29)&gt;0,L30,0))</f>
        <v>0</v>
      </c>
      <c r="M29" s="603">
        <f>IF($Y29=1,0,$X$7*(INT(M$6/$X29)-INT(L$6/$X29))-IF(SUM($B29:L29)&gt;0,M30,0))</f>
        <v>0</v>
      </c>
      <c r="N29" s="603">
        <f>IF($Y29=1,0,$X$7*(INT(N$6/$X29)-INT(M$6/$X29))-IF(SUM($B29:M29)&gt;0,N30,0))</f>
        <v>0</v>
      </c>
      <c r="O29" s="603">
        <f>IF($Y29=1,0,$X$7*(INT(O$6/$X29)-INT(N$6/$X29))-IF(SUM($B29:N29)&gt;0,O30,0))</f>
        <v>0</v>
      </c>
      <c r="P29" s="603">
        <f>IF($Y29=1,0,$X$7*(INT(P$6/$X29)-INT(O$6/$X29))-IF(SUM($B29:O29)&gt;0,P30,0))</f>
        <v>0</v>
      </c>
      <c r="Q29" s="603">
        <f>IF($Y29=1,0,$X$7*(INT(Q$6/$X29)-INT(P$6/$X29))-IF(SUM($B29:P29)&gt;0,Q30,0))</f>
        <v>0</v>
      </c>
      <c r="R29" s="603">
        <f>IF($Y29=1,0,$X$7*(INT(R$6/$X29)-INT(Q$6/$X29))-IF(SUM($B29:Q29)&gt;0,R30,0))</f>
        <v>0</v>
      </c>
      <c r="S29" s="603">
        <f>IF($Y29=1,0,$X$7*(INT(S$6/$X29)-INT(R$6/$X29))-IF(SUM($B29:R29)&gt;0,S30,0))</f>
        <v>0</v>
      </c>
      <c r="T29" s="603">
        <f>IF($Y29=1,0,$X$7*(INT(T$6/$X29)-INT(S$6/$X29))-IF(SUM($B29:S29)&gt;0,T30,0))</f>
        <v>0</v>
      </c>
      <c r="U29" s="603">
        <f>IF($Y29=1,0,$X$7*(INT(U$6/$X29)-INT(T$6/$X29))-IF(SUM($B29:T29)&gt;0,U30,0))</f>
        <v>0</v>
      </c>
      <c r="V29" s="603">
        <f>IF($Y29=1,0,$X$7*(INT(V$6/$X29)-INT(U$6/$X29))-IF(SUM($B29:U29)&gt;0,V30,0))</f>
        <v>0</v>
      </c>
      <c r="W29" s="678" t="str">
        <f xml:space="preserve">  'GT schd cost(W501D5)'!A17</f>
        <v>Fuel Nozzles</v>
      </c>
      <c r="X29" s="678">
        <f>IF($AD$6=1,'GTDB(W501D5)'!B20,'GTDB(W501D5)'!G20)</f>
        <v>8000</v>
      </c>
      <c r="Y29" s="678">
        <f>IF($AD$6=1,'GTDB(W501D5)'!C20,'GTDB(W501D5)'!H20)</f>
        <v>12</v>
      </c>
      <c r="Z29" s="679">
        <v>1</v>
      </c>
      <c r="AA29" s="834">
        <f>'Initial_Spares(W501D5)'!$E$14</f>
        <v>0</v>
      </c>
      <c r="AB29" s="642">
        <f>'GT schd cost(W501D5)'!X17+'GT schd cost(W501D5)'!X43</f>
        <v>0</v>
      </c>
    </row>
    <row r="30" spans="1:28">
      <c r="A30" s="140" t="s">
        <v>936</v>
      </c>
      <c r="B30" s="603" t="s">
        <v>278</v>
      </c>
      <c r="C30" s="603">
        <f>IF(INT(C$6/$X29)*$X$7&gt;C28*($X$7+$Z29)*$Y29,C28*($X$7+$Z29)-SUM($B30:B30),INT(C$6/$X29)*$X$7-C28*($X$7+$Z29)*($Y29-1)-SUM($B30:B30))+IF($Y29&gt;1,IF(INT(C$6/$X29)&gt;0,$Z29-$AA29,0),-$AA29)</f>
        <v>0</v>
      </c>
      <c r="D30" s="603">
        <f>IF(INT(D$6/$X29)*$X$7&gt;D28*($X$7+$Z29)*$Y29,D28*($X$7+$Z29)-SUM($B30:C30),INT(D$6/$X29)*$X$7-D28*($X$7+$Z29)*($Y29-1)-SUM($B30:C30))+IF($Y29&gt;1,IF(INT(D$6/$X29)&gt;0,$Z29-$AA29,0),-$AA29)</f>
        <v>0</v>
      </c>
      <c r="E30" s="603">
        <f>IF(INT(E$6/$X29)*$X$7&gt;E28*($X$7+$Z29)*$Y29,E28*($X$7+$Z29)-SUM($B30:D30),INT(E$6/$X29)*$X$7-E28*($X$7+$Z29)*($Y29-1)-SUM($B30:D30))+IF($Y29&gt;1,IF(INT(E$6/$X29)&gt;0,$Z29-$AA29,0),-$AA29)</f>
        <v>0</v>
      </c>
      <c r="F30" s="603">
        <f>IF(INT(F$6/$X29)*$X$7&gt;F28*($X$7+$Z29)*$Y29,F28*($X$7+$Z29)-SUM($B30:E30),INT(F$6/$X29)*$X$7-F28*($X$7+$Z29)*($Y29-1)-SUM($B30:E30))+IF($Y29&gt;1,IF(INT(F$6/$X29)&gt;0,$Z29-$AA29,0),-$AA29)</f>
        <v>0</v>
      </c>
      <c r="G30" s="603">
        <f>IF(INT(G$6/$X29)*$X$7&gt;G28*($X$7+$Z29)*$Y29,G28*($X$7+$Z29)-SUM($B30:F30),INT(G$6/$X29)*$X$7-G28*($X$7+$Z29)*($Y29-1)-SUM($B30:F30))+IF($Y29&gt;1,IF(INT(G$6/$X29)&gt;0,$Z29-$AA29,0),-$AA29)</f>
        <v>0</v>
      </c>
      <c r="H30" s="603">
        <f>IF(INT(H$6/$X29)*$X$7&gt;H28*($X$7+$Z29)*$Y29,H28*($X$7+$Z29)-SUM($B30:G30),INT(H$6/$X29)*$X$7-H28*($X$7+$Z29)*($Y29-1)-SUM($B30:G30))+IF($Y29&gt;1,IF(INT(H$6/$X29)&gt;0,$Z29-$AA29,0),-$AA29)</f>
        <v>0</v>
      </c>
      <c r="I30" s="603">
        <f>IF(INT(I$6/$X29)*$X$7&gt;I28*($X$7+$Z29)*$Y29,I28*($X$7+$Z29)-SUM($B30:H30),INT(I$6/$X29)*$X$7-I28*($X$7+$Z29)*($Y29-1)-SUM($B30:H30))+IF($Y29&gt;1,IF(INT(I$6/$X29)&gt;0,$Z29-$AA29,0),-$AA29)</f>
        <v>0</v>
      </c>
      <c r="J30" s="603">
        <f>IF(INT(J$6/$X29)*$X$7&gt;J28*($X$7+$Z29)*$Y29,J28*($X$7+$Z29)-SUM($B30:I30),INT(J$6/$X29)*$X$7-J28*($X$7+$Z29)*($Y29-1)-SUM($B30:I30))+IF($Y29&gt;1,IF(INT(J$6/$X29)&gt;0,$Z29-$AA29,0),-$AA29)</f>
        <v>0</v>
      </c>
      <c r="K30" s="603">
        <f>IF(INT(K$6/$X29)*$X$7&gt;K28*($X$7+$Z29)*$Y29,K28*($X$7+$Z29)-SUM($B30:J30),INT(K$6/$X29)*$X$7-K28*($X$7+$Z29)*($Y29-1)-SUM($B30:J30))+IF($Y29&gt;1,IF(INT(K$6/$X29)&gt;0,$Z29-$AA29,0),-$AA29)</f>
        <v>0</v>
      </c>
      <c r="L30" s="603">
        <f>IF(INT(L$6/$X29)*$X$7&gt;L28*($X$7+$Z29)*$Y29,L28*($X$7+$Z29)-SUM($B30:K30),INT(L$6/$X29)*$X$7-L28*($X$7+$Z29)*($Y29-1)-SUM($B30:K30))+IF($Y29&gt;1,IF(INT(L$6/$X29)&gt;0,$Z29-$AA29,0),-$AA29)</f>
        <v>0</v>
      </c>
      <c r="M30" s="603">
        <f>IF(INT(M$6/$X29)*$X$7&gt;M28*($X$7+$Z29)*$Y29,M28*($X$7+$Z29)-SUM($B30:L30),INT(M$6/$X29)*$X$7-M28*($X$7+$Z29)*($Y29-1)-SUM($B30:L30))+IF($Y29&gt;1,IF(INT(M$6/$X29)&gt;0,$Z29-$AA29,0),-$AA29)</f>
        <v>0</v>
      </c>
      <c r="N30" s="603">
        <f>IF(INT(N$6/$X29)*$X$7&gt;N28*($X$7+$Z29)*$Y29,N28*($X$7+$Z29)-SUM($B30:M30),INT(N$6/$X29)*$X$7-N28*($X$7+$Z29)*($Y29-1)-SUM($B30:M30))+IF($Y29&gt;1,IF(INT(N$6/$X29)&gt;0,$Z29-$AA29,0),-$AA29)</f>
        <v>0</v>
      </c>
      <c r="O30" s="603">
        <f>IF(INT(O$6/$X29)*$X$7&gt;O28*($X$7+$Z29)*$Y29,O28*($X$7+$Z29)-SUM($B30:N30),INT(O$6/$X29)*$X$7-O28*($X$7+$Z29)*($Y29-1)-SUM($B30:N30))+IF($Y29&gt;1,IF(INT(O$6/$X29)&gt;0,$Z29-$AA29,0),-$AA29)</f>
        <v>0</v>
      </c>
      <c r="P30" s="603">
        <f>IF(INT(P$6/$X29)*$X$7&gt;P28*($X$7+$Z29)*$Y29,P28*($X$7+$Z29)-SUM($B30:O30),INT(P$6/$X29)*$X$7-P28*($X$7+$Z29)*($Y29-1)-SUM($B30:O30))+IF($Y29&gt;1,IF(INT(P$6/$X29)&gt;0,$Z29-$AA29,0),-$AA29)</f>
        <v>0</v>
      </c>
      <c r="Q30" s="603">
        <f>IF(INT(Q$6/$X29)*$X$7&gt;Q28*($X$7+$Z29)*$Y29,Q28*($X$7+$Z29)-SUM($B30:P30),INT(Q$6/$X29)*$X$7-Q28*($X$7+$Z29)*($Y29-1)-SUM($B30:P30))+IF($Y29&gt;1,IF(INT(Q$6/$X29)&gt;0,$Z29-$AA29,0),-$AA29)</f>
        <v>0</v>
      </c>
      <c r="R30" s="603">
        <f>IF(INT(R$6/$X29)*$X$7&gt;R28*($X$7+$Z29)*$Y29,R28*($X$7+$Z29)-SUM($B30:Q30),INT(R$6/$X29)*$X$7-R28*($X$7+$Z29)*($Y29-1)-SUM($B30:Q30))+IF($Y29&gt;1,IF(INT(R$6/$X29)&gt;0,$Z29-$AA29,0),-$AA29)</f>
        <v>0</v>
      </c>
      <c r="S30" s="603">
        <f>IF(INT(S$6/$X29)*$X$7&gt;S28*($X$7+$Z29)*$Y29,S28*($X$7+$Z29)-SUM($B30:R30),INT(S$6/$X29)*$X$7-S28*($X$7+$Z29)*($Y29-1)-SUM($B30:R30))+IF($Y29&gt;1,IF(INT(S$6/$X29)&gt;0,$Z29-$AA29,0),-$AA29)</f>
        <v>0</v>
      </c>
      <c r="T30" s="603">
        <f>IF(INT(T$6/$X29)*$X$7&gt;T28*($X$7+$Z29)*$Y29,T28*($X$7+$Z29)-SUM($B30:S30),INT(T$6/$X29)*$X$7-T28*($X$7+$Z29)*($Y29-1)-SUM($B30:S30))+IF($Y29&gt;1,IF(INT(T$6/$X29)&gt;0,$Z29-$AA29,0),-$AA29)</f>
        <v>0</v>
      </c>
      <c r="U30" s="603">
        <f>IF(INT(U$6/$X29)*$X$7&gt;U28*($X$7+$Z29)*$Y29,U28*($X$7+$Z29)-SUM($B30:T30),INT(U$6/$X29)*$X$7-U28*($X$7+$Z29)*($Y29-1)-SUM($B30:T30))+IF($Y29&gt;1,IF(INT(U$6/$X29)&gt;0,$Z29-$AA29,0),-$AA29)</f>
        <v>0</v>
      </c>
      <c r="V30" s="603">
        <f>IF(INT(V$6/$X29)*$X$7&gt;V28*($X$7+$Z29)*$Y29,V28*($X$7+$Z29)-SUM($B30:U30),INT(V$6/$X29)*$X$7-V28*($X$7+$Z29)*($Y29-1)-SUM($B30:U30))+IF($Y29&gt;1,IF(INT(V$6/$X29)&gt;0,$Z29-$AA29,0),-$AA29)</f>
        <v>0</v>
      </c>
      <c r="W30" s="681"/>
    </row>
    <row r="31" spans="1:28">
      <c r="W31" s="670"/>
    </row>
    <row r="32" spans="1:28" ht="12.75" hidden="1" customHeight="1">
      <c r="A32" s="140" t="s">
        <v>934</v>
      </c>
      <c r="B32" s="603"/>
      <c r="C32" s="140">
        <f t="shared" ref="C32:V32" si="11">INT((INT(C$6/$X33)*$X$7+$X$7+$Z33-1)/($X$7+$Z33)/$Y33)</f>
        <v>0</v>
      </c>
      <c r="D32" s="140">
        <f t="shared" si="11"/>
        <v>0</v>
      </c>
      <c r="E32" s="140">
        <f t="shared" si="11"/>
        <v>0</v>
      </c>
      <c r="F32" s="140">
        <f t="shared" si="11"/>
        <v>0</v>
      </c>
      <c r="G32" s="140">
        <f t="shared" si="11"/>
        <v>0</v>
      </c>
      <c r="H32" s="140">
        <f t="shared" si="11"/>
        <v>0</v>
      </c>
      <c r="I32" s="140">
        <f t="shared" si="11"/>
        <v>0</v>
      </c>
      <c r="J32" s="140">
        <f t="shared" si="11"/>
        <v>0</v>
      </c>
      <c r="K32" s="140">
        <f t="shared" si="11"/>
        <v>0</v>
      </c>
      <c r="L32" s="140">
        <f t="shared" si="11"/>
        <v>0</v>
      </c>
      <c r="M32" s="140">
        <f t="shared" si="11"/>
        <v>0</v>
      </c>
      <c r="N32" s="140">
        <f t="shared" si="11"/>
        <v>0</v>
      </c>
      <c r="O32" s="140">
        <f t="shared" si="11"/>
        <v>0</v>
      </c>
      <c r="P32" s="140">
        <f t="shared" si="11"/>
        <v>0</v>
      </c>
      <c r="Q32" s="140">
        <f t="shared" si="11"/>
        <v>0</v>
      </c>
      <c r="R32" s="140">
        <f t="shared" si="11"/>
        <v>0</v>
      </c>
      <c r="S32" s="140">
        <f t="shared" si="11"/>
        <v>0</v>
      </c>
      <c r="T32" s="140">
        <f t="shared" si="11"/>
        <v>0</v>
      </c>
      <c r="U32" s="140">
        <f t="shared" si="11"/>
        <v>0</v>
      </c>
      <c r="V32" s="140">
        <f t="shared" si="11"/>
        <v>0</v>
      </c>
    </row>
    <row r="33" spans="1:28" s="102" customFormat="1" ht="13.5" customHeight="1">
      <c r="A33" s="140" t="s">
        <v>935</v>
      </c>
      <c r="B33" s="603" t="s">
        <v>278</v>
      </c>
      <c r="C33" s="603">
        <f>IF($Y33=1,0,$X$7*(INT(C$6/$X33)-INT(B$6/$X33))-IF(SUM($B33:B33)&gt;0,C34,0))</f>
        <v>0</v>
      </c>
      <c r="D33" s="603">
        <f>IF($Y33=1,0,$X$7*(INT(D$6/$X33)-INT(C$6/$X33))-IF(SUM($B33:C33)&gt;0,D34,0))</f>
        <v>0</v>
      </c>
      <c r="E33" s="603">
        <f>IF($Y33=1,0,$X$7*(INT(E$6/$X33)-INT(D$6/$X33))-IF(SUM($B33:D33)&gt;0,E34,0))</f>
        <v>0</v>
      </c>
      <c r="F33" s="603">
        <f>IF($Y33=1,0,$X$7*(INT(F$6/$X33)-INT(E$6/$X33))-IF(SUM($B33:E33)&gt;0,F34,0))</f>
        <v>0</v>
      </c>
      <c r="G33" s="603">
        <f>IF($Y33=1,0,$X$7*(INT(G$6/$X33)-INT(F$6/$X33))-IF(SUM($B33:F33)&gt;0,G34,0))</f>
        <v>0</v>
      </c>
      <c r="H33" s="603">
        <f>IF($Y33=1,0,$X$7*(INT(H$6/$X33)-INT(G$6/$X33))-IF(SUM($B33:G33)&gt;0,H34,0))</f>
        <v>0</v>
      </c>
      <c r="I33" s="603">
        <f>IF($Y33=1,0,$X$7*(INT(I$6/$X33)-INT(H$6/$X33))-IF(SUM($B33:H33)&gt;0,I34,0))</f>
        <v>0</v>
      </c>
      <c r="J33" s="603">
        <f>IF($Y33=1,0,$X$7*(INT(J$6/$X33)-INT(I$6/$X33))-IF(SUM($B33:I33)&gt;0,J34,0))</f>
        <v>0</v>
      </c>
      <c r="K33" s="603">
        <f>IF($Y33=1,0,$X$7*(INT(K$6/$X33)-INT(J$6/$X33))-IF(SUM($B33:J33)&gt;0,K34,0))</f>
        <v>0</v>
      </c>
      <c r="L33" s="603">
        <f>IF($Y33=1,0,$X$7*(INT(L$6/$X33)-INT(K$6/$X33))-IF(SUM($B33:K33)&gt;0,L34,0))</f>
        <v>0</v>
      </c>
      <c r="M33" s="603">
        <f>IF($Y33=1,0,$X$7*(INT(M$6/$X33)-INT(L$6/$X33))-IF(SUM($B33:L33)&gt;0,M34,0))</f>
        <v>0</v>
      </c>
      <c r="N33" s="603">
        <f>IF($Y33=1,0,$X$7*(INT(N$6/$X33)-INT(M$6/$X33))-IF(SUM($B33:M33)&gt;0,N34,0))</f>
        <v>0</v>
      </c>
      <c r="O33" s="603">
        <f>IF($Y33=1,0,$X$7*(INT(O$6/$X33)-INT(N$6/$X33))-IF(SUM($B33:N33)&gt;0,O34,0))</f>
        <v>0</v>
      </c>
      <c r="P33" s="603">
        <f>IF($Y33=1,0,$X$7*(INT(P$6/$X33)-INT(O$6/$X33))-IF(SUM($B33:O33)&gt;0,P34,0))</f>
        <v>0</v>
      </c>
      <c r="Q33" s="603">
        <f>IF($Y33=1,0,$X$7*(INT(Q$6/$X33)-INT(P$6/$X33))-IF(SUM($B33:P33)&gt;0,Q34,0))</f>
        <v>0</v>
      </c>
      <c r="R33" s="603">
        <f>IF($Y33=1,0,$X$7*(INT(R$6/$X33)-INT(Q$6/$X33))-IF(SUM($B33:Q33)&gt;0,R34,0))</f>
        <v>0</v>
      </c>
      <c r="S33" s="603">
        <f>IF($Y33=1,0,$X$7*(INT(S$6/$X33)-INT(R$6/$X33))-IF(SUM($B33:R33)&gt;0,S34,0))</f>
        <v>0</v>
      </c>
      <c r="T33" s="603">
        <f>IF($Y33=1,0,$X$7*(INT(T$6/$X33)-INT(S$6/$X33))-IF(SUM($B33:S33)&gt;0,T34,0))</f>
        <v>0</v>
      </c>
      <c r="U33" s="603">
        <f>IF($Y33=1,0,$X$7*(INT(U$6/$X33)-INT(T$6/$X33))-IF(SUM($B33:T33)&gt;0,U34,0))</f>
        <v>0</v>
      </c>
      <c r="V33" s="603">
        <f>IF($Y33=1,0,$X$7*(INT(V$6/$X33)-INT(U$6/$X33))-IF(SUM($B33:U33)&gt;0,V34,0))</f>
        <v>0</v>
      </c>
      <c r="W33" s="678" t="str">
        <f xml:space="preserve"> 'GT schd cost(W501D5)'!A18</f>
        <v>Clamshells</v>
      </c>
      <c r="X33" s="678">
        <f>IF($AD$6=1,'GTDB(W501D5)'!B21,'GTDB(W501D5)'!G21)</f>
        <v>8000</v>
      </c>
      <c r="Y33" s="678">
        <f>IF($AD$6=1,'GTDB(W501D5)'!C21,'GTDB(W501D5)'!H21)</f>
        <v>8</v>
      </c>
      <c r="Z33" s="679">
        <v>1</v>
      </c>
      <c r="AA33" s="834">
        <f>'Initial_Spares(W501D5)'!$E$15</f>
        <v>0</v>
      </c>
      <c r="AB33" s="642">
        <f>'GT schd cost(W501D5)'!X18+'GT schd cost(W501D5)'!X44</f>
        <v>0</v>
      </c>
    </row>
    <row r="34" spans="1:28" s="102" customFormat="1">
      <c r="A34" s="140" t="s">
        <v>936</v>
      </c>
      <c r="B34" s="603" t="s">
        <v>278</v>
      </c>
      <c r="C34" s="603">
        <f>IF(INT(C$6/$X33)*$X$7&gt;C32*($X$7+$Z33)*$Y33,C32*($X$7+$Z33)-SUM($B34:B34),INT(C$6/$X33)*$X$7-C32*($X$7+$Z33)*($Y33-1)-SUM($B34:B34))+IF($Y33&gt;1,IF(INT(C$6/$X33)&gt;0,$Z33-$AA33,0),-$AA33)</f>
        <v>0</v>
      </c>
      <c r="D34" s="603">
        <f>IF(INT(D$6/$X33)*$X$7&gt;D32*($X$7+$Z33)*$Y33,D32*($X$7+$Z33)-SUM($B34:C34),INT(D$6/$X33)*$X$7-D32*($X$7+$Z33)*($Y33-1)-SUM($B34:C34))+IF($Y33&gt;1,IF(INT(D$6/$X33)&gt;0,$Z33-$AA33,0),-$AA33)</f>
        <v>0</v>
      </c>
      <c r="E34" s="603">
        <f>IF(INT(E$6/$X33)*$X$7&gt;E32*($X$7+$Z33)*$Y33,E32*($X$7+$Z33)-SUM($B34:D34),INT(E$6/$X33)*$X$7-E32*($X$7+$Z33)*($Y33-1)-SUM($B34:D34))+IF($Y33&gt;1,IF(INT(E$6/$X33)&gt;0,$Z33-$AA33,0),-$AA33)</f>
        <v>0</v>
      </c>
      <c r="F34" s="603">
        <f>IF(INT(F$6/$X33)*$X$7&gt;F32*($X$7+$Z33)*$Y33,F32*($X$7+$Z33)-SUM($B34:E34),INT(F$6/$X33)*$X$7-F32*($X$7+$Z33)*($Y33-1)-SUM($B34:E34))+IF($Y33&gt;1,IF(INT(F$6/$X33)&gt;0,$Z33-$AA33,0),-$AA33)</f>
        <v>0</v>
      </c>
      <c r="G34" s="603">
        <f>IF(INT(G$6/$X33)*$X$7&gt;G32*($X$7+$Z33)*$Y33,G32*($X$7+$Z33)-SUM($B34:F34),INT(G$6/$X33)*$X$7-G32*($X$7+$Z33)*($Y33-1)-SUM($B34:F34))+IF($Y33&gt;1,IF(INT(G$6/$X33)&gt;0,$Z33-$AA33,0),-$AA33)</f>
        <v>0</v>
      </c>
      <c r="H34" s="603">
        <f>IF(INT(H$6/$X33)*$X$7&gt;H32*($X$7+$Z33)*$Y33,H32*($X$7+$Z33)-SUM($B34:G34),INT(H$6/$X33)*$X$7-H32*($X$7+$Z33)*($Y33-1)-SUM($B34:G34))+IF($Y33&gt;1,IF(INT(H$6/$X33)&gt;0,$Z33-$AA33,0),-$AA33)</f>
        <v>0</v>
      </c>
      <c r="I34" s="603">
        <f>IF(INT(I$6/$X33)*$X$7&gt;I32*($X$7+$Z33)*$Y33,I32*($X$7+$Z33)-SUM($B34:H34),INT(I$6/$X33)*$X$7-I32*($X$7+$Z33)*($Y33-1)-SUM($B34:H34))+IF($Y33&gt;1,IF(INT(I$6/$X33)&gt;0,$Z33-$AA33,0),-$AA33)</f>
        <v>0</v>
      </c>
      <c r="J34" s="603">
        <f>IF(INT(J$6/$X33)*$X$7&gt;J32*($X$7+$Z33)*$Y33,J32*($X$7+$Z33)-SUM($B34:I34),INT(J$6/$X33)*$X$7-J32*($X$7+$Z33)*($Y33-1)-SUM($B34:I34))+IF($Y33&gt;1,IF(INT(J$6/$X33)&gt;0,$Z33-$AA33,0),-$AA33)</f>
        <v>0</v>
      </c>
      <c r="K34" s="603">
        <f>IF(INT(K$6/$X33)*$X$7&gt;K32*($X$7+$Z33)*$Y33,K32*($X$7+$Z33)-SUM($B34:J34),INT(K$6/$X33)*$X$7-K32*($X$7+$Z33)*($Y33-1)-SUM($B34:J34))+IF($Y33&gt;1,IF(INT(K$6/$X33)&gt;0,$Z33-$AA33,0),-$AA33)</f>
        <v>0</v>
      </c>
      <c r="L34" s="603">
        <f>IF(INT(L$6/$X33)*$X$7&gt;L32*($X$7+$Z33)*$Y33,L32*($X$7+$Z33)-SUM($B34:K34),INT(L$6/$X33)*$X$7-L32*($X$7+$Z33)*($Y33-1)-SUM($B34:K34))+IF($Y33&gt;1,IF(INT(L$6/$X33)&gt;0,$Z33-$AA33,0),-$AA33)</f>
        <v>0</v>
      </c>
      <c r="M34" s="603">
        <f>IF(INT(M$6/$X33)*$X$7&gt;M32*($X$7+$Z33)*$Y33,M32*($X$7+$Z33)-SUM($B34:L34),INT(M$6/$X33)*$X$7-M32*($X$7+$Z33)*($Y33-1)-SUM($B34:L34))+IF($Y33&gt;1,IF(INT(M$6/$X33)&gt;0,$Z33-$AA33,0),-$AA33)</f>
        <v>0</v>
      </c>
      <c r="N34" s="603">
        <f>IF(INT(N$6/$X33)*$X$7&gt;N32*($X$7+$Z33)*$Y33,N32*($X$7+$Z33)-SUM($B34:M34),INT(N$6/$X33)*$X$7-N32*($X$7+$Z33)*($Y33-1)-SUM($B34:M34))+IF($Y33&gt;1,IF(INT(N$6/$X33)&gt;0,$Z33-$AA33,0),-$AA33)</f>
        <v>0</v>
      </c>
      <c r="O34" s="603">
        <f>IF(INT(O$6/$X33)*$X$7&gt;O32*($X$7+$Z33)*$Y33,O32*($X$7+$Z33)-SUM($B34:N34),INT(O$6/$X33)*$X$7-O32*($X$7+$Z33)*($Y33-1)-SUM($B34:N34))+IF($Y33&gt;1,IF(INT(O$6/$X33)&gt;0,$Z33-$AA33,0),-$AA33)</f>
        <v>0</v>
      </c>
      <c r="P34" s="603">
        <f>IF(INT(P$6/$X33)*$X$7&gt;P32*($X$7+$Z33)*$Y33,P32*($X$7+$Z33)-SUM($B34:O34),INT(P$6/$X33)*$X$7-P32*($X$7+$Z33)*($Y33-1)-SUM($B34:O34))+IF($Y33&gt;1,IF(INT(P$6/$X33)&gt;0,$Z33-$AA33,0),-$AA33)</f>
        <v>0</v>
      </c>
      <c r="Q34" s="603">
        <f>IF(INT(Q$6/$X33)*$X$7&gt;Q32*($X$7+$Z33)*$Y33,Q32*($X$7+$Z33)-SUM($B34:P34),INT(Q$6/$X33)*$X$7-Q32*($X$7+$Z33)*($Y33-1)-SUM($B34:P34))+IF($Y33&gt;1,IF(INT(Q$6/$X33)&gt;0,$Z33-$AA33,0),-$AA33)</f>
        <v>0</v>
      </c>
      <c r="R34" s="603">
        <f>IF(INT(R$6/$X33)*$X$7&gt;R32*($X$7+$Z33)*$Y33,R32*($X$7+$Z33)-SUM($B34:Q34),INT(R$6/$X33)*$X$7-R32*($X$7+$Z33)*($Y33-1)-SUM($B34:Q34))+IF($Y33&gt;1,IF(INT(R$6/$X33)&gt;0,$Z33-$AA33,0),-$AA33)</f>
        <v>0</v>
      </c>
      <c r="S34" s="603">
        <f>IF(INT(S$6/$X33)*$X$7&gt;S32*($X$7+$Z33)*$Y33,S32*($X$7+$Z33)-SUM($B34:R34),INT(S$6/$X33)*$X$7-S32*($X$7+$Z33)*($Y33-1)-SUM($B34:R34))+IF($Y33&gt;1,IF(INT(S$6/$X33)&gt;0,$Z33-$AA33,0),-$AA33)</f>
        <v>0</v>
      </c>
      <c r="T34" s="603">
        <f>IF(INT(T$6/$X33)*$X$7&gt;T32*($X$7+$Z33)*$Y33,T32*($X$7+$Z33)-SUM($B34:S34),INT(T$6/$X33)*$X$7-T32*($X$7+$Z33)*($Y33-1)-SUM($B34:S34))+IF($Y33&gt;1,IF(INT(T$6/$X33)&gt;0,$Z33-$AA33,0),-$AA33)</f>
        <v>0</v>
      </c>
      <c r="U34" s="603">
        <f>IF(INT(U$6/$X33)*$X$7&gt;U32*($X$7+$Z33)*$Y33,U32*($X$7+$Z33)-SUM($B34:T34),INT(U$6/$X33)*$X$7-U32*($X$7+$Z33)*($Y33-1)-SUM($B34:T34))+IF($Y33&gt;1,IF(INT(U$6/$X33)&gt;0,$Z33-$AA33,0),-$AA33)</f>
        <v>0</v>
      </c>
      <c r="V34" s="603">
        <f>IF(INT(V$6/$X33)*$X$7&gt;V32*($X$7+$Z33)*$Y33,V32*($X$7+$Z33)-SUM($B34:U34),INT(V$6/$X33)*$X$7-V32*($X$7+$Z33)*($Y33-1)-SUM($B34:U34))+IF($Y33&gt;1,IF(INT(V$6/$X33)&gt;0,$Z33-$AA33,0),-$AA33)</f>
        <v>0</v>
      </c>
      <c r="W34" s="681"/>
      <c r="X34"/>
      <c r="Y34"/>
      <c r="Z34"/>
    </row>
    <row r="35" spans="1:28" s="102" customFormat="1">
      <c r="W35" s="663"/>
    </row>
    <row r="36" spans="1:28" s="102" customFormat="1" hidden="1">
      <c r="A36" s="140" t="s">
        <v>934</v>
      </c>
      <c r="B36" s="603"/>
      <c r="C36" s="140">
        <f t="shared" ref="C36:V36" si="12">INT((INT(C$6/$X37)*$X$7+$X$7+$Z37-1)/($X$7+$Z37)/$Y37)</f>
        <v>0</v>
      </c>
      <c r="D36" s="140">
        <f t="shared" si="12"/>
        <v>0</v>
      </c>
      <c r="E36" s="140">
        <f t="shared" si="12"/>
        <v>0</v>
      </c>
      <c r="F36" s="140">
        <f t="shared" si="12"/>
        <v>0</v>
      </c>
      <c r="G36" s="140">
        <f t="shared" si="12"/>
        <v>0</v>
      </c>
      <c r="H36" s="140">
        <f t="shared" si="12"/>
        <v>0</v>
      </c>
      <c r="I36" s="140">
        <f t="shared" si="12"/>
        <v>0</v>
      </c>
      <c r="J36" s="140">
        <f t="shared" si="12"/>
        <v>0</v>
      </c>
      <c r="K36" s="140">
        <f t="shared" si="12"/>
        <v>0</v>
      </c>
      <c r="L36" s="140">
        <f t="shared" si="12"/>
        <v>0</v>
      </c>
      <c r="M36" s="140">
        <f t="shared" si="12"/>
        <v>0</v>
      </c>
      <c r="N36" s="140">
        <f t="shared" si="12"/>
        <v>0</v>
      </c>
      <c r="O36" s="140">
        <f t="shared" si="12"/>
        <v>0</v>
      </c>
      <c r="P36" s="140">
        <f t="shared" si="12"/>
        <v>0</v>
      </c>
      <c r="Q36" s="140">
        <f t="shared" si="12"/>
        <v>0</v>
      </c>
      <c r="R36" s="140">
        <f t="shared" si="12"/>
        <v>0</v>
      </c>
      <c r="S36" s="140">
        <f t="shared" si="12"/>
        <v>0</v>
      </c>
      <c r="T36" s="140">
        <f t="shared" si="12"/>
        <v>0</v>
      </c>
      <c r="U36" s="140">
        <f t="shared" si="12"/>
        <v>0</v>
      </c>
      <c r="V36" s="140">
        <f t="shared" si="12"/>
        <v>0</v>
      </c>
    </row>
    <row r="37" spans="1:28" s="102" customFormat="1">
      <c r="A37" s="140" t="s">
        <v>935</v>
      </c>
      <c r="B37" s="603" t="s">
        <v>278</v>
      </c>
      <c r="C37" s="603">
        <f>IF($Y37=1,0,$X$7*(INT(C$6/$X37)-INT(B$6/$X37))-IF(SUM($B37:B37)&gt;0,C38,0))</f>
        <v>0</v>
      </c>
      <c r="D37" s="603">
        <f>IF($Y37=1,0,$X$7*(INT(D$6/$X37)-INT(C$6/$X37))-IF(SUM($B37:C37)&gt;0,D38,0))</f>
        <v>0</v>
      </c>
      <c r="E37" s="603">
        <f>IF($Y37=1,0,$X$7*(INT(E$6/$X37)-INT(D$6/$X37))-IF(SUM($B37:D37)&gt;0,E38,0))</f>
        <v>0</v>
      </c>
      <c r="F37" s="603">
        <f>IF($Y37=1,0,$X$7*(INT(F$6/$X37)-INT(E$6/$X37))-IF(SUM($B37:E37)&gt;0,F38,0))</f>
        <v>0</v>
      </c>
      <c r="G37" s="603">
        <f>IF($Y37=1,0,$X$7*(INT(G$6/$X37)-INT(F$6/$X37))-IF(SUM($B37:F37)&gt;0,G38,0))</f>
        <v>0</v>
      </c>
      <c r="H37" s="603">
        <f>IF($Y37=1,0,$X$7*(INT(H$6/$X37)-INT(G$6/$X37))-IF(SUM($B37:G37)&gt;0,H38,0))</f>
        <v>0</v>
      </c>
      <c r="I37" s="603">
        <f>IF($Y37=1,0,$X$7*(INT(I$6/$X37)-INT(H$6/$X37))-IF(SUM($B37:H37)&gt;0,I38,0))</f>
        <v>0</v>
      </c>
      <c r="J37" s="603">
        <f>IF($Y37=1,0,$X$7*(INT(J$6/$X37)-INT(I$6/$X37))-IF(SUM($B37:I37)&gt;0,J38,0))</f>
        <v>0</v>
      </c>
      <c r="K37" s="603">
        <f>IF($Y37=1,0,$X$7*(INT(K$6/$X37)-INT(J$6/$X37))-IF(SUM($B37:J37)&gt;0,K38,0))</f>
        <v>0</v>
      </c>
      <c r="L37" s="603">
        <f>IF($Y37=1,0,$X$7*(INT(L$6/$X37)-INT(K$6/$X37))-IF(SUM($B37:K37)&gt;0,L38,0))</f>
        <v>0</v>
      </c>
      <c r="M37" s="603">
        <f>IF($Y37=1,0,$X$7*(INT(M$6/$X37)-INT(L$6/$X37))-IF(SUM($B37:L37)&gt;0,M38,0))</f>
        <v>0</v>
      </c>
      <c r="N37" s="603">
        <f>IF($Y37=1,0,$X$7*(INT(N$6/$X37)-INT(M$6/$X37))-IF(SUM($B37:M37)&gt;0,N38,0))</f>
        <v>0</v>
      </c>
      <c r="O37" s="603">
        <f>IF($Y37=1,0,$X$7*(INT(O$6/$X37)-INT(N$6/$X37))-IF(SUM($B37:N37)&gt;0,O38,0))</f>
        <v>0</v>
      </c>
      <c r="P37" s="603">
        <f>IF($Y37=1,0,$X$7*(INT(P$6/$X37)-INT(O$6/$X37))-IF(SUM($B37:O37)&gt;0,P38,0))</f>
        <v>0</v>
      </c>
      <c r="Q37" s="603">
        <f>IF($Y37=1,0,$X$7*(INT(Q$6/$X37)-INT(P$6/$X37))-IF(SUM($B37:P37)&gt;0,Q38,0))</f>
        <v>0</v>
      </c>
      <c r="R37" s="603">
        <f>IF($Y37=1,0,$X$7*(INT(R$6/$X37)-INT(Q$6/$X37))-IF(SUM($B37:Q37)&gt;0,R38,0))</f>
        <v>0</v>
      </c>
      <c r="S37" s="603">
        <f>IF($Y37=1,0,$X$7*(INT(S$6/$X37)-INT(R$6/$X37))-IF(SUM($B37:R37)&gt;0,S38,0))</f>
        <v>0</v>
      </c>
      <c r="T37" s="603">
        <f>IF($Y37=1,0,$X$7*(INT(T$6/$X37)-INT(S$6/$X37))-IF(SUM($B37:S37)&gt;0,T38,0))</f>
        <v>0</v>
      </c>
      <c r="U37" s="603">
        <f>IF($Y37=1,0,$X$7*(INT(U$6/$X37)-INT(T$6/$X37))-IF(SUM($B37:T37)&gt;0,U38,0))</f>
        <v>0</v>
      </c>
      <c r="V37" s="603">
        <f>IF($Y37=1,0,$X$7*(INT(V$6/$X37)-INT(U$6/$X37))-IF(SUM($B37:U37)&gt;0,V38,0))</f>
        <v>0</v>
      </c>
      <c r="W37" s="678" t="str">
        <f>'GT schd cost(W501D5)'!A19</f>
        <v>Row 1 Blades</v>
      </c>
      <c r="X37" s="678">
        <f>IF($AD$6=1,'GTDB(W501D5)'!B22,'GTDB(W501D5)'!G22)</f>
        <v>24000</v>
      </c>
      <c r="Y37" s="678">
        <f>IF($AD$6=1,'GTDB(W501D5)'!C22,'GTDB(W501D5)'!H22)</f>
        <v>2</v>
      </c>
      <c r="Z37" s="679">
        <v>1</v>
      </c>
      <c r="AA37" s="834">
        <f>'Initial_Spares(W501D5)'!$E$16</f>
        <v>0</v>
      </c>
      <c r="AB37" s="642">
        <f>'GT schd cost(W501D5)'!X19+'GT schd cost(W501D5)'!X45</f>
        <v>0</v>
      </c>
    </row>
    <row r="38" spans="1:28" s="102" customFormat="1">
      <c r="A38" s="140" t="s">
        <v>936</v>
      </c>
      <c r="B38" s="603" t="s">
        <v>278</v>
      </c>
      <c r="C38" s="603">
        <f>IF(INT(C$6/$X37)*$X$7&gt;C36*($X$7+$Z37)*$Y37,C36*($X$7+$Z37)-SUM($B38:B38),INT(C$6/$X37)*$X$7-C36*($X$7+$Z37)*($Y37-1)-SUM($B38:B38))+IF($Y37&gt;1,IF(INT(C$6/$X37)&gt;0,$Z37-$AA37,0),-$AA37)</f>
        <v>0</v>
      </c>
      <c r="D38" s="603">
        <f>IF(INT(D$6/$X37)*$X$7&gt;D36*($X$7+$Z37)*$Y37,D36*($X$7+$Z37)-SUM($B38:C38),INT(D$6/$X37)*$X$7-D36*($X$7+$Z37)*($Y37-1)-SUM($B38:C38))+IF($Y37&gt;1,IF(INT(D$6/$X37)&gt;0,$Z37-$AA37,0),-$AA37)</f>
        <v>0</v>
      </c>
      <c r="E38" s="603">
        <f>IF(INT(E$6/$X37)*$X$7&gt;E36*($X$7+$Z37)*$Y37,E36*($X$7+$Z37)-SUM($B38:D38),INT(E$6/$X37)*$X$7-E36*($X$7+$Z37)*($Y37-1)-SUM($B38:D38))+IF($Y37&gt;1,IF(INT(E$6/$X37)&gt;0,$Z37-$AA37,0),-$AA37)</f>
        <v>0</v>
      </c>
      <c r="F38" s="603">
        <f>IF(INT(F$6/$X37)*$X$7&gt;F36*($X$7+$Z37)*$Y37,F36*($X$7+$Z37)-SUM($B38:E38),INT(F$6/$X37)*$X$7-F36*($X$7+$Z37)*($Y37-1)-SUM($B38:E38))+IF($Y37&gt;1,IF(INT(F$6/$X37)&gt;0,$Z37-$AA37,0),-$AA37)</f>
        <v>0</v>
      </c>
      <c r="G38" s="603">
        <f>IF(INT(G$6/$X37)*$X$7&gt;G36*($X$7+$Z37)*$Y37,G36*($X$7+$Z37)-SUM($B38:F38),INT(G$6/$X37)*$X$7-G36*($X$7+$Z37)*($Y37-1)-SUM($B38:F38))+IF($Y37&gt;1,IF(INT(G$6/$X37)&gt;0,$Z37-$AA37,0),-$AA37)</f>
        <v>0</v>
      </c>
      <c r="H38" s="603">
        <f>IF(INT(H$6/$X37)*$X$7&gt;H36*($X$7+$Z37)*$Y37,H36*($X$7+$Z37)-SUM($B38:G38),INT(H$6/$X37)*$X$7-H36*($X$7+$Z37)*($Y37-1)-SUM($B38:G38))+IF($Y37&gt;1,IF(INT(H$6/$X37)&gt;0,$Z37-$AA37,0),-$AA37)</f>
        <v>0</v>
      </c>
      <c r="I38" s="603">
        <f>IF(INT(I$6/$X37)*$X$7&gt;I36*($X$7+$Z37)*$Y37,I36*($X$7+$Z37)-SUM($B38:H38),INT(I$6/$X37)*$X$7-I36*($X$7+$Z37)*($Y37-1)-SUM($B38:H38))+IF($Y37&gt;1,IF(INT(I$6/$X37)&gt;0,$Z37-$AA37,0),-$AA37)</f>
        <v>0</v>
      </c>
      <c r="J38" s="603">
        <f>IF(INT(J$6/$X37)*$X$7&gt;J36*($X$7+$Z37)*$Y37,J36*($X$7+$Z37)-SUM($B38:I38),INT(J$6/$X37)*$X$7-J36*($X$7+$Z37)*($Y37-1)-SUM($B38:I38))+IF($Y37&gt;1,IF(INT(J$6/$X37)&gt;0,$Z37-$AA37,0),-$AA37)</f>
        <v>0</v>
      </c>
      <c r="K38" s="603">
        <f>IF(INT(K$6/$X37)*$X$7&gt;K36*($X$7+$Z37)*$Y37,K36*($X$7+$Z37)-SUM($B38:J38),INT(K$6/$X37)*$X$7-K36*($X$7+$Z37)*($Y37-1)-SUM($B38:J38))+IF($Y37&gt;1,IF(INT(K$6/$X37)&gt;0,$Z37-$AA37,0),-$AA37)</f>
        <v>0</v>
      </c>
      <c r="L38" s="603">
        <f>IF(INT(L$6/$X37)*$X$7&gt;L36*($X$7+$Z37)*$Y37,L36*($X$7+$Z37)-SUM($B38:K38),INT(L$6/$X37)*$X$7-L36*($X$7+$Z37)*($Y37-1)-SUM($B38:K38))+IF($Y37&gt;1,IF(INT(L$6/$X37)&gt;0,$Z37-$AA37,0),-$AA37)</f>
        <v>0</v>
      </c>
      <c r="M38" s="603">
        <f>IF(INT(M$6/$X37)*$X$7&gt;M36*($X$7+$Z37)*$Y37,M36*($X$7+$Z37)-SUM($B38:L38),INT(M$6/$X37)*$X$7-M36*($X$7+$Z37)*($Y37-1)-SUM($B38:L38))+IF($Y37&gt;1,IF(INT(M$6/$X37)&gt;0,$Z37-$AA37,0),-$AA37)</f>
        <v>0</v>
      </c>
      <c r="N38" s="603">
        <f>IF(INT(N$6/$X37)*$X$7&gt;N36*($X$7+$Z37)*$Y37,N36*($X$7+$Z37)-SUM($B38:M38),INT(N$6/$X37)*$X$7-N36*($X$7+$Z37)*($Y37-1)-SUM($B38:M38))+IF($Y37&gt;1,IF(INT(N$6/$X37)&gt;0,$Z37-$AA37,0),-$AA37)</f>
        <v>0</v>
      </c>
      <c r="O38" s="603">
        <f>IF(INT(O$6/$X37)*$X$7&gt;O36*($X$7+$Z37)*$Y37,O36*($X$7+$Z37)-SUM($B38:N38),INT(O$6/$X37)*$X$7-O36*($X$7+$Z37)*($Y37-1)-SUM($B38:N38))+IF($Y37&gt;1,IF(INT(O$6/$X37)&gt;0,$Z37-$AA37,0),-$AA37)</f>
        <v>0</v>
      </c>
      <c r="P38" s="603">
        <f>IF(INT(P$6/$X37)*$X$7&gt;P36*($X$7+$Z37)*$Y37,P36*($X$7+$Z37)-SUM($B38:O38),INT(P$6/$X37)*$X$7-P36*($X$7+$Z37)*($Y37-1)-SUM($B38:O38))+IF($Y37&gt;1,IF(INT(P$6/$X37)&gt;0,$Z37-$AA37,0),-$AA37)</f>
        <v>0</v>
      </c>
      <c r="Q38" s="603">
        <f>IF(INT(Q$6/$X37)*$X$7&gt;Q36*($X$7+$Z37)*$Y37,Q36*($X$7+$Z37)-SUM($B38:P38),INT(Q$6/$X37)*$X$7-Q36*($X$7+$Z37)*($Y37-1)-SUM($B38:P38))+IF($Y37&gt;1,IF(INT(Q$6/$X37)&gt;0,$Z37-$AA37,0),-$AA37)</f>
        <v>0</v>
      </c>
      <c r="R38" s="603">
        <f>IF(INT(R$6/$X37)*$X$7&gt;R36*($X$7+$Z37)*$Y37,R36*($X$7+$Z37)-SUM($B38:Q38),INT(R$6/$X37)*$X$7-R36*($X$7+$Z37)*($Y37-1)-SUM($B38:Q38))+IF($Y37&gt;1,IF(INT(R$6/$X37)&gt;0,$Z37-$AA37,0),-$AA37)</f>
        <v>0</v>
      </c>
      <c r="S38" s="603">
        <f>IF(INT(S$6/$X37)*$X$7&gt;S36*($X$7+$Z37)*$Y37,S36*($X$7+$Z37)-SUM($B38:R38),INT(S$6/$X37)*$X$7-S36*($X$7+$Z37)*($Y37-1)-SUM($B38:R38))+IF($Y37&gt;1,IF(INT(S$6/$X37)&gt;0,$Z37-$AA37,0),-$AA37)</f>
        <v>0</v>
      </c>
      <c r="T38" s="603">
        <f>IF(INT(T$6/$X37)*$X$7&gt;T36*($X$7+$Z37)*$Y37,T36*($X$7+$Z37)-SUM($B38:S38),INT(T$6/$X37)*$X$7-T36*($X$7+$Z37)*($Y37-1)-SUM($B38:S38))+IF($Y37&gt;1,IF(INT(T$6/$X37)&gt;0,$Z37-$AA37,0),-$AA37)</f>
        <v>0</v>
      </c>
      <c r="U38" s="603">
        <f>IF(INT(U$6/$X37)*$X$7&gt;U36*($X$7+$Z37)*$Y37,U36*($X$7+$Z37)-SUM($B38:T38),INT(U$6/$X37)*$X$7-U36*($X$7+$Z37)*($Y37-1)-SUM($B38:T38))+IF($Y37&gt;1,IF(INT(U$6/$X37)&gt;0,$Z37-$AA37,0),-$AA37)</f>
        <v>0</v>
      </c>
      <c r="V38" s="603">
        <f>IF(INT(V$6/$X37)*$X$7&gt;V36*($X$7+$Z37)*$Y37,V36*($X$7+$Z37)-SUM($B38:U38),INT(V$6/$X37)*$X$7-V36*($X$7+$Z37)*($Y37-1)-SUM($B38:U38))+IF($Y37&gt;1,IF(INT(V$6/$X37)&gt;0,$Z37-$AA37,0),-$AA37)</f>
        <v>0</v>
      </c>
      <c r="W38" s="681"/>
      <c r="X38"/>
      <c r="Y38"/>
      <c r="Z38"/>
    </row>
    <row r="39" spans="1:28" s="102" customFormat="1">
      <c r="B39" s="615"/>
      <c r="C39" s="615"/>
      <c r="D39" s="615"/>
      <c r="E39" s="615"/>
      <c r="F39" s="615"/>
      <c r="G39" s="615"/>
      <c r="H39" s="615"/>
      <c r="I39" s="682"/>
      <c r="J39" s="615"/>
      <c r="K39" s="615"/>
      <c r="W39" s="663"/>
    </row>
    <row r="40" spans="1:28" s="102" customFormat="1" hidden="1">
      <c r="A40" s="140" t="s">
        <v>934</v>
      </c>
      <c r="B40" s="603"/>
      <c r="C40" s="140">
        <f t="shared" ref="C40:V40" si="13">INT((INT(C$6/$X41)*$X$7+$X$7+$Z41-1)/($X$7+$Z41)/$Y41)</f>
        <v>0</v>
      </c>
      <c r="D40" s="140">
        <f t="shared" si="13"/>
        <v>0</v>
      </c>
      <c r="E40" s="140">
        <f t="shared" si="13"/>
        <v>0</v>
      </c>
      <c r="F40" s="140">
        <f t="shared" si="13"/>
        <v>0</v>
      </c>
      <c r="G40" s="140">
        <f t="shared" si="13"/>
        <v>0</v>
      </c>
      <c r="H40" s="140">
        <f t="shared" si="13"/>
        <v>0</v>
      </c>
      <c r="I40" s="140">
        <f t="shared" si="13"/>
        <v>0</v>
      </c>
      <c r="J40" s="140">
        <f t="shared" si="13"/>
        <v>0</v>
      </c>
      <c r="K40" s="140">
        <f t="shared" si="13"/>
        <v>0</v>
      </c>
      <c r="L40" s="140">
        <f t="shared" si="13"/>
        <v>0</v>
      </c>
      <c r="M40" s="140">
        <f t="shared" si="13"/>
        <v>0</v>
      </c>
      <c r="N40" s="140">
        <f t="shared" si="13"/>
        <v>0</v>
      </c>
      <c r="O40" s="140">
        <f t="shared" si="13"/>
        <v>0</v>
      </c>
      <c r="P40" s="140">
        <f t="shared" si="13"/>
        <v>0</v>
      </c>
      <c r="Q40" s="140">
        <f t="shared" si="13"/>
        <v>0</v>
      </c>
      <c r="R40" s="140">
        <f t="shared" si="13"/>
        <v>0</v>
      </c>
      <c r="S40" s="140">
        <f t="shared" si="13"/>
        <v>0</v>
      </c>
      <c r="T40" s="140">
        <f t="shared" si="13"/>
        <v>0</v>
      </c>
      <c r="U40" s="140">
        <f t="shared" si="13"/>
        <v>0</v>
      </c>
      <c r="V40" s="140">
        <f t="shared" si="13"/>
        <v>0</v>
      </c>
    </row>
    <row r="41" spans="1:28" s="102" customFormat="1">
      <c r="A41" s="140" t="s">
        <v>935</v>
      </c>
      <c r="B41" s="603" t="s">
        <v>278</v>
      </c>
      <c r="C41" s="603">
        <f>IF($Y41=1,0,$X$7*(INT(C$6/$X41)-INT(B$6/$X41))-IF(SUM($B41:B41)&gt;0,C42,0))</f>
        <v>0</v>
      </c>
      <c r="D41" s="603">
        <f>IF($Y41=1,0,$X$7*(INT(D$6/$X41)-INT(C$6/$X41))-IF(SUM($B41:C41)&gt;0,D42,0))</f>
        <v>0</v>
      </c>
      <c r="E41" s="603">
        <f>IF($Y41=1,0,$X$7*(INT(E$6/$X41)-INT(D$6/$X41))-IF(SUM($B41:D41)&gt;0,E42,0))</f>
        <v>0</v>
      </c>
      <c r="F41" s="603">
        <f>IF($Y41=1,0,$X$7*(INT(F$6/$X41)-INT(E$6/$X41))-IF(SUM($B41:E41)&gt;0,F42,0))</f>
        <v>0</v>
      </c>
      <c r="G41" s="603">
        <f>IF($Y41=1,0,$X$7*(INT(G$6/$X41)-INT(F$6/$X41))-IF(SUM($B41:F41)&gt;0,G42,0))</f>
        <v>0</v>
      </c>
      <c r="H41" s="603">
        <f>IF($Y41=1,0,$X$7*(INT(H$6/$X41)-INT(G$6/$X41))-IF(SUM($B41:G41)&gt;0,H42,0))</f>
        <v>0</v>
      </c>
      <c r="I41" s="603">
        <f>IF($Y41=1,0,$X$7*(INT(I$6/$X41)-INT(H$6/$X41))-IF(SUM($B41:H41)&gt;0,I42,0))</f>
        <v>0</v>
      </c>
      <c r="J41" s="603">
        <f>IF($Y41=1,0,$X$7*(INT(J$6/$X41)-INT(I$6/$X41))-IF(SUM($B41:I41)&gt;0,J42,0))</f>
        <v>0</v>
      </c>
      <c r="K41" s="603">
        <f>IF($Y41=1,0,$X$7*(INT(K$6/$X41)-INT(J$6/$X41))-IF(SUM($B41:J41)&gt;0,K42,0))</f>
        <v>0</v>
      </c>
      <c r="L41" s="603">
        <f>IF($Y41=1,0,$X$7*(INT(L$6/$X41)-INT(K$6/$X41))-IF(SUM($B41:K41)&gt;0,L42,0))</f>
        <v>0</v>
      </c>
      <c r="M41" s="603">
        <f>IF($Y41=1,0,$X$7*(INT(M$6/$X41)-INT(L$6/$X41))-IF(SUM($B41:L41)&gt;0,M42,0))</f>
        <v>0</v>
      </c>
      <c r="N41" s="603">
        <f>IF($Y41=1,0,$X$7*(INT(N$6/$X41)-INT(M$6/$X41))-IF(SUM($B41:M41)&gt;0,N42,0))</f>
        <v>0</v>
      </c>
      <c r="O41" s="603">
        <f>IF($Y41=1,0,$X$7*(INT(O$6/$X41)-INT(N$6/$X41))-IF(SUM($B41:N41)&gt;0,O42,0))</f>
        <v>0</v>
      </c>
      <c r="P41" s="603">
        <f>IF($Y41=1,0,$X$7*(INT(P$6/$X41)-INT(O$6/$X41))-IF(SUM($B41:O41)&gt;0,P42,0))</f>
        <v>0</v>
      </c>
      <c r="Q41" s="603">
        <f>IF($Y41=1,0,$X$7*(INT(Q$6/$X41)-INT(P$6/$X41))-IF(SUM($B41:P41)&gt;0,Q42,0))</f>
        <v>0</v>
      </c>
      <c r="R41" s="603">
        <f>IF($Y41=1,0,$X$7*(INT(R$6/$X41)-INT(Q$6/$X41))-IF(SUM($B41:Q41)&gt;0,R42,0))</f>
        <v>0</v>
      </c>
      <c r="S41" s="603">
        <f>IF($Y41=1,0,$X$7*(INT(S$6/$X41)-INT(R$6/$X41))-IF(SUM($B41:R41)&gt;0,S42,0))</f>
        <v>0</v>
      </c>
      <c r="T41" s="603">
        <f>IF($Y41=1,0,$X$7*(INT(T$6/$X41)-INT(S$6/$X41))-IF(SUM($B41:S41)&gt;0,T42,0))</f>
        <v>0</v>
      </c>
      <c r="U41" s="603">
        <f>IF($Y41=1,0,$X$7*(INT(U$6/$X41)-INT(T$6/$X41))-IF(SUM($B41:T41)&gt;0,U42,0))</f>
        <v>0</v>
      </c>
      <c r="V41" s="603">
        <f>IF($Y41=1,0,$X$7*(INT(V$6/$X41)-INT(U$6/$X41))-IF(SUM($B41:U41)&gt;0,V42,0))</f>
        <v>0</v>
      </c>
      <c r="W41" s="678" t="str">
        <f xml:space="preserve"> 'GT schd cost(W501D5)'!A20</f>
        <v>Row 2 Blades</v>
      </c>
      <c r="X41" s="678">
        <f>IF($AD$6=1,'GTDB(W501D5)'!B23,'GTDB(W501D5)'!G23)</f>
        <v>24000</v>
      </c>
      <c r="Y41" s="678">
        <f>IF($AD$6=1,'GTDB(W501D5)'!C23,'GTDB(W501D5)'!H23)</f>
        <v>3</v>
      </c>
      <c r="Z41" s="679">
        <v>1</v>
      </c>
      <c r="AA41" s="834">
        <f>'Initial_Spares(W501D5)'!$E$17</f>
        <v>0</v>
      </c>
      <c r="AB41" s="642">
        <f>'GT schd cost(W501D5)'!X20+'GT schd cost(W501D5)'!X46</f>
        <v>0</v>
      </c>
    </row>
    <row r="42" spans="1:28" s="102" customFormat="1">
      <c r="A42" s="140" t="s">
        <v>936</v>
      </c>
      <c r="B42" s="603" t="s">
        <v>278</v>
      </c>
      <c r="C42" s="603">
        <f>IF(INT(C$6/$X41)*$X$7&gt;C40*($X$7+$Z41)*$Y41,C40*($X$7+$Z41)-SUM($B42:B42),INT(C$6/$X41)*$X$7-C40*($X$7+$Z41)*($Y41-1)-SUM($B42:B42))+IF($Y41&gt;1,IF(INT(C$6/$X41)&gt;0,$Z41-$AA41,0),-$AA41)</f>
        <v>0</v>
      </c>
      <c r="D42" s="603">
        <f>IF(INT(D$6/$X41)*$X$7&gt;D40*($X$7+$Z41)*$Y41,D40*($X$7+$Z41)-SUM($B42:C42),INT(D$6/$X41)*$X$7-D40*($X$7+$Z41)*($Y41-1)-SUM($B42:C42))+IF($Y41&gt;1,IF(INT(D$6/$X41)&gt;0,$Z41-$AA41,0),-$AA41)</f>
        <v>0</v>
      </c>
      <c r="E42" s="603">
        <f>IF(INT(E$6/$X41)*$X$7&gt;E40*($X$7+$Z41)*$Y41,E40*($X$7+$Z41)-SUM($B42:D42),INT(E$6/$X41)*$X$7-E40*($X$7+$Z41)*($Y41-1)-SUM($B42:D42))+IF($Y41&gt;1,IF(INT(E$6/$X41)&gt;0,$Z41-$AA41,0),-$AA41)</f>
        <v>0</v>
      </c>
      <c r="F42" s="603">
        <f>IF(INT(F$6/$X41)*$X$7&gt;F40*($X$7+$Z41)*$Y41,F40*($X$7+$Z41)-SUM($B42:E42),INT(F$6/$X41)*$X$7-F40*($X$7+$Z41)*($Y41-1)-SUM($B42:E42))+IF($Y41&gt;1,IF(INT(F$6/$X41)&gt;0,$Z41-$AA41,0),-$AA41)</f>
        <v>0</v>
      </c>
      <c r="G42" s="603">
        <f>IF(INT(G$6/$X41)*$X$7&gt;G40*($X$7+$Z41)*$Y41,G40*($X$7+$Z41)-SUM($B42:F42),INT(G$6/$X41)*$X$7-G40*($X$7+$Z41)*($Y41-1)-SUM($B42:F42))+IF($Y41&gt;1,IF(INT(G$6/$X41)&gt;0,$Z41-$AA41,0),-$AA41)</f>
        <v>0</v>
      </c>
      <c r="H42" s="603">
        <f>IF(INT(H$6/$X41)*$X$7&gt;H40*($X$7+$Z41)*$Y41,H40*($X$7+$Z41)-SUM($B42:G42),INT(H$6/$X41)*$X$7-H40*($X$7+$Z41)*($Y41-1)-SUM($B42:G42))+IF($Y41&gt;1,IF(INT(H$6/$X41)&gt;0,$Z41-$AA41,0),-$AA41)</f>
        <v>0</v>
      </c>
      <c r="I42" s="603">
        <f>IF(INT(I$6/$X41)*$X$7&gt;I40*($X$7+$Z41)*$Y41,I40*($X$7+$Z41)-SUM($B42:H42),INT(I$6/$X41)*$X$7-I40*($X$7+$Z41)*($Y41-1)-SUM($B42:H42))+IF($Y41&gt;1,IF(INT(I$6/$X41)&gt;0,$Z41-$AA41,0),-$AA41)</f>
        <v>0</v>
      </c>
      <c r="J42" s="603">
        <f>IF(INT(J$6/$X41)*$X$7&gt;J40*($X$7+$Z41)*$Y41,J40*($X$7+$Z41)-SUM($B42:I42),INT(J$6/$X41)*$X$7-J40*($X$7+$Z41)*($Y41-1)-SUM($B42:I42))+IF($Y41&gt;1,IF(INT(J$6/$X41)&gt;0,$Z41-$AA41,0),-$AA41)</f>
        <v>0</v>
      </c>
      <c r="K42" s="603">
        <f>IF(INT(K$6/$X41)*$X$7&gt;K40*($X$7+$Z41)*$Y41,K40*($X$7+$Z41)-SUM($B42:J42),INT(K$6/$X41)*$X$7-K40*($X$7+$Z41)*($Y41-1)-SUM($B42:J42))+IF($Y41&gt;1,IF(INT(K$6/$X41)&gt;0,$Z41-$AA41,0),-$AA41)</f>
        <v>0</v>
      </c>
      <c r="L42" s="603">
        <f>IF(INT(L$6/$X41)*$X$7&gt;L40*($X$7+$Z41)*$Y41,L40*($X$7+$Z41)-SUM($B42:K42),INT(L$6/$X41)*$X$7-L40*($X$7+$Z41)*($Y41-1)-SUM($B42:K42))+IF($Y41&gt;1,IF(INT(L$6/$X41)&gt;0,$Z41-$AA41,0),-$AA41)</f>
        <v>0</v>
      </c>
      <c r="M42" s="603">
        <f>IF(INT(M$6/$X41)*$X$7&gt;M40*($X$7+$Z41)*$Y41,M40*($X$7+$Z41)-SUM($B42:L42),INT(M$6/$X41)*$X$7-M40*($X$7+$Z41)*($Y41-1)-SUM($B42:L42))+IF($Y41&gt;1,IF(INT(M$6/$X41)&gt;0,$Z41-$AA41,0),-$AA41)</f>
        <v>0</v>
      </c>
      <c r="N42" s="603">
        <f>IF(INT(N$6/$X41)*$X$7&gt;N40*($X$7+$Z41)*$Y41,N40*($X$7+$Z41)-SUM($B42:M42),INT(N$6/$X41)*$X$7-N40*($X$7+$Z41)*($Y41-1)-SUM($B42:M42))+IF($Y41&gt;1,IF(INT(N$6/$X41)&gt;0,$Z41-$AA41,0),-$AA41)</f>
        <v>0</v>
      </c>
      <c r="O42" s="603">
        <f>IF(INT(O$6/$X41)*$X$7&gt;O40*($X$7+$Z41)*$Y41,O40*($X$7+$Z41)-SUM($B42:N42),INT(O$6/$X41)*$X$7-O40*($X$7+$Z41)*($Y41-1)-SUM($B42:N42))+IF($Y41&gt;1,IF(INT(O$6/$X41)&gt;0,$Z41-$AA41,0),-$AA41)</f>
        <v>0</v>
      </c>
      <c r="P42" s="603">
        <f>IF(INT(P$6/$X41)*$X$7&gt;P40*($X$7+$Z41)*$Y41,P40*($X$7+$Z41)-SUM($B42:O42),INT(P$6/$X41)*$X$7-P40*($X$7+$Z41)*($Y41-1)-SUM($B42:O42))+IF($Y41&gt;1,IF(INT(P$6/$X41)&gt;0,$Z41-$AA41,0),-$AA41)</f>
        <v>0</v>
      </c>
      <c r="Q42" s="603">
        <f>IF(INT(Q$6/$X41)*$X$7&gt;Q40*($X$7+$Z41)*$Y41,Q40*($X$7+$Z41)-SUM($B42:P42),INT(Q$6/$X41)*$X$7-Q40*($X$7+$Z41)*($Y41-1)-SUM($B42:P42))+IF($Y41&gt;1,IF(INT(Q$6/$X41)&gt;0,$Z41-$AA41,0),-$AA41)</f>
        <v>0</v>
      </c>
      <c r="R42" s="603">
        <f>IF(INT(R$6/$X41)*$X$7&gt;R40*($X$7+$Z41)*$Y41,R40*($X$7+$Z41)-SUM($B42:Q42),INT(R$6/$X41)*$X$7-R40*($X$7+$Z41)*($Y41-1)-SUM($B42:Q42))+IF($Y41&gt;1,IF(INT(R$6/$X41)&gt;0,$Z41-$AA41,0),-$AA41)</f>
        <v>0</v>
      </c>
      <c r="S42" s="603">
        <f>IF(INT(S$6/$X41)*$X$7&gt;S40*($X$7+$Z41)*$Y41,S40*($X$7+$Z41)-SUM($B42:R42),INT(S$6/$X41)*$X$7-S40*($X$7+$Z41)*($Y41-1)-SUM($B42:R42))+IF($Y41&gt;1,IF(INT(S$6/$X41)&gt;0,$Z41-$AA41,0),-$AA41)</f>
        <v>0</v>
      </c>
      <c r="T42" s="603">
        <f>IF(INT(T$6/$X41)*$X$7&gt;T40*($X$7+$Z41)*$Y41,T40*($X$7+$Z41)-SUM($B42:S42),INT(T$6/$X41)*$X$7-T40*($X$7+$Z41)*($Y41-1)-SUM($B42:S42))+IF($Y41&gt;1,IF(INT(T$6/$X41)&gt;0,$Z41-$AA41,0),-$AA41)</f>
        <v>0</v>
      </c>
      <c r="U42" s="603">
        <f>IF(INT(U$6/$X41)*$X$7&gt;U40*($X$7+$Z41)*$Y41,U40*($X$7+$Z41)-SUM($B42:T42),INT(U$6/$X41)*$X$7-U40*($X$7+$Z41)*($Y41-1)-SUM($B42:T42))+IF($Y41&gt;1,IF(INT(U$6/$X41)&gt;0,$Z41-$AA41,0),-$AA41)</f>
        <v>0</v>
      </c>
      <c r="V42" s="603">
        <f>IF(INT(V$6/$X41)*$X$7&gt;V40*($X$7+$Z41)*$Y41,V40*($X$7+$Z41)-SUM($B42:U42),INT(V$6/$X41)*$X$7-V40*($X$7+$Z41)*($Y41-1)-SUM($B42:U42))+IF($Y41&gt;1,IF(INT(V$6/$X41)&gt;0,$Z41-$AA41,0),-$AA41)</f>
        <v>0</v>
      </c>
      <c r="W42" s="681"/>
      <c r="X42"/>
      <c r="Y42"/>
      <c r="Z42"/>
    </row>
    <row r="43" spans="1:28" s="102" customFormat="1">
      <c r="W43" s="663"/>
    </row>
    <row r="44" spans="1:28" s="102" customFormat="1" hidden="1">
      <c r="A44" s="140" t="s">
        <v>934</v>
      </c>
      <c r="B44" s="603"/>
      <c r="C44" s="140">
        <f t="shared" ref="C44:V44" si="14">INT((INT(C$6/$X45)*$X$7+$X$7+$Z45-1)/($X$7+$Z45)/$Y45)</f>
        <v>0</v>
      </c>
      <c r="D44" s="140">
        <f t="shared" si="14"/>
        <v>0</v>
      </c>
      <c r="E44" s="140">
        <f t="shared" si="14"/>
        <v>0</v>
      </c>
      <c r="F44" s="140">
        <f t="shared" si="14"/>
        <v>0</v>
      </c>
      <c r="G44" s="140">
        <f t="shared" si="14"/>
        <v>0</v>
      </c>
      <c r="H44" s="140">
        <f t="shared" si="14"/>
        <v>0</v>
      </c>
      <c r="I44" s="140">
        <f t="shared" si="14"/>
        <v>0</v>
      </c>
      <c r="J44" s="140">
        <f t="shared" si="14"/>
        <v>0</v>
      </c>
      <c r="K44" s="140">
        <f t="shared" si="14"/>
        <v>0</v>
      </c>
      <c r="L44" s="140">
        <f t="shared" si="14"/>
        <v>0</v>
      </c>
      <c r="M44" s="140">
        <f t="shared" si="14"/>
        <v>0</v>
      </c>
      <c r="N44" s="140">
        <f t="shared" si="14"/>
        <v>0</v>
      </c>
      <c r="O44" s="140">
        <f t="shared" si="14"/>
        <v>0</v>
      </c>
      <c r="P44" s="140">
        <f t="shared" si="14"/>
        <v>0</v>
      </c>
      <c r="Q44" s="140">
        <f t="shared" si="14"/>
        <v>0</v>
      </c>
      <c r="R44" s="140">
        <f t="shared" si="14"/>
        <v>0</v>
      </c>
      <c r="S44" s="140">
        <f t="shared" si="14"/>
        <v>0</v>
      </c>
      <c r="T44" s="140">
        <f t="shared" si="14"/>
        <v>0</v>
      </c>
      <c r="U44" s="140">
        <f t="shared" si="14"/>
        <v>0</v>
      </c>
      <c r="V44" s="140">
        <f t="shared" si="14"/>
        <v>0</v>
      </c>
    </row>
    <row r="45" spans="1:28" s="102" customFormat="1">
      <c r="A45" s="140" t="s">
        <v>935</v>
      </c>
      <c r="B45" s="603" t="s">
        <v>278</v>
      </c>
      <c r="C45" s="603">
        <f>IF($Y45=1,0,$X$7*(INT(C$6/$X45)-INT(B$6/$X45))-IF(SUM($B45:B45)&gt;0,C46,0))</f>
        <v>0</v>
      </c>
      <c r="D45" s="603">
        <f>IF($Y45=1,0,$X$7*(INT(D$6/$X45)-INT(C$6/$X45))-IF(SUM($B45:C45)&gt;0,D46,0))</f>
        <v>0</v>
      </c>
      <c r="E45" s="603">
        <f>IF($Y45=1,0,$X$7*(INT(E$6/$X45)-INT(D$6/$X45))-IF(SUM($B45:D45)&gt;0,E46,0))</f>
        <v>0</v>
      </c>
      <c r="F45" s="603">
        <f>IF($Y45=1,0,$X$7*(INT(F$6/$X45)-INT(E$6/$X45))-IF(SUM($B45:E45)&gt;0,F46,0))</f>
        <v>0</v>
      </c>
      <c r="G45" s="603">
        <f>IF($Y45=1,0,$X$7*(INT(G$6/$X45)-INT(F$6/$X45))-IF(SUM($B45:F45)&gt;0,G46,0))</f>
        <v>0</v>
      </c>
      <c r="H45" s="603">
        <f>IF($Y45=1,0,$X$7*(INT(H$6/$X45)-INT(G$6/$X45))-IF(SUM($B45:G45)&gt;0,H46,0))</f>
        <v>0</v>
      </c>
      <c r="I45" s="603">
        <f>IF($Y45=1,0,$X$7*(INT(I$6/$X45)-INT(H$6/$X45))-IF(SUM($B45:H45)&gt;0,I46,0))</f>
        <v>0</v>
      </c>
      <c r="J45" s="603">
        <f>IF($Y45=1,0,$X$7*(INT(J$6/$X45)-INT(I$6/$X45))-IF(SUM($B45:I45)&gt;0,J46,0))</f>
        <v>0</v>
      </c>
      <c r="K45" s="603">
        <f>IF($Y45=1,0,$X$7*(INT(K$6/$X45)-INT(J$6/$X45))-IF(SUM($B45:J45)&gt;0,K46,0))</f>
        <v>0</v>
      </c>
      <c r="L45" s="603">
        <f>IF($Y45=1,0,$X$7*(INT(L$6/$X45)-INT(K$6/$X45))-IF(SUM($B45:K45)&gt;0,L46,0))</f>
        <v>0</v>
      </c>
      <c r="M45" s="603">
        <f>IF($Y45=1,0,$X$7*(INT(M$6/$X45)-INT(L$6/$X45))-IF(SUM($B45:L45)&gt;0,M46,0))</f>
        <v>0</v>
      </c>
      <c r="N45" s="603">
        <f>IF($Y45=1,0,$X$7*(INT(N$6/$X45)-INT(M$6/$X45))-IF(SUM($B45:M45)&gt;0,N46,0))</f>
        <v>0</v>
      </c>
      <c r="O45" s="603">
        <f>IF($Y45=1,0,$X$7*(INT(O$6/$X45)-INT(N$6/$X45))-IF(SUM($B45:N45)&gt;0,O46,0))</f>
        <v>0</v>
      </c>
      <c r="P45" s="603">
        <f>IF($Y45=1,0,$X$7*(INT(P$6/$X45)-INT(O$6/$X45))-IF(SUM($B45:O45)&gt;0,P46,0))</f>
        <v>0</v>
      </c>
      <c r="Q45" s="603">
        <f>IF($Y45=1,0,$X$7*(INT(Q$6/$X45)-INT(P$6/$X45))-IF(SUM($B45:P45)&gt;0,Q46,0))</f>
        <v>0</v>
      </c>
      <c r="R45" s="603">
        <f>IF($Y45=1,0,$X$7*(INT(R$6/$X45)-INT(Q$6/$X45))-IF(SUM($B45:Q45)&gt;0,R46,0))</f>
        <v>0</v>
      </c>
      <c r="S45" s="603">
        <f>IF($Y45=1,0,$X$7*(INT(S$6/$X45)-INT(R$6/$X45))-IF(SUM($B45:R45)&gt;0,S46,0))</f>
        <v>0</v>
      </c>
      <c r="T45" s="603">
        <f>IF($Y45=1,0,$X$7*(INT(T$6/$X45)-INT(S$6/$X45))-IF(SUM($B45:S45)&gt;0,T46,0))</f>
        <v>0</v>
      </c>
      <c r="U45" s="603">
        <f>IF($Y45=1,0,$X$7*(INT(U$6/$X45)-INT(T$6/$X45))-IF(SUM($B45:T45)&gt;0,U46,0))</f>
        <v>0</v>
      </c>
      <c r="V45" s="603">
        <f>IF($Y45=1,0,$X$7*(INT(V$6/$X45)-INT(U$6/$X45))-IF(SUM($B45:U45)&gt;0,V46,0))</f>
        <v>0</v>
      </c>
      <c r="W45" s="678" t="str">
        <f xml:space="preserve"> 'GT schd cost(W501D5)'!A21</f>
        <v>Row 3 Blades</v>
      </c>
      <c r="X45" s="678">
        <f>IF($AD$6=1,'GTDB(W501D5)'!B24,'GTDB(W501D5)'!G24)</f>
        <v>48000</v>
      </c>
      <c r="Y45" s="678">
        <f>IF($AD$6=1,'GTDB(W501D5)'!C24,'GTDB(W501D5)'!H24)</f>
        <v>2</v>
      </c>
      <c r="Z45" s="679">
        <v>1</v>
      </c>
      <c r="AA45" s="834">
        <f>'Initial_Spares(W501D5)'!$E$18</f>
        <v>0</v>
      </c>
      <c r="AB45" s="642">
        <f>'GT schd cost(W501D5)'!X21+'GT schd cost(W501D5)'!X47</f>
        <v>0</v>
      </c>
    </row>
    <row r="46" spans="1:28" s="102" customFormat="1">
      <c r="A46" s="140" t="s">
        <v>936</v>
      </c>
      <c r="B46" s="603" t="s">
        <v>278</v>
      </c>
      <c r="C46" s="603">
        <f>IF(INT(C$6/$X45)*$X$7&gt;C44*($X$7+$Z45)*$Y45,C44*($X$7+$Z45)-SUM($B46:B46),INT(C$6/$X45)*$X$7-C44*($X$7+$Z45)*($Y45-1)-SUM($B46:B46))+IF($Y45&gt;1,IF(INT(C$6/$X45)&gt;0,$Z45-$AA45,0),-$AA45)</f>
        <v>0</v>
      </c>
      <c r="D46" s="603">
        <f>IF(INT(D$6/$X45)*$X$7&gt;D44*($X$7+$Z45)*$Y45,D44*($X$7+$Z45)-SUM($B46:C46),INT(D$6/$X45)*$X$7-D44*($X$7+$Z45)*($Y45-1)-SUM($B46:C46))+IF($Y45&gt;1,IF(INT(D$6/$X45)&gt;0,$Z45-$AA45,0),-$AA45)</f>
        <v>0</v>
      </c>
      <c r="E46" s="603">
        <f>IF(INT(E$6/$X45)*$X$7&gt;E44*($X$7+$Z45)*$Y45,E44*($X$7+$Z45)-SUM($B46:D46),INT(E$6/$X45)*$X$7-E44*($X$7+$Z45)*($Y45-1)-SUM($B46:D46))+IF($Y45&gt;1,IF(INT(E$6/$X45)&gt;0,$Z45-$AA45,0),-$AA45)</f>
        <v>0</v>
      </c>
      <c r="F46" s="603">
        <f>IF(INT(F$6/$X45)*$X$7&gt;F44*($X$7+$Z45)*$Y45,F44*($X$7+$Z45)-SUM($B46:E46),INT(F$6/$X45)*$X$7-F44*($X$7+$Z45)*($Y45-1)-SUM($B46:E46))+IF($Y45&gt;1,IF(INT(F$6/$X45)&gt;0,$Z45-$AA45,0),-$AA45)</f>
        <v>0</v>
      </c>
      <c r="G46" s="603">
        <f>IF(INT(G$6/$X45)*$X$7&gt;G44*($X$7+$Z45)*$Y45,G44*($X$7+$Z45)-SUM($B46:F46),INT(G$6/$X45)*$X$7-G44*($X$7+$Z45)*($Y45-1)-SUM($B46:F46))+IF($Y45&gt;1,IF(INT(G$6/$X45)&gt;0,$Z45-$AA45,0),-$AA45)</f>
        <v>0</v>
      </c>
      <c r="H46" s="603">
        <f>IF(INT(H$6/$X45)*$X$7&gt;H44*($X$7+$Z45)*$Y45,H44*($X$7+$Z45)-SUM($B46:G46),INT(H$6/$X45)*$X$7-H44*($X$7+$Z45)*($Y45-1)-SUM($B46:G46))+IF($Y45&gt;1,IF(INT(H$6/$X45)&gt;0,$Z45-$AA45,0),-$AA45)</f>
        <v>0</v>
      </c>
      <c r="I46" s="603">
        <f>IF(INT(I$6/$X45)*$X$7&gt;I44*($X$7+$Z45)*$Y45,I44*($X$7+$Z45)-SUM($B46:H46),INT(I$6/$X45)*$X$7-I44*($X$7+$Z45)*($Y45-1)-SUM($B46:H46))+IF($Y45&gt;1,IF(INT(I$6/$X45)&gt;0,$Z45-$AA45,0),-$AA45)</f>
        <v>0</v>
      </c>
      <c r="J46" s="603">
        <f>IF(INT(J$6/$X45)*$X$7&gt;J44*($X$7+$Z45)*$Y45,J44*($X$7+$Z45)-SUM($B46:I46),INT(J$6/$X45)*$X$7-J44*($X$7+$Z45)*($Y45-1)-SUM($B46:I46))+IF($Y45&gt;1,IF(INT(J$6/$X45)&gt;0,$Z45-$AA45,0),-$AA45)</f>
        <v>0</v>
      </c>
      <c r="K46" s="603">
        <f>IF(INT(K$6/$X45)*$X$7&gt;K44*($X$7+$Z45)*$Y45,K44*($X$7+$Z45)-SUM($B46:J46),INT(K$6/$X45)*$X$7-K44*($X$7+$Z45)*($Y45-1)-SUM($B46:J46))+IF($Y45&gt;1,IF(INT(K$6/$X45)&gt;0,$Z45-$AA45,0),-$AA45)</f>
        <v>0</v>
      </c>
      <c r="L46" s="603">
        <f>IF(INT(L$6/$X45)*$X$7&gt;L44*($X$7+$Z45)*$Y45,L44*($X$7+$Z45)-SUM($B46:K46),INT(L$6/$X45)*$X$7-L44*($X$7+$Z45)*($Y45-1)-SUM($B46:K46))+IF($Y45&gt;1,IF(INT(L$6/$X45)&gt;0,$Z45-$AA45,0),-$AA45)</f>
        <v>0</v>
      </c>
      <c r="M46" s="603">
        <f>IF(INT(M$6/$X45)*$X$7&gt;M44*($X$7+$Z45)*$Y45,M44*($X$7+$Z45)-SUM($B46:L46),INT(M$6/$X45)*$X$7-M44*($X$7+$Z45)*($Y45-1)-SUM($B46:L46))+IF($Y45&gt;1,IF(INT(M$6/$X45)&gt;0,$Z45-$AA45,0),-$AA45)</f>
        <v>0</v>
      </c>
      <c r="N46" s="603">
        <f>IF(INT(N$6/$X45)*$X$7&gt;N44*($X$7+$Z45)*$Y45,N44*($X$7+$Z45)-SUM($B46:M46),INT(N$6/$X45)*$X$7-N44*($X$7+$Z45)*($Y45-1)-SUM($B46:M46))+IF($Y45&gt;1,IF(INT(N$6/$X45)&gt;0,$Z45-$AA45,0),-$AA45)</f>
        <v>0</v>
      </c>
      <c r="O46" s="603">
        <f>IF(INT(O$6/$X45)*$X$7&gt;O44*($X$7+$Z45)*$Y45,O44*($X$7+$Z45)-SUM($B46:N46),INT(O$6/$X45)*$X$7-O44*($X$7+$Z45)*($Y45-1)-SUM($B46:N46))+IF($Y45&gt;1,IF(INT(O$6/$X45)&gt;0,$Z45-$AA45,0),-$AA45)</f>
        <v>0</v>
      </c>
      <c r="P46" s="603">
        <f>IF(INT(P$6/$X45)*$X$7&gt;P44*($X$7+$Z45)*$Y45,P44*($X$7+$Z45)-SUM($B46:O46),INT(P$6/$X45)*$X$7-P44*($X$7+$Z45)*($Y45-1)-SUM($B46:O46))+IF($Y45&gt;1,IF(INT(P$6/$X45)&gt;0,$Z45-$AA45,0),-$AA45)</f>
        <v>0</v>
      </c>
      <c r="Q46" s="603">
        <f>IF(INT(Q$6/$X45)*$X$7&gt;Q44*($X$7+$Z45)*$Y45,Q44*($X$7+$Z45)-SUM($B46:P46),INT(Q$6/$X45)*$X$7-Q44*($X$7+$Z45)*($Y45-1)-SUM($B46:P46))+IF($Y45&gt;1,IF(INT(Q$6/$X45)&gt;0,$Z45-$AA45,0),-$AA45)</f>
        <v>0</v>
      </c>
      <c r="R46" s="603">
        <f>IF(INT(R$6/$X45)*$X$7&gt;R44*($X$7+$Z45)*$Y45,R44*($X$7+$Z45)-SUM($B46:Q46),INT(R$6/$X45)*$X$7-R44*($X$7+$Z45)*($Y45-1)-SUM($B46:Q46))+IF($Y45&gt;1,IF(INT(R$6/$X45)&gt;0,$Z45-$AA45,0),-$AA45)</f>
        <v>0</v>
      </c>
      <c r="S46" s="603">
        <f>IF(INT(S$6/$X45)*$X$7&gt;S44*($X$7+$Z45)*$Y45,S44*($X$7+$Z45)-SUM($B46:R46),INT(S$6/$X45)*$X$7-S44*($X$7+$Z45)*($Y45-1)-SUM($B46:R46))+IF($Y45&gt;1,IF(INT(S$6/$X45)&gt;0,$Z45-$AA45,0),-$AA45)</f>
        <v>0</v>
      </c>
      <c r="T46" s="603">
        <f>IF(INT(T$6/$X45)*$X$7&gt;T44*($X$7+$Z45)*$Y45,T44*($X$7+$Z45)-SUM($B46:S46),INT(T$6/$X45)*$X$7-T44*($X$7+$Z45)*($Y45-1)-SUM($B46:S46))+IF($Y45&gt;1,IF(INT(T$6/$X45)&gt;0,$Z45-$AA45,0),-$AA45)</f>
        <v>0</v>
      </c>
      <c r="U46" s="603">
        <f>IF(INT(U$6/$X45)*$X$7&gt;U44*($X$7+$Z45)*$Y45,U44*($X$7+$Z45)-SUM($B46:T46),INT(U$6/$X45)*$X$7-U44*($X$7+$Z45)*($Y45-1)-SUM($B46:T46))+IF($Y45&gt;1,IF(INT(U$6/$X45)&gt;0,$Z45-$AA45,0),-$AA45)</f>
        <v>0</v>
      </c>
      <c r="V46" s="603">
        <f>IF(INT(V$6/$X45)*$X$7&gt;V44*($X$7+$Z45)*$Y45,V44*($X$7+$Z45)-SUM($B46:U46),INT(V$6/$X45)*$X$7-V44*($X$7+$Z45)*($Y45-1)-SUM($B46:U46))+IF($Y45&gt;1,IF(INT(V$6/$X45)&gt;0,$Z45-$AA45,0),-$AA45)</f>
        <v>0</v>
      </c>
      <c r="W46" s="681"/>
      <c r="X46"/>
      <c r="Y46"/>
      <c r="Z46"/>
    </row>
    <row r="47" spans="1:28" s="102" customFormat="1">
      <c r="B47" s="615"/>
      <c r="C47" s="615"/>
      <c r="D47" s="615"/>
      <c r="E47" s="615"/>
      <c r="F47" s="615"/>
      <c r="G47" s="615"/>
      <c r="H47" s="615"/>
      <c r="I47" s="615"/>
      <c r="J47" s="615"/>
      <c r="K47" s="615"/>
      <c r="W47" s="663"/>
    </row>
    <row r="48" spans="1:28" s="102" customFormat="1" hidden="1">
      <c r="A48" s="140" t="s">
        <v>934</v>
      </c>
      <c r="B48" s="603"/>
      <c r="C48" s="140">
        <f t="shared" ref="C48:V48" si="15">INT((INT(C$6/$X49)*$X$7+$X$7+$Z49-1)/($X$7+$Z49)/$Y49)</f>
        <v>0</v>
      </c>
      <c r="D48" s="140">
        <f t="shared" si="15"/>
        <v>0</v>
      </c>
      <c r="E48" s="140">
        <f t="shared" si="15"/>
        <v>0</v>
      </c>
      <c r="F48" s="140">
        <f t="shared" si="15"/>
        <v>0</v>
      </c>
      <c r="G48" s="140">
        <f t="shared" si="15"/>
        <v>0</v>
      </c>
      <c r="H48" s="140">
        <f t="shared" si="15"/>
        <v>0</v>
      </c>
      <c r="I48" s="140">
        <f t="shared" si="15"/>
        <v>0</v>
      </c>
      <c r="J48" s="140">
        <f t="shared" si="15"/>
        <v>0</v>
      </c>
      <c r="K48" s="140">
        <f t="shared" si="15"/>
        <v>0</v>
      </c>
      <c r="L48" s="140">
        <f t="shared" si="15"/>
        <v>0</v>
      </c>
      <c r="M48" s="140">
        <f t="shared" si="15"/>
        <v>0</v>
      </c>
      <c r="N48" s="140">
        <f t="shared" si="15"/>
        <v>0</v>
      </c>
      <c r="O48" s="140">
        <f t="shared" si="15"/>
        <v>0</v>
      </c>
      <c r="P48" s="140">
        <f t="shared" si="15"/>
        <v>0</v>
      </c>
      <c r="Q48" s="140">
        <f t="shared" si="15"/>
        <v>0</v>
      </c>
      <c r="R48" s="140">
        <f t="shared" si="15"/>
        <v>0</v>
      </c>
      <c r="S48" s="140">
        <f t="shared" si="15"/>
        <v>0</v>
      </c>
      <c r="T48" s="140">
        <f t="shared" si="15"/>
        <v>0</v>
      </c>
      <c r="U48" s="140">
        <f t="shared" si="15"/>
        <v>0</v>
      </c>
      <c r="V48" s="140">
        <f t="shared" si="15"/>
        <v>0</v>
      </c>
    </row>
    <row r="49" spans="1:28" s="102" customFormat="1">
      <c r="A49" s="140" t="s">
        <v>935</v>
      </c>
      <c r="B49" s="603" t="s">
        <v>278</v>
      </c>
      <c r="C49" s="603">
        <f>IF($Y49=1,0,$X$7*(INT(C$6/$X49)-INT(B$6/$X49))-IF(SUM($B49:B49)&gt;0,C50,0))</f>
        <v>0</v>
      </c>
      <c r="D49" s="603">
        <f>IF($Y49=1,0,$X$7*(INT(D$6/$X49)-INT(C$6/$X49))-IF(SUM($B49:C49)&gt;0,D50,0))</f>
        <v>0</v>
      </c>
      <c r="E49" s="603">
        <f>IF($Y49=1,0,$X$7*(INT(E$6/$X49)-INT(D$6/$X49))-IF(SUM($B49:D49)&gt;0,E50,0))</f>
        <v>0</v>
      </c>
      <c r="F49" s="603">
        <f>IF($Y49=1,0,$X$7*(INT(F$6/$X49)-INT(E$6/$X49))-IF(SUM($B49:E49)&gt;0,F50,0))</f>
        <v>0</v>
      </c>
      <c r="G49" s="603">
        <f>IF($Y49=1,0,$X$7*(INT(G$6/$X49)-INT(F$6/$X49))-IF(SUM($B49:F49)&gt;0,G50,0))</f>
        <v>0</v>
      </c>
      <c r="H49" s="603">
        <f>IF($Y49=1,0,$X$7*(INT(H$6/$X49)-INT(G$6/$X49))-IF(SUM($B49:G49)&gt;0,H50,0))</f>
        <v>0</v>
      </c>
      <c r="I49" s="603">
        <f>IF($Y49=1,0,$X$7*(INT(I$6/$X49)-INT(H$6/$X49))-IF(SUM($B49:H49)&gt;0,I50,0))</f>
        <v>0</v>
      </c>
      <c r="J49" s="603">
        <f>IF($Y49=1,0,$X$7*(INT(J$6/$X49)-INT(I$6/$X49))-IF(SUM($B49:I49)&gt;0,J50,0))</f>
        <v>0</v>
      </c>
      <c r="K49" s="603">
        <f>IF($Y49=1,0,$X$7*(INT(K$6/$X49)-INT(J$6/$X49))-IF(SUM($B49:J49)&gt;0,K50,0))</f>
        <v>0</v>
      </c>
      <c r="L49" s="603">
        <f>IF($Y49=1,0,$X$7*(INT(L$6/$X49)-INT(K$6/$X49))-IF(SUM($B49:K49)&gt;0,L50,0))</f>
        <v>0</v>
      </c>
      <c r="M49" s="603">
        <f>IF($Y49=1,0,$X$7*(INT(M$6/$X49)-INT(L$6/$X49))-IF(SUM($B49:L49)&gt;0,M50,0))</f>
        <v>0</v>
      </c>
      <c r="N49" s="603">
        <f>IF($Y49=1,0,$X$7*(INT(N$6/$X49)-INT(M$6/$X49))-IF(SUM($B49:M49)&gt;0,N50,0))</f>
        <v>0</v>
      </c>
      <c r="O49" s="603">
        <f>IF($Y49=1,0,$X$7*(INT(O$6/$X49)-INT(N$6/$X49))-IF(SUM($B49:N49)&gt;0,O50,0))</f>
        <v>0</v>
      </c>
      <c r="P49" s="603">
        <f>IF($Y49=1,0,$X$7*(INT(P$6/$X49)-INT(O$6/$X49))-IF(SUM($B49:O49)&gt;0,P50,0))</f>
        <v>0</v>
      </c>
      <c r="Q49" s="603">
        <f>IF($Y49=1,0,$X$7*(INT(Q$6/$X49)-INT(P$6/$X49))-IF(SUM($B49:P49)&gt;0,Q50,0))</f>
        <v>0</v>
      </c>
      <c r="R49" s="603">
        <f>IF($Y49=1,0,$X$7*(INT(R$6/$X49)-INT(Q$6/$X49))-IF(SUM($B49:Q49)&gt;0,R50,0))</f>
        <v>0</v>
      </c>
      <c r="S49" s="603">
        <f>IF($Y49=1,0,$X$7*(INT(S$6/$X49)-INT(R$6/$X49))-IF(SUM($B49:R49)&gt;0,S50,0))</f>
        <v>0</v>
      </c>
      <c r="T49" s="603">
        <f>IF($Y49=1,0,$X$7*(INT(T$6/$X49)-INT(S$6/$X49))-IF(SUM($B49:S49)&gt;0,T50,0))</f>
        <v>0</v>
      </c>
      <c r="U49" s="603">
        <f>IF($Y49=1,0,$X$7*(INT(U$6/$X49)-INT(T$6/$X49))-IF(SUM($B49:T49)&gt;0,U50,0))</f>
        <v>0</v>
      </c>
      <c r="V49" s="603">
        <f>IF($Y49=1,0,$X$7*(INT(V$6/$X49)-INT(U$6/$X49))-IF(SUM($B49:U49)&gt;0,V50,0))</f>
        <v>0</v>
      </c>
      <c r="W49" s="678" t="str">
        <f xml:space="preserve"> 'GT schd cost(W501D5)'!A22</f>
        <v>Row 4 Blades</v>
      </c>
      <c r="X49" s="678">
        <f>IF($AD$6=1,'GTDB(W501D5)'!B25,'GTDB(W501D5)'!G25)</f>
        <v>48000</v>
      </c>
      <c r="Y49" s="678">
        <f>IF($AD$6=1,'GTDB(W501D5)'!C25,'GTDB(W501D5)'!H25)</f>
        <v>2</v>
      </c>
      <c r="Z49" s="679">
        <v>1</v>
      </c>
      <c r="AA49" s="834">
        <f>'Initial_Spares(W501D5)'!$E$19</f>
        <v>0</v>
      </c>
      <c r="AB49" s="642">
        <f>'GT schd cost(W501D5)'!X22+'GT schd cost(W501D5)'!X48</f>
        <v>0</v>
      </c>
    </row>
    <row r="50" spans="1:28" s="102" customFormat="1">
      <c r="A50" s="140" t="s">
        <v>936</v>
      </c>
      <c r="B50" s="603" t="s">
        <v>278</v>
      </c>
      <c r="C50" s="603">
        <f>IF(INT(C$6/$X49)*$X$7&gt;C48*($X$7+$Z49)*$Y49,C48*($X$7+$Z49)-SUM($B50:B50),INT(C$6/$X49)*$X$7-C48*($X$7+$Z49)*($Y49-1)-SUM($B50:B50))+IF($Y49&gt;1,IF(INT(C$6/$X49)&gt;0,$Z49-$AA49,0),-$AA49)</f>
        <v>0</v>
      </c>
      <c r="D50" s="603">
        <f>IF(INT(D$6/$X49)*$X$7&gt;D48*($X$7+$Z49)*$Y49,D48*($X$7+$Z49)-SUM($B50:C50),INT(D$6/$X49)*$X$7-D48*($X$7+$Z49)*($Y49-1)-SUM($B50:C50))+IF($Y49&gt;1,IF(INT(D$6/$X49)&gt;0,$Z49-$AA49,0),-$AA49)</f>
        <v>0</v>
      </c>
      <c r="E50" s="603">
        <f>IF(INT(E$6/$X49)*$X$7&gt;E48*($X$7+$Z49)*$Y49,E48*($X$7+$Z49)-SUM($B50:D50),INT(E$6/$X49)*$X$7-E48*($X$7+$Z49)*($Y49-1)-SUM($B50:D50))+IF($Y49&gt;1,IF(INT(E$6/$X49)&gt;0,$Z49-$AA49,0),-$AA49)</f>
        <v>0</v>
      </c>
      <c r="F50" s="603">
        <f>IF(INT(F$6/$X49)*$X$7&gt;F48*($X$7+$Z49)*$Y49,F48*($X$7+$Z49)-SUM($B50:E50),INT(F$6/$X49)*$X$7-F48*($X$7+$Z49)*($Y49-1)-SUM($B50:E50))+IF($Y49&gt;1,IF(INT(F$6/$X49)&gt;0,$Z49-$AA49,0),-$AA49)</f>
        <v>0</v>
      </c>
      <c r="G50" s="603">
        <f>IF(INT(G$6/$X49)*$X$7&gt;G48*($X$7+$Z49)*$Y49,G48*($X$7+$Z49)-SUM($B50:F50),INT(G$6/$X49)*$X$7-G48*($X$7+$Z49)*($Y49-1)-SUM($B50:F50))+IF($Y49&gt;1,IF(INT(G$6/$X49)&gt;0,$Z49-$AA49,0),-$AA49)</f>
        <v>0</v>
      </c>
      <c r="H50" s="603">
        <f>IF(INT(H$6/$X49)*$X$7&gt;H48*($X$7+$Z49)*$Y49,H48*($X$7+$Z49)-SUM($B50:G50),INT(H$6/$X49)*$X$7-H48*($X$7+$Z49)*($Y49-1)-SUM($B50:G50))+IF($Y49&gt;1,IF(INT(H$6/$X49)&gt;0,$Z49-$AA49,0),-$AA49)</f>
        <v>0</v>
      </c>
      <c r="I50" s="603">
        <f>IF(INT(I$6/$X49)*$X$7&gt;I48*($X$7+$Z49)*$Y49,I48*($X$7+$Z49)-SUM($B50:H50),INT(I$6/$X49)*$X$7-I48*($X$7+$Z49)*($Y49-1)-SUM($B50:H50))+IF($Y49&gt;1,IF(INT(I$6/$X49)&gt;0,$Z49-$AA49,0),-$AA49)</f>
        <v>0</v>
      </c>
      <c r="J50" s="603">
        <f>IF(INT(J$6/$X49)*$X$7&gt;J48*($X$7+$Z49)*$Y49,J48*($X$7+$Z49)-SUM($B50:I50),INT(J$6/$X49)*$X$7-J48*($X$7+$Z49)*($Y49-1)-SUM($B50:I50))+IF($Y49&gt;1,IF(INT(J$6/$X49)&gt;0,$Z49-$AA49,0),-$AA49)</f>
        <v>0</v>
      </c>
      <c r="K50" s="603">
        <f>IF(INT(K$6/$X49)*$X$7&gt;K48*($X$7+$Z49)*$Y49,K48*($X$7+$Z49)-SUM($B50:J50),INT(K$6/$X49)*$X$7-K48*($X$7+$Z49)*($Y49-1)-SUM($B50:J50))+IF($Y49&gt;1,IF(INT(K$6/$X49)&gt;0,$Z49-$AA49,0),-$AA49)</f>
        <v>0</v>
      </c>
      <c r="L50" s="603">
        <f>IF(INT(L$6/$X49)*$X$7&gt;L48*($X$7+$Z49)*$Y49,L48*($X$7+$Z49)-SUM($B50:K50),INT(L$6/$X49)*$X$7-L48*($X$7+$Z49)*($Y49-1)-SUM($B50:K50))+IF($Y49&gt;1,IF(INT(L$6/$X49)&gt;0,$Z49-$AA49,0),-$AA49)</f>
        <v>0</v>
      </c>
      <c r="M50" s="603">
        <f>IF(INT(M$6/$X49)*$X$7&gt;M48*($X$7+$Z49)*$Y49,M48*($X$7+$Z49)-SUM($B50:L50),INT(M$6/$X49)*$X$7-M48*($X$7+$Z49)*($Y49-1)-SUM($B50:L50))+IF($Y49&gt;1,IF(INT(M$6/$X49)&gt;0,$Z49-$AA49,0),-$AA49)</f>
        <v>0</v>
      </c>
      <c r="N50" s="603">
        <f>IF(INT(N$6/$X49)*$X$7&gt;N48*($X$7+$Z49)*$Y49,N48*($X$7+$Z49)-SUM($B50:M50),INT(N$6/$X49)*$X$7-N48*($X$7+$Z49)*($Y49-1)-SUM($B50:M50))+IF($Y49&gt;1,IF(INT(N$6/$X49)&gt;0,$Z49-$AA49,0),-$AA49)</f>
        <v>0</v>
      </c>
      <c r="O50" s="603">
        <f>IF(INT(O$6/$X49)*$X$7&gt;O48*($X$7+$Z49)*$Y49,O48*($X$7+$Z49)-SUM($B50:N50),INT(O$6/$X49)*$X$7-O48*($X$7+$Z49)*($Y49-1)-SUM($B50:N50))+IF($Y49&gt;1,IF(INT(O$6/$X49)&gt;0,$Z49-$AA49,0),-$AA49)</f>
        <v>0</v>
      </c>
      <c r="P50" s="603">
        <f>IF(INT(P$6/$X49)*$X$7&gt;P48*($X$7+$Z49)*$Y49,P48*($X$7+$Z49)-SUM($B50:O50),INT(P$6/$X49)*$X$7-P48*($X$7+$Z49)*($Y49-1)-SUM($B50:O50))+IF($Y49&gt;1,IF(INT(P$6/$X49)&gt;0,$Z49-$AA49,0),-$AA49)</f>
        <v>0</v>
      </c>
      <c r="Q50" s="603">
        <f>IF(INT(Q$6/$X49)*$X$7&gt;Q48*($X$7+$Z49)*$Y49,Q48*($X$7+$Z49)-SUM($B50:P50),INT(Q$6/$X49)*$X$7-Q48*($X$7+$Z49)*($Y49-1)-SUM($B50:P50))+IF($Y49&gt;1,IF(INT(Q$6/$X49)&gt;0,$Z49-$AA49,0),-$AA49)</f>
        <v>0</v>
      </c>
      <c r="R50" s="603">
        <f>IF(INT(R$6/$X49)*$X$7&gt;R48*($X$7+$Z49)*$Y49,R48*($X$7+$Z49)-SUM($B50:Q50),INT(R$6/$X49)*$X$7-R48*($X$7+$Z49)*($Y49-1)-SUM($B50:Q50))+IF($Y49&gt;1,IF(INT(R$6/$X49)&gt;0,$Z49-$AA49,0),-$AA49)</f>
        <v>0</v>
      </c>
      <c r="S50" s="603">
        <f>IF(INT(S$6/$X49)*$X$7&gt;S48*($X$7+$Z49)*$Y49,S48*($X$7+$Z49)-SUM($B50:R50),INT(S$6/$X49)*$X$7-S48*($X$7+$Z49)*($Y49-1)-SUM($B50:R50))+IF($Y49&gt;1,IF(INT(S$6/$X49)&gt;0,$Z49-$AA49,0),-$AA49)</f>
        <v>0</v>
      </c>
      <c r="T50" s="603">
        <f>IF(INT(T$6/$X49)*$X$7&gt;T48*($X$7+$Z49)*$Y49,T48*($X$7+$Z49)-SUM($B50:S50),INT(T$6/$X49)*$X$7-T48*($X$7+$Z49)*($Y49-1)-SUM($B50:S50))+IF($Y49&gt;1,IF(INT(T$6/$X49)&gt;0,$Z49-$AA49,0),-$AA49)</f>
        <v>0</v>
      </c>
      <c r="U50" s="603">
        <f>IF(INT(U$6/$X49)*$X$7&gt;U48*($X$7+$Z49)*$Y49,U48*($X$7+$Z49)-SUM($B50:T50),INT(U$6/$X49)*$X$7-U48*($X$7+$Z49)*($Y49-1)-SUM($B50:T50))+IF($Y49&gt;1,IF(INT(U$6/$X49)&gt;0,$Z49-$AA49,0),-$AA49)</f>
        <v>0</v>
      </c>
      <c r="V50" s="603">
        <f>IF(INT(V$6/$X49)*$X$7&gt;V48*($X$7+$Z49)*$Y49,V48*($X$7+$Z49)-SUM($B50:U50),INT(V$6/$X49)*$X$7-V48*($X$7+$Z49)*($Y49-1)-SUM($B50:U50))+IF($Y49&gt;1,IF(INT(V$6/$X49)&gt;0,$Z49-$AA49,0),-$AA49)</f>
        <v>0</v>
      </c>
      <c r="W50" s="681"/>
      <c r="X50"/>
      <c r="Y50"/>
      <c r="Z50"/>
    </row>
    <row r="51" spans="1:28" s="102" customFormat="1">
      <c r="C51" s="615"/>
      <c r="D51" s="615"/>
      <c r="E51" s="615"/>
      <c r="F51" s="615"/>
      <c r="G51" s="615"/>
      <c r="H51" s="615"/>
      <c r="I51" s="615"/>
      <c r="J51" s="615"/>
      <c r="K51" s="615"/>
      <c r="L51" s="615"/>
      <c r="M51" s="615"/>
      <c r="N51" s="615"/>
      <c r="O51" s="615"/>
      <c r="P51" s="615"/>
      <c r="Q51" s="615"/>
      <c r="R51" s="615"/>
      <c r="S51" s="615"/>
      <c r="T51" s="615"/>
      <c r="U51" s="615"/>
      <c r="V51" s="615"/>
      <c r="W51" s="663"/>
    </row>
    <row r="52" spans="1:28" s="102" customFormat="1" hidden="1">
      <c r="A52" s="140" t="s">
        <v>934</v>
      </c>
      <c r="B52" s="603"/>
      <c r="C52" s="140">
        <f t="shared" ref="C52:V52" si="16">INT((INT(C$6/$X53)*$X$7+$X$7+$Z53-1)/($X$7+$Z53)/$Y53)</f>
        <v>0</v>
      </c>
      <c r="D52" s="140">
        <f t="shared" si="16"/>
        <v>0</v>
      </c>
      <c r="E52" s="140">
        <f t="shared" si="16"/>
        <v>0</v>
      </c>
      <c r="F52" s="140">
        <f t="shared" si="16"/>
        <v>0</v>
      </c>
      <c r="G52" s="140">
        <f t="shared" si="16"/>
        <v>0</v>
      </c>
      <c r="H52" s="140">
        <f t="shared" si="16"/>
        <v>0</v>
      </c>
      <c r="I52" s="140">
        <f t="shared" si="16"/>
        <v>0</v>
      </c>
      <c r="J52" s="140">
        <f t="shared" si="16"/>
        <v>0</v>
      </c>
      <c r="K52" s="140">
        <f t="shared" si="16"/>
        <v>0</v>
      </c>
      <c r="L52" s="140">
        <f t="shared" si="16"/>
        <v>0</v>
      </c>
      <c r="M52" s="140">
        <f t="shared" si="16"/>
        <v>0</v>
      </c>
      <c r="N52" s="140">
        <f t="shared" si="16"/>
        <v>0</v>
      </c>
      <c r="O52" s="140">
        <f t="shared" si="16"/>
        <v>0</v>
      </c>
      <c r="P52" s="140">
        <f t="shared" si="16"/>
        <v>0</v>
      </c>
      <c r="Q52" s="140">
        <f t="shared" si="16"/>
        <v>0</v>
      </c>
      <c r="R52" s="140">
        <f t="shared" si="16"/>
        <v>0</v>
      </c>
      <c r="S52" s="140">
        <f t="shared" si="16"/>
        <v>0</v>
      </c>
      <c r="T52" s="140">
        <f t="shared" si="16"/>
        <v>0</v>
      </c>
      <c r="U52" s="140">
        <f t="shared" si="16"/>
        <v>0</v>
      </c>
      <c r="V52" s="140">
        <f t="shared" si="16"/>
        <v>0</v>
      </c>
    </row>
    <row r="53" spans="1:28" s="102" customFormat="1">
      <c r="A53" s="140" t="s">
        <v>935</v>
      </c>
      <c r="B53" s="603" t="s">
        <v>278</v>
      </c>
      <c r="C53" s="603">
        <f>IF($Y53=1,0,$X$7*(INT(C$6/$X53)-INT(B$6/$X53))-IF(SUM($B53:B53)&gt;0,C54,0))</f>
        <v>0</v>
      </c>
      <c r="D53" s="603">
        <f>IF($Y53=1,0,$X$7*(INT(D$6/$X53)-INT(C$6/$X53))-IF(SUM($B53:C53)&gt;0,D54,0))</f>
        <v>0</v>
      </c>
      <c r="E53" s="603">
        <f>IF($Y53=1,0,$X$7*(INT(E$6/$X53)-INT(D$6/$X53))-IF(SUM($B53:D53)&gt;0,E54,0))</f>
        <v>0</v>
      </c>
      <c r="F53" s="603">
        <f>IF($Y53=1,0,$X$7*(INT(F$6/$X53)-INT(E$6/$X53))-IF(SUM($B53:E53)&gt;0,F54,0))</f>
        <v>0</v>
      </c>
      <c r="G53" s="603">
        <f>IF($Y53=1,0,$X$7*(INT(G$6/$X53)-INT(F$6/$X53))-IF(SUM($B53:F53)&gt;0,G54,0))</f>
        <v>0</v>
      </c>
      <c r="H53" s="603">
        <f>IF($Y53=1,0,$X$7*(INT(H$6/$X53)-INT(G$6/$X53))-IF(SUM($B53:G53)&gt;0,H54,0))</f>
        <v>0</v>
      </c>
      <c r="I53" s="603">
        <f>IF($Y53=1,0,$X$7*(INT(I$6/$X53)-INT(H$6/$X53))-IF(SUM($B53:H53)&gt;0,I54,0))</f>
        <v>0</v>
      </c>
      <c r="J53" s="603">
        <f>IF($Y53=1,0,$X$7*(INT(J$6/$X53)-INT(I$6/$X53))-IF(SUM($B53:I53)&gt;0,J54,0))</f>
        <v>0</v>
      </c>
      <c r="K53" s="603">
        <f>IF($Y53=1,0,$X$7*(INT(K$6/$X53)-INT(J$6/$X53))-IF(SUM($B53:J53)&gt;0,K54,0))</f>
        <v>0</v>
      </c>
      <c r="L53" s="603">
        <f>IF($Y53=1,0,$X$7*(INT(L$6/$X53)-INT(K$6/$X53))-IF(SUM($B53:K53)&gt;0,L54,0))</f>
        <v>0</v>
      </c>
      <c r="M53" s="603">
        <f>IF($Y53=1,0,$X$7*(INT(M$6/$X53)-INT(L$6/$X53))-IF(SUM($B53:L53)&gt;0,M54,0))</f>
        <v>0</v>
      </c>
      <c r="N53" s="603">
        <f>IF($Y53=1,0,$X$7*(INT(N$6/$X53)-INT(M$6/$X53))-IF(SUM($B53:M53)&gt;0,N54,0))</f>
        <v>0</v>
      </c>
      <c r="O53" s="603">
        <f>IF($Y53=1,0,$X$7*(INT(O$6/$X53)-INT(N$6/$X53))-IF(SUM($B53:N53)&gt;0,O54,0))</f>
        <v>0</v>
      </c>
      <c r="P53" s="603">
        <f>IF($Y53=1,0,$X$7*(INT(P$6/$X53)-INT(O$6/$X53))-IF(SUM($B53:O53)&gt;0,P54,0))</f>
        <v>0</v>
      </c>
      <c r="Q53" s="603">
        <f>IF($Y53=1,0,$X$7*(INT(Q$6/$X53)-INT(P$6/$X53))-IF(SUM($B53:P53)&gt;0,Q54,0))</f>
        <v>0</v>
      </c>
      <c r="R53" s="603">
        <f>IF($Y53=1,0,$X$7*(INT(R$6/$X53)-INT(Q$6/$X53))-IF(SUM($B53:Q53)&gt;0,R54,0))</f>
        <v>0</v>
      </c>
      <c r="S53" s="603">
        <f>IF($Y53=1,0,$X$7*(INT(S$6/$X53)-INT(R$6/$X53))-IF(SUM($B53:R53)&gt;0,S54,0))</f>
        <v>0</v>
      </c>
      <c r="T53" s="603">
        <f>IF($Y53=1,0,$X$7*(INT(T$6/$X53)-INT(S$6/$X53))-IF(SUM($B53:S53)&gt;0,T54,0))</f>
        <v>0</v>
      </c>
      <c r="U53" s="603">
        <f>IF($Y53=1,0,$X$7*(INT(U$6/$X53)-INT(T$6/$X53))-IF(SUM($B53:T53)&gt;0,U54,0))</f>
        <v>0</v>
      </c>
      <c r="V53" s="603">
        <f>IF($Y53=1,0,$X$7*(INT(V$6/$X53)-INT(U$6/$X53))-IF(SUM($B53:U53)&gt;0,V54,0))</f>
        <v>0</v>
      </c>
      <c r="W53" s="678" t="str">
        <f xml:space="preserve"> 'GT schd cost(W501D5)'!A23</f>
        <v xml:space="preserve">Row 1 Vanes </v>
      </c>
      <c r="X53" s="678">
        <f>IF($AD$6=1,'GTDB(W501D5)'!B26,'GTDB(W501D5)'!G26)</f>
        <v>24000</v>
      </c>
      <c r="Y53" s="678">
        <f>IF($AD$6=1,'GTDB(W501D5)'!C26,'GTDB(W501D5)'!H26)</f>
        <v>2</v>
      </c>
      <c r="Z53" s="679">
        <v>1</v>
      </c>
      <c r="AA53" s="834">
        <f>'Initial_Spares(W501D5)'!$E$20</f>
        <v>0</v>
      </c>
      <c r="AB53" s="642">
        <f>'GT schd cost(W501D5)'!X23+'GT schd cost(W501D5)'!X49</f>
        <v>0</v>
      </c>
    </row>
    <row r="54" spans="1:28" s="102" customFormat="1">
      <c r="A54" s="140" t="s">
        <v>936</v>
      </c>
      <c r="B54" s="603" t="s">
        <v>278</v>
      </c>
      <c r="C54" s="603">
        <f>IF(INT(C$6/$X53)*$X$7&gt;C52*($X$7+$Z53)*$Y53,C52*($X$7+$Z53)-SUM($B54:B54),INT(C$6/$X53)*$X$7-C52*($X$7+$Z53)*($Y53-1)-SUM($B54:B54))+IF($Y53&gt;1,IF(INT(C$6/$X53)&gt;0,$Z53-$AA53,0),-$AA53)</f>
        <v>0</v>
      </c>
      <c r="D54" s="603">
        <f>IF(INT(D$6/$X53)*$X$7&gt;D52*($X$7+$Z53)*$Y53,D52*($X$7+$Z53)-SUM($B54:C54),INT(D$6/$X53)*$X$7-D52*($X$7+$Z53)*($Y53-1)-SUM($B54:C54))+IF($Y53&gt;1,IF(INT(D$6/$X53)&gt;0,$Z53-$AA53,0),-$AA53)</f>
        <v>0</v>
      </c>
      <c r="E54" s="603">
        <f>IF(INT(E$6/$X53)*$X$7&gt;E52*($X$7+$Z53)*$Y53,E52*($X$7+$Z53)-SUM($B54:D54),INT(E$6/$X53)*$X$7-E52*($X$7+$Z53)*($Y53-1)-SUM($B54:D54))+IF($Y53&gt;1,IF(INT(E$6/$X53)&gt;0,$Z53-$AA53,0),-$AA53)</f>
        <v>0</v>
      </c>
      <c r="F54" s="603">
        <f>IF(INT(F$6/$X53)*$X$7&gt;F52*($X$7+$Z53)*$Y53,F52*($X$7+$Z53)-SUM($B54:E54),INT(F$6/$X53)*$X$7-F52*($X$7+$Z53)*($Y53-1)-SUM($B54:E54))+IF($Y53&gt;1,IF(INT(F$6/$X53)&gt;0,$Z53-$AA53,0),-$AA53)</f>
        <v>0</v>
      </c>
      <c r="G54" s="603">
        <f>IF(INT(G$6/$X53)*$X$7&gt;G52*($X$7+$Z53)*$Y53,G52*($X$7+$Z53)-SUM($B54:F54),INT(G$6/$X53)*$X$7-G52*($X$7+$Z53)*($Y53-1)-SUM($B54:F54))+IF($Y53&gt;1,IF(INT(G$6/$X53)&gt;0,$Z53-$AA53,0),-$AA53)</f>
        <v>0</v>
      </c>
      <c r="H54" s="603">
        <f>IF(INT(H$6/$X53)*$X$7&gt;H52*($X$7+$Z53)*$Y53,H52*($X$7+$Z53)-SUM($B54:G54),INT(H$6/$X53)*$X$7-H52*($X$7+$Z53)*($Y53-1)-SUM($B54:G54))+IF($Y53&gt;1,IF(INT(H$6/$X53)&gt;0,$Z53-$AA53,0),-$AA53)</f>
        <v>0</v>
      </c>
      <c r="I54" s="603">
        <f>IF(INT(I$6/$X53)*$X$7&gt;I52*($X$7+$Z53)*$Y53,I52*($X$7+$Z53)-SUM($B54:H54),INT(I$6/$X53)*$X$7-I52*($X$7+$Z53)*($Y53-1)-SUM($B54:H54))+IF($Y53&gt;1,IF(INT(I$6/$X53)&gt;0,$Z53-$AA53,0),-$AA53)</f>
        <v>0</v>
      </c>
      <c r="J54" s="603">
        <f>IF(INT(J$6/$X53)*$X$7&gt;J52*($X$7+$Z53)*$Y53,J52*($X$7+$Z53)-SUM($B54:I54),INT(J$6/$X53)*$X$7-J52*($X$7+$Z53)*($Y53-1)-SUM($B54:I54))+IF($Y53&gt;1,IF(INT(J$6/$X53)&gt;0,$Z53-$AA53,0),-$AA53)</f>
        <v>0</v>
      </c>
      <c r="K54" s="603">
        <f>IF(INT(K$6/$X53)*$X$7&gt;K52*($X$7+$Z53)*$Y53,K52*($X$7+$Z53)-SUM($B54:J54),INT(K$6/$X53)*$X$7-K52*($X$7+$Z53)*($Y53-1)-SUM($B54:J54))+IF($Y53&gt;1,IF(INT(K$6/$X53)&gt;0,$Z53-$AA53,0),-$AA53)</f>
        <v>0</v>
      </c>
      <c r="L54" s="603">
        <f>IF(INT(L$6/$X53)*$X$7&gt;L52*($X$7+$Z53)*$Y53,L52*($X$7+$Z53)-SUM($B54:K54),INT(L$6/$X53)*$X$7-L52*($X$7+$Z53)*($Y53-1)-SUM($B54:K54))+IF($Y53&gt;1,IF(INT(L$6/$X53)&gt;0,$Z53-$AA53,0),-$AA53)</f>
        <v>0</v>
      </c>
      <c r="M54" s="603">
        <f>IF(INT(M$6/$X53)*$X$7&gt;M52*($X$7+$Z53)*$Y53,M52*($X$7+$Z53)-SUM($B54:L54),INT(M$6/$X53)*$X$7-M52*($X$7+$Z53)*($Y53-1)-SUM($B54:L54))+IF($Y53&gt;1,IF(INT(M$6/$X53)&gt;0,$Z53-$AA53,0),-$AA53)</f>
        <v>0</v>
      </c>
      <c r="N54" s="603">
        <f>IF(INT(N$6/$X53)*$X$7&gt;N52*($X$7+$Z53)*$Y53,N52*($X$7+$Z53)-SUM($B54:M54),INT(N$6/$X53)*$X$7-N52*($X$7+$Z53)*($Y53-1)-SUM($B54:M54))+IF($Y53&gt;1,IF(INT(N$6/$X53)&gt;0,$Z53-$AA53,0),-$AA53)</f>
        <v>0</v>
      </c>
      <c r="O54" s="603">
        <f>IF(INT(O$6/$X53)*$X$7&gt;O52*($X$7+$Z53)*$Y53,O52*($X$7+$Z53)-SUM($B54:N54),INT(O$6/$X53)*$X$7-O52*($X$7+$Z53)*($Y53-1)-SUM($B54:N54))+IF($Y53&gt;1,IF(INT(O$6/$X53)&gt;0,$Z53-$AA53,0),-$AA53)</f>
        <v>0</v>
      </c>
      <c r="P54" s="603">
        <f>IF(INT(P$6/$X53)*$X$7&gt;P52*($X$7+$Z53)*$Y53,P52*($X$7+$Z53)-SUM($B54:O54),INT(P$6/$X53)*$X$7-P52*($X$7+$Z53)*($Y53-1)-SUM($B54:O54))+IF($Y53&gt;1,IF(INT(P$6/$X53)&gt;0,$Z53-$AA53,0),-$AA53)</f>
        <v>0</v>
      </c>
      <c r="Q54" s="603">
        <f>IF(INT(Q$6/$X53)*$X$7&gt;Q52*($X$7+$Z53)*$Y53,Q52*($X$7+$Z53)-SUM($B54:P54),INT(Q$6/$X53)*$X$7-Q52*($X$7+$Z53)*($Y53-1)-SUM($B54:P54))+IF($Y53&gt;1,IF(INT(Q$6/$X53)&gt;0,$Z53-$AA53,0),-$AA53)</f>
        <v>0</v>
      </c>
      <c r="R54" s="603">
        <f>IF(INT(R$6/$X53)*$X$7&gt;R52*($X$7+$Z53)*$Y53,R52*($X$7+$Z53)-SUM($B54:Q54),INT(R$6/$X53)*$X$7-R52*($X$7+$Z53)*($Y53-1)-SUM($B54:Q54))+IF($Y53&gt;1,IF(INT(R$6/$X53)&gt;0,$Z53-$AA53,0),-$AA53)</f>
        <v>0</v>
      </c>
      <c r="S54" s="603">
        <f>IF(INT(S$6/$X53)*$X$7&gt;S52*($X$7+$Z53)*$Y53,S52*($X$7+$Z53)-SUM($B54:R54),INT(S$6/$X53)*$X$7-S52*($X$7+$Z53)*($Y53-1)-SUM($B54:R54))+IF($Y53&gt;1,IF(INT(S$6/$X53)&gt;0,$Z53-$AA53,0),-$AA53)</f>
        <v>0</v>
      </c>
      <c r="T54" s="603">
        <f>IF(INT(T$6/$X53)*$X$7&gt;T52*($X$7+$Z53)*$Y53,T52*($X$7+$Z53)-SUM($B54:S54),INT(T$6/$X53)*$X$7-T52*($X$7+$Z53)*($Y53-1)-SUM($B54:S54))+IF($Y53&gt;1,IF(INT(T$6/$X53)&gt;0,$Z53-$AA53,0),-$AA53)</f>
        <v>0</v>
      </c>
      <c r="U54" s="603">
        <f>IF(INT(U$6/$X53)*$X$7&gt;U52*($X$7+$Z53)*$Y53,U52*($X$7+$Z53)-SUM($B54:T54),INT(U$6/$X53)*$X$7-U52*($X$7+$Z53)*($Y53-1)-SUM($B54:T54))+IF($Y53&gt;1,IF(INT(U$6/$X53)&gt;0,$Z53-$AA53,0),-$AA53)</f>
        <v>0</v>
      </c>
      <c r="V54" s="603">
        <f>IF(INT(V$6/$X53)*$X$7&gt;V52*($X$7+$Z53)*$Y53,V52*($X$7+$Z53)-SUM($B54:U54),INT(V$6/$X53)*$X$7-V52*($X$7+$Z53)*($Y53-1)-SUM($B54:U54))+IF($Y53&gt;1,IF(INT(V$6/$X53)&gt;0,$Z53-$AA53,0),-$AA53)</f>
        <v>0</v>
      </c>
      <c r="W54" s="681"/>
      <c r="X54"/>
      <c r="Y54"/>
      <c r="Z54"/>
    </row>
    <row r="55" spans="1:28" s="102" customFormat="1">
      <c r="W55" s="668"/>
    </row>
    <row r="56" spans="1:28" s="102" customFormat="1" hidden="1">
      <c r="A56" s="140" t="s">
        <v>934</v>
      </c>
      <c r="B56" s="603"/>
      <c r="C56" s="140">
        <f t="shared" ref="C56:V56" si="17">INT((INT(C$6/$X57)*$X$7+$X$7+$Z57-1)/($X$7+$Z57)/$Y57)</f>
        <v>0</v>
      </c>
      <c r="D56" s="140">
        <f t="shared" si="17"/>
        <v>0</v>
      </c>
      <c r="E56" s="140">
        <f t="shared" si="17"/>
        <v>0</v>
      </c>
      <c r="F56" s="140">
        <f t="shared" si="17"/>
        <v>0</v>
      </c>
      <c r="G56" s="140">
        <f t="shared" si="17"/>
        <v>0</v>
      </c>
      <c r="H56" s="140">
        <f t="shared" si="17"/>
        <v>0</v>
      </c>
      <c r="I56" s="140">
        <f t="shared" si="17"/>
        <v>0</v>
      </c>
      <c r="J56" s="140">
        <f t="shared" si="17"/>
        <v>0</v>
      </c>
      <c r="K56" s="140">
        <f t="shared" si="17"/>
        <v>0</v>
      </c>
      <c r="L56" s="140">
        <f t="shared" si="17"/>
        <v>0</v>
      </c>
      <c r="M56" s="140">
        <f t="shared" si="17"/>
        <v>0</v>
      </c>
      <c r="N56" s="140">
        <f t="shared" si="17"/>
        <v>0</v>
      </c>
      <c r="O56" s="140">
        <f t="shared" si="17"/>
        <v>0</v>
      </c>
      <c r="P56" s="140">
        <f t="shared" si="17"/>
        <v>0</v>
      </c>
      <c r="Q56" s="140">
        <f t="shared" si="17"/>
        <v>0</v>
      </c>
      <c r="R56" s="140">
        <f t="shared" si="17"/>
        <v>0</v>
      </c>
      <c r="S56" s="140">
        <f t="shared" si="17"/>
        <v>0</v>
      </c>
      <c r="T56" s="140">
        <f t="shared" si="17"/>
        <v>0</v>
      </c>
      <c r="U56" s="140">
        <f t="shared" si="17"/>
        <v>0</v>
      </c>
      <c r="V56" s="140">
        <f t="shared" si="17"/>
        <v>0</v>
      </c>
    </row>
    <row r="57" spans="1:28" s="102" customFormat="1">
      <c r="A57" s="140" t="s">
        <v>935</v>
      </c>
      <c r="B57" s="603" t="s">
        <v>278</v>
      </c>
      <c r="C57" s="603">
        <f>IF($Y57=1,0,$X$7*(INT(C$6/$X57)-INT(B$6/$X57))-IF(SUM($B57:B57)&gt;0,C58,0))</f>
        <v>0</v>
      </c>
      <c r="D57" s="603">
        <f>IF($Y57=1,0,$X$7*(INT(D$6/$X57)-INT(C$6/$X57))-IF(SUM($B57:C57)&gt;0,D58,0))</f>
        <v>0</v>
      </c>
      <c r="E57" s="603">
        <f>IF($Y57=1,0,$X$7*(INT(E$6/$X57)-INT(D$6/$X57))-IF(SUM($B57:D57)&gt;0,E58,0))</f>
        <v>0</v>
      </c>
      <c r="F57" s="603">
        <f>IF($Y57=1,0,$X$7*(INT(F$6/$X57)-INT(E$6/$X57))-IF(SUM($B57:E57)&gt;0,F58,0))</f>
        <v>0</v>
      </c>
      <c r="G57" s="603">
        <f>IF($Y57=1,0,$X$7*(INT(G$6/$X57)-INT(F$6/$X57))-IF(SUM($B57:F57)&gt;0,G58,0))</f>
        <v>0</v>
      </c>
      <c r="H57" s="603">
        <f>IF($Y57=1,0,$X$7*(INT(H$6/$X57)-INT(G$6/$X57))-IF(SUM($B57:G57)&gt;0,H58,0))</f>
        <v>0</v>
      </c>
      <c r="I57" s="603">
        <f>IF($Y57=1,0,$X$7*(INT(I$6/$X57)-INT(H$6/$X57))-IF(SUM($B57:H57)&gt;0,I58,0))</f>
        <v>0</v>
      </c>
      <c r="J57" s="603">
        <f>IF($Y57=1,0,$X$7*(INT(J$6/$X57)-INT(I$6/$X57))-IF(SUM($B57:I57)&gt;0,J58,0))</f>
        <v>0</v>
      </c>
      <c r="K57" s="603">
        <f>IF($Y57=1,0,$X$7*(INT(K$6/$X57)-INT(J$6/$X57))-IF(SUM($B57:J57)&gt;0,K58,0))</f>
        <v>0</v>
      </c>
      <c r="L57" s="603">
        <f>IF($Y57=1,0,$X$7*(INT(L$6/$X57)-INT(K$6/$X57))-IF(SUM($B57:K57)&gt;0,L58,0))</f>
        <v>0</v>
      </c>
      <c r="M57" s="603">
        <f>IF($Y57=1,0,$X$7*(INT(M$6/$X57)-INT(L$6/$X57))-IF(SUM($B57:L57)&gt;0,M58,0))</f>
        <v>0</v>
      </c>
      <c r="N57" s="603">
        <f>IF($Y57=1,0,$X$7*(INT(N$6/$X57)-INT(M$6/$X57))-IF(SUM($B57:M57)&gt;0,N58,0))</f>
        <v>0</v>
      </c>
      <c r="O57" s="603">
        <f>IF($Y57=1,0,$X$7*(INT(O$6/$X57)-INT(N$6/$X57))-IF(SUM($B57:N57)&gt;0,O58,0))</f>
        <v>0</v>
      </c>
      <c r="P57" s="603">
        <f>IF($Y57=1,0,$X$7*(INT(P$6/$X57)-INT(O$6/$X57))-IF(SUM($B57:O57)&gt;0,P58,0))</f>
        <v>0</v>
      </c>
      <c r="Q57" s="603">
        <f>IF($Y57=1,0,$X$7*(INT(Q$6/$X57)-INT(P$6/$X57))-IF(SUM($B57:P57)&gt;0,Q58,0))</f>
        <v>0</v>
      </c>
      <c r="R57" s="603">
        <f>IF($Y57=1,0,$X$7*(INT(R$6/$X57)-INT(Q$6/$X57))-IF(SUM($B57:Q57)&gt;0,R58,0))</f>
        <v>0</v>
      </c>
      <c r="S57" s="603">
        <f>IF($Y57=1,0,$X$7*(INT(S$6/$X57)-INT(R$6/$X57))-IF(SUM($B57:R57)&gt;0,S58,0))</f>
        <v>0</v>
      </c>
      <c r="T57" s="603">
        <f>IF($Y57=1,0,$X$7*(INT(T$6/$X57)-INT(S$6/$X57))-IF(SUM($B57:S57)&gt;0,T58,0))</f>
        <v>0</v>
      </c>
      <c r="U57" s="603">
        <f>IF($Y57=1,0,$X$7*(INT(U$6/$X57)-INT(T$6/$X57))-IF(SUM($B57:T57)&gt;0,U58,0))</f>
        <v>0</v>
      </c>
      <c r="V57" s="603">
        <f>IF($Y57=1,0,$X$7*(INT(V$6/$X57)-INT(U$6/$X57))-IF(SUM($B57:U57)&gt;0,V58,0))</f>
        <v>0</v>
      </c>
      <c r="W57" s="678" t="str">
        <f xml:space="preserve"> 'GT schd cost(W501D5)'!A24</f>
        <v>Row 2 Vanes</v>
      </c>
      <c r="X57" s="678">
        <f>IF($AD$6=1,'GTDB(W501D5)'!B27,'GTDB(W501D5)'!G27)</f>
        <v>24000</v>
      </c>
      <c r="Y57" s="678">
        <f>IF($AD$6=1,'GTDB(W501D5)'!C27,'GTDB(W501D5)'!H27)</f>
        <v>3</v>
      </c>
      <c r="Z57" s="679">
        <v>1</v>
      </c>
      <c r="AA57" s="834">
        <f>'Initial_Spares(W501D5)'!$E$21</f>
        <v>0</v>
      </c>
      <c r="AB57" s="642">
        <f>'GT schd cost(W501D5)'!X24+'GT schd cost(W501D5)'!X50</f>
        <v>0</v>
      </c>
    </row>
    <row r="58" spans="1:28" s="102" customFormat="1">
      <c r="A58" s="140" t="s">
        <v>936</v>
      </c>
      <c r="B58" s="603" t="s">
        <v>278</v>
      </c>
      <c r="C58" s="603">
        <f>IF(INT(C$6/$X57)*$X$7&gt;C56*($X$7+$Z57)*$Y57,C56*($X$7+$Z57)-SUM($B58:B58),INT(C$6/$X57)*$X$7-C56*($X$7+$Z57)*($Y57-1)-SUM($B58:B58))+IF($Y57&gt;1,IF(INT(C$6/$X57)&gt;0,$Z57-$AA57,0),-$AA57)</f>
        <v>0</v>
      </c>
      <c r="D58" s="603">
        <f>IF(INT(D$6/$X57)*$X$7&gt;D56*($X$7+$Z57)*$Y57,D56*($X$7+$Z57)-SUM($B58:C58),INT(D$6/$X57)*$X$7-D56*($X$7+$Z57)*($Y57-1)-SUM($B58:C58))+IF($Y57&gt;1,IF(INT(D$6/$X57)&gt;0,$Z57-$AA57,0),-$AA57)</f>
        <v>0</v>
      </c>
      <c r="E58" s="603">
        <f>IF(INT(E$6/$X57)*$X$7&gt;E56*($X$7+$Z57)*$Y57,E56*($X$7+$Z57)-SUM($B58:D58),INT(E$6/$X57)*$X$7-E56*($X$7+$Z57)*($Y57-1)-SUM($B58:D58))+IF($Y57&gt;1,IF(INT(E$6/$X57)&gt;0,$Z57-$AA57,0),-$AA57)</f>
        <v>0</v>
      </c>
      <c r="F58" s="603">
        <f>IF(INT(F$6/$X57)*$X$7&gt;F56*($X$7+$Z57)*$Y57,F56*($X$7+$Z57)-SUM($B58:E58),INT(F$6/$X57)*$X$7-F56*($X$7+$Z57)*($Y57-1)-SUM($B58:E58))+IF($Y57&gt;1,IF(INT(F$6/$X57)&gt;0,$Z57-$AA57,0),-$AA57)</f>
        <v>0</v>
      </c>
      <c r="G58" s="603">
        <f>IF(INT(G$6/$X57)*$X$7&gt;G56*($X$7+$Z57)*$Y57,G56*($X$7+$Z57)-SUM($B58:F58),INT(G$6/$X57)*$X$7-G56*($X$7+$Z57)*($Y57-1)-SUM($B58:F58))+IF($Y57&gt;1,IF(INT(G$6/$X57)&gt;0,$Z57-$AA57,0),-$AA57)</f>
        <v>0</v>
      </c>
      <c r="H58" s="603">
        <f>IF(INT(H$6/$X57)*$X$7&gt;H56*($X$7+$Z57)*$Y57,H56*($X$7+$Z57)-SUM($B58:G58),INT(H$6/$X57)*$X$7-H56*($X$7+$Z57)*($Y57-1)-SUM($B58:G58))+IF($Y57&gt;1,IF(INT(H$6/$X57)&gt;0,$Z57-$AA57,0),-$AA57)</f>
        <v>0</v>
      </c>
      <c r="I58" s="603">
        <f>IF(INT(I$6/$X57)*$X$7&gt;I56*($X$7+$Z57)*$Y57,I56*($X$7+$Z57)-SUM($B58:H58),INT(I$6/$X57)*$X$7-I56*($X$7+$Z57)*($Y57-1)-SUM($B58:H58))+IF($Y57&gt;1,IF(INT(I$6/$X57)&gt;0,$Z57-$AA57,0),-$AA57)</f>
        <v>0</v>
      </c>
      <c r="J58" s="603">
        <f>IF(INT(J$6/$X57)*$X$7&gt;J56*($X$7+$Z57)*$Y57,J56*($X$7+$Z57)-SUM($B58:I58),INT(J$6/$X57)*$X$7-J56*($X$7+$Z57)*($Y57-1)-SUM($B58:I58))+IF($Y57&gt;1,IF(INT(J$6/$X57)&gt;0,$Z57-$AA57,0),-$AA57)</f>
        <v>0</v>
      </c>
      <c r="K58" s="603">
        <f>IF(INT(K$6/$X57)*$X$7&gt;K56*($X$7+$Z57)*$Y57,K56*($X$7+$Z57)-SUM($B58:J58),INT(K$6/$X57)*$X$7-K56*($X$7+$Z57)*($Y57-1)-SUM($B58:J58))+IF($Y57&gt;1,IF(INT(K$6/$X57)&gt;0,$Z57-$AA57,0),-$AA57)</f>
        <v>0</v>
      </c>
      <c r="L58" s="603">
        <f>IF(INT(L$6/$X57)*$X$7&gt;L56*($X$7+$Z57)*$Y57,L56*($X$7+$Z57)-SUM($B58:K58),INT(L$6/$X57)*$X$7-L56*($X$7+$Z57)*($Y57-1)-SUM($B58:K58))+IF($Y57&gt;1,IF(INT(L$6/$X57)&gt;0,$Z57-$AA57,0),-$AA57)</f>
        <v>0</v>
      </c>
      <c r="M58" s="603">
        <f>IF(INT(M$6/$X57)*$X$7&gt;M56*($X$7+$Z57)*$Y57,M56*($X$7+$Z57)-SUM($B58:L58),INT(M$6/$X57)*$X$7-M56*($X$7+$Z57)*($Y57-1)-SUM($B58:L58))+IF($Y57&gt;1,IF(INT(M$6/$X57)&gt;0,$Z57-$AA57,0),-$AA57)</f>
        <v>0</v>
      </c>
      <c r="N58" s="603">
        <f>IF(INT(N$6/$X57)*$X$7&gt;N56*($X$7+$Z57)*$Y57,N56*($X$7+$Z57)-SUM($B58:M58),INT(N$6/$X57)*$X$7-N56*($X$7+$Z57)*($Y57-1)-SUM($B58:M58))+IF($Y57&gt;1,IF(INT(N$6/$X57)&gt;0,$Z57-$AA57,0),-$AA57)</f>
        <v>0</v>
      </c>
      <c r="O58" s="603">
        <f>IF(INT(O$6/$X57)*$X$7&gt;O56*($X$7+$Z57)*$Y57,O56*($X$7+$Z57)-SUM($B58:N58),INT(O$6/$X57)*$X$7-O56*($X$7+$Z57)*($Y57-1)-SUM($B58:N58))+IF($Y57&gt;1,IF(INT(O$6/$X57)&gt;0,$Z57-$AA57,0),-$AA57)</f>
        <v>0</v>
      </c>
      <c r="P58" s="603">
        <f>IF(INT(P$6/$X57)*$X$7&gt;P56*($X$7+$Z57)*$Y57,P56*($X$7+$Z57)-SUM($B58:O58),INT(P$6/$X57)*$X$7-P56*($X$7+$Z57)*($Y57-1)-SUM($B58:O58))+IF($Y57&gt;1,IF(INT(P$6/$X57)&gt;0,$Z57-$AA57,0),-$AA57)</f>
        <v>0</v>
      </c>
      <c r="Q58" s="603">
        <f>IF(INT(Q$6/$X57)*$X$7&gt;Q56*($X$7+$Z57)*$Y57,Q56*($X$7+$Z57)-SUM($B58:P58),INT(Q$6/$X57)*$X$7-Q56*($X$7+$Z57)*($Y57-1)-SUM($B58:P58))+IF($Y57&gt;1,IF(INT(Q$6/$X57)&gt;0,$Z57-$AA57,0),-$AA57)</f>
        <v>0</v>
      </c>
      <c r="R58" s="603">
        <f>IF(INT(R$6/$X57)*$X$7&gt;R56*($X$7+$Z57)*$Y57,R56*($X$7+$Z57)-SUM($B58:Q58),INT(R$6/$X57)*$X$7-R56*($X$7+$Z57)*($Y57-1)-SUM($B58:Q58))+IF($Y57&gt;1,IF(INT(R$6/$X57)&gt;0,$Z57-$AA57,0),-$AA57)</f>
        <v>0</v>
      </c>
      <c r="S58" s="603">
        <f>IF(INT(S$6/$X57)*$X$7&gt;S56*($X$7+$Z57)*$Y57,S56*($X$7+$Z57)-SUM($B58:R58),INT(S$6/$X57)*$X$7-S56*($X$7+$Z57)*($Y57-1)-SUM($B58:R58))+IF($Y57&gt;1,IF(INT(S$6/$X57)&gt;0,$Z57-$AA57,0),-$AA57)</f>
        <v>0</v>
      </c>
      <c r="T58" s="603">
        <f>IF(INT(T$6/$X57)*$X$7&gt;T56*($X$7+$Z57)*$Y57,T56*($X$7+$Z57)-SUM($B58:S58),INT(T$6/$X57)*$X$7-T56*($X$7+$Z57)*($Y57-1)-SUM($B58:S58))+IF($Y57&gt;1,IF(INT(T$6/$X57)&gt;0,$Z57-$AA57,0),-$AA57)</f>
        <v>0</v>
      </c>
      <c r="U58" s="603">
        <f>IF(INT(U$6/$X57)*$X$7&gt;U56*($X$7+$Z57)*$Y57,U56*($X$7+$Z57)-SUM($B58:T58),INT(U$6/$X57)*$X$7-U56*($X$7+$Z57)*($Y57-1)-SUM($B58:T58))+IF($Y57&gt;1,IF(INT(U$6/$X57)&gt;0,$Z57-$AA57,0),-$AA57)</f>
        <v>0</v>
      </c>
      <c r="V58" s="603">
        <f>IF(INT(V$6/$X57)*$X$7&gt;V56*($X$7+$Z57)*$Y57,V56*($X$7+$Z57)-SUM($B58:U58),INT(V$6/$X57)*$X$7-V56*($X$7+$Z57)*($Y57-1)-SUM($B58:U58))+IF($Y57&gt;1,IF(INT(V$6/$X57)&gt;0,$Z57-$AA57,0),-$AA57)</f>
        <v>0</v>
      </c>
      <c r="W58" s="681"/>
      <c r="X58"/>
      <c r="Y58"/>
      <c r="Z58"/>
    </row>
    <row r="59" spans="1:28" s="102" customFormat="1">
      <c r="B59" s="615"/>
      <c r="C59" s="615"/>
      <c r="D59" s="615"/>
      <c r="E59" s="615"/>
      <c r="F59" s="615"/>
      <c r="G59" s="615"/>
      <c r="H59" s="615"/>
      <c r="I59" s="615"/>
      <c r="J59" s="615"/>
      <c r="K59" s="615"/>
      <c r="W59" s="663"/>
    </row>
    <row r="60" spans="1:28" s="102" customFormat="1" hidden="1">
      <c r="A60" s="140" t="s">
        <v>934</v>
      </c>
      <c r="B60" s="603"/>
      <c r="C60" s="140">
        <f t="shared" ref="C60:V60" si="18">INT((INT(C$6/$X61)*$X$7+$X$7+$Z61-1)/($X$7+$Z61)/$Y61)</f>
        <v>0</v>
      </c>
      <c r="D60" s="140">
        <f t="shared" si="18"/>
        <v>0</v>
      </c>
      <c r="E60" s="140">
        <f t="shared" si="18"/>
        <v>0</v>
      </c>
      <c r="F60" s="140">
        <f t="shared" si="18"/>
        <v>0</v>
      </c>
      <c r="G60" s="140">
        <f t="shared" si="18"/>
        <v>0</v>
      </c>
      <c r="H60" s="140">
        <f t="shared" si="18"/>
        <v>0</v>
      </c>
      <c r="I60" s="140">
        <f t="shared" si="18"/>
        <v>0</v>
      </c>
      <c r="J60" s="140">
        <f t="shared" si="18"/>
        <v>0</v>
      </c>
      <c r="K60" s="140">
        <f t="shared" si="18"/>
        <v>0</v>
      </c>
      <c r="L60" s="140">
        <f t="shared" si="18"/>
        <v>0</v>
      </c>
      <c r="M60" s="140">
        <f t="shared" si="18"/>
        <v>0</v>
      </c>
      <c r="N60" s="140">
        <f t="shared" si="18"/>
        <v>0</v>
      </c>
      <c r="O60" s="140">
        <f t="shared" si="18"/>
        <v>0</v>
      </c>
      <c r="P60" s="140">
        <f t="shared" si="18"/>
        <v>0</v>
      </c>
      <c r="Q60" s="140">
        <f t="shared" si="18"/>
        <v>0</v>
      </c>
      <c r="R60" s="140">
        <f t="shared" si="18"/>
        <v>0</v>
      </c>
      <c r="S60" s="140">
        <f t="shared" si="18"/>
        <v>0</v>
      </c>
      <c r="T60" s="140">
        <f t="shared" si="18"/>
        <v>0</v>
      </c>
      <c r="U60" s="140">
        <f t="shared" si="18"/>
        <v>0</v>
      </c>
      <c r="V60" s="140">
        <f t="shared" si="18"/>
        <v>0</v>
      </c>
    </row>
    <row r="61" spans="1:28" s="102" customFormat="1">
      <c r="A61" s="140" t="s">
        <v>935</v>
      </c>
      <c r="B61" s="603" t="s">
        <v>278</v>
      </c>
      <c r="C61" s="603">
        <f>IF($Y61=1,0,$X$7*(INT(C$6/$X61)-INT(B$6/$X61))-IF(SUM($B61:B61)&gt;0,C62,0))</f>
        <v>0</v>
      </c>
      <c r="D61" s="603">
        <f>IF($Y61=1,0,$X$7*(INT(D$6/$X61)-INT(C$6/$X61))-IF(SUM($B61:C61)&gt;0,D62,0))</f>
        <v>0</v>
      </c>
      <c r="E61" s="603">
        <f>IF($Y61=1,0,$X$7*(INT(E$6/$X61)-INT(D$6/$X61))-IF(SUM($B61:D61)&gt;0,E62,0))</f>
        <v>0</v>
      </c>
      <c r="F61" s="603">
        <f>IF($Y61=1,0,$X$7*(INT(F$6/$X61)-INT(E$6/$X61))-IF(SUM($B61:E61)&gt;0,F62,0))</f>
        <v>0</v>
      </c>
      <c r="G61" s="603">
        <f>IF($Y61=1,0,$X$7*(INT(G$6/$X61)-INT(F$6/$X61))-IF(SUM($B61:F61)&gt;0,G62,0))</f>
        <v>0</v>
      </c>
      <c r="H61" s="603">
        <f>IF($Y61=1,0,$X$7*(INT(H$6/$X61)-INT(G$6/$X61))-IF(SUM($B61:G61)&gt;0,H62,0))</f>
        <v>0</v>
      </c>
      <c r="I61" s="603">
        <f>IF($Y61=1,0,$X$7*(INT(I$6/$X61)-INT(H$6/$X61))-IF(SUM($B61:H61)&gt;0,I62,0))</f>
        <v>0</v>
      </c>
      <c r="J61" s="603">
        <f>IF($Y61=1,0,$X$7*(INT(J$6/$X61)-INT(I$6/$X61))-IF(SUM($B61:I61)&gt;0,J62,0))</f>
        <v>0</v>
      </c>
      <c r="K61" s="603">
        <f>IF($Y61=1,0,$X$7*(INT(K$6/$X61)-INT(J$6/$X61))-IF(SUM($B61:J61)&gt;0,K62,0))</f>
        <v>0</v>
      </c>
      <c r="L61" s="603">
        <f>IF($Y61=1,0,$X$7*(INT(L$6/$X61)-INT(K$6/$X61))-IF(SUM($B61:K61)&gt;0,L62,0))</f>
        <v>0</v>
      </c>
      <c r="M61" s="603">
        <f>IF($Y61=1,0,$X$7*(INT(M$6/$X61)-INT(L$6/$X61))-IF(SUM($B61:L61)&gt;0,M62,0))</f>
        <v>0</v>
      </c>
      <c r="N61" s="603">
        <f>IF($Y61=1,0,$X$7*(INT(N$6/$X61)-INT(M$6/$X61))-IF(SUM($B61:M61)&gt;0,N62,0))</f>
        <v>0</v>
      </c>
      <c r="O61" s="603">
        <f>IF($Y61=1,0,$X$7*(INT(O$6/$X61)-INT(N$6/$X61))-IF(SUM($B61:N61)&gt;0,O62,0))</f>
        <v>0</v>
      </c>
      <c r="P61" s="603">
        <f>IF($Y61=1,0,$X$7*(INT(P$6/$X61)-INT(O$6/$X61))-IF(SUM($B61:O61)&gt;0,P62,0))</f>
        <v>0</v>
      </c>
      <c r="Q61" s="603">
        <f>IF($Y61=1,0,$X$7*(INT(Q$6/$X61)-INT(P$6/$X61))-IF(SUM($B61:P61)&gt;0,Q62,0))</f>
        <v>0</v>
      </c>
      <c r="R61" s="603">
        <f>IF($Y61=1,0,$X$7*(INT(R$6/$X61)-INT(Q$6/$X61))-IF(SUM($B61:Q61)&gt;0,R62,0))</f>
        <v>0</v>
      </c>
      <c r="S61" s="603">
        <f>IF($Y61=1,0,$X$7*(INT(S$6/$X61)-INT(R$6/$X61))-IF(SUM($B61:R61)&gt;0,S62,0))</f>
        <v>0</v>
      </c>
      <c r="T61" s="603">
        <f>IF($Y61=1,0,$X$7*(INT(T$6/$X61)-INT(S$6/$X61))-IF(SUM($B61:S61)&gt;0,T62,0))</f>
        <v>0</v>
      </c>
      <c r="U61" s="603">
        <f>IF($Y61=1,0,$X$7*(INT(U$6/$X61)-INT(T$6/$X61))-IF(SUM($B61:T61)&gt;0,U62,0))</f>
        <v>0</v>
      </c>
      <c r="V61" s="603">
        <f>IF($Y61=1,0,$X$7*(INT(V$6/$X61)-INT(U$6/$X61))-IF(SUM($B61:U61)&gt;0,V62,0))</f>
        <v>0</v>
      </c>
      <c r="W61" s="678" t="str">
        <f xml:space="preserve"> 'GT schd cost(W501D5)'!A25</f>
        <v>Row 3 Vanes</v>
      </c>
      <c r="X61" s="678">
        <f>IF($AD$6=1,'GTDB(W501D5)'!B28,'GTDB(W501D5)'!G28)</f>
        <v>48000</v>
      </c>
      <c r="Y61" s="678">
        <f>IF($AD$6=1,'GTDB(W501D5)'!C28,'GTDB(W501D5)'!H28)</f>
        <v>2</v>
      </c>
      <c r="Z61" s="679">
        <v>1</v>
      </c>
      <c r="AA61" s="834">
        <f>'Initial_Spares(W501D5)'!$E$22</f>
        <v>0</v>
      </c>
      <c r="AB61" s="642">
        <f>'GT schd cost(W501D5)'!X25+'GT schd cost(W501D5)'!X51</f>
        <v>0</v>
      </c>
    </row>
    <row r="62" spans="1:28" s="102" customFormat="1">
      <c r="A62" s="140" t="s">
        <v>936</v>
      </c>
      <c r="B62" s="603" t="s">
        <v>278</v>
      </c>
      <c r="C62" s="603">
        <f>IF(INT(C$6/$X61)*$X$7&gt;C60*($X$7+$Z61)*$Y61,C60*($X$7+$Z61)-SUM($B62:B62),INT(C$6/$X61)*$X$7-C60*($X$7+$Z61)*($Y61-1)-SUM($B62:B62))+IF($Y61&gt;1,IF(INT(C$6/$X61)&gt;0,$Z61-$AA61,0),-$AA61)</f>
        <v>0</v>
      </c>
      <c r="D62" s="603">
        <f>IF(INT(D$6/$X61)*$X$7&gt;D60*($X$7+$Z61)*$Y61,D60*($X$7+$Z61)-SUM($B62:C62),INT(D$6/$X61)*$X$7-D60*($X$7+$Z61)*($Y61-1)-SUM($B62:C62))+IF($Y61&gt;1,IF(INT(D$6/$X61)&gt;0,$Z61-$AA61,0),-$AA61)</f>
        <v>0</v>
      </c>
      <c r="E62" s="603">
        <f>IF(INT(E$6/$X61)*$X$7&gt;E60*($X$7+$Z61)*$Y61,E60*($X$7+$Z61)-SUM($B62:D62),INT(E$6/$X61)*$X$7-E60*($X$7+$Z61)*($Y61-1)-SUM($B62:D62))+IF($Y61&gt;1,IF(INT(E$6/$X61)&gt;0,$Z61-$AA61,0),-$AA61)</f>
        <v>0</v>
      </c>
      <c r="F62" s="603">
        <f>IF(INT(F$6/$X61)*$X$7&gt;F60*($X$7+$Z61)*$Y61,F60*($X$7+$Z61)-SUM($B62:E62),INT(F$6/$X61)*$X$7-F60*($X$7+$Z61)*($Y61-1)-SUM($B62:E62))+IF($Y61&gt;1,IF(INT(F$6/$X61)&gt;0,$Z61-$AA61,0),-$AA61)</f>
        <v>0</v>
      </c>
      <c r="G62" s="603">
        <f>IF(INT(G$6/$X61)*$X$7&gt;G60*($X$7+$Z61)*$Y61,G60*($X$7+$Z61)-SUM($B62:F62),INT(G$6/$X61)*$X$7-G60*($X$7+$Z61)*($Y61-1)-SUM($B62:F62))+IF($Y61&gt;1,IF(INT(G$6/$X61)&gt;0,$Z61-$AA61,0),-$AA61)</f>
        <v>0</v>
      </c>
      <c r="H62" s="603">
        <f>IF(INT(H$6/$X61)*$X$7&gt;H60*($X$7+$Z61)*$Y61,H60*($X$7+$Z61)-SUM($B62:G62),INT(H$6/$X61)*$X$7-H60*($X$7+$Z61)*($Y61-1)-SUM($B62:G62))+IF($Y61&gt;1,IF(INT(H$6/$X61)&gt;0,$Z61-$AA61,0),-$AA61)</f>
        <v>0</v>
      </c>
      <c r="I62" s="603">
        <f>IF(INT(I$6/$X61)*$X$7&gt;I60*($X$7+$Z61)*$Y61,I60*($X$7+$Z61)-SUM($B62:H62),INT(I$6/$X61)*$X$7-I60*($X$7+$Z61)*($Y61-1)-SUM($B62:H62))+IF($Y61&gt;1,IF(INT(I$6/$X61)&gt;0,$Z61-$AA61,0),-$AA61)</f>
        <v>0</v>
      </c>
      <c r="J62" s="603">
        <f>IF(INT(J$6/$X61)*$X$7&gt;J60*($X$7+$Z61)*$Y61,J60*($X$7+$Z61)-SUM($B62:I62),INT(J$6/$X61)*$X$7-J60*($X$7+$Z61)*($Y61-1)-SUM($B62:I62))+IF($Y61&gt;1,IF(INT(J$6/$X61)&gt;0,$Z61-$AA61,0),-$AA61)</f>
        <v>0</v>
      </c>
      <c r="K62" s="603">
        <f>IF(INT(K$6/$X61)*$X$7&gt;K60*($X$7+$Z61)*$Y61,K60*($X$7+$Z61)-SUM($B62:J62),INT(K$6/$X61)*$X$7-K60*($X$7+$Z61)*($Y61-1)-SUM($B62:J62))+IF($Y61&gt;1,IF(INT(K$6/$X61)&gt;0,$Z61-$AA61,0),-$AA61)</f>
        <v>0</v>
      </c>
      <c r="L62" s="603">
        <f>IF(INT(L$6/$X61)*$X$7&gt;L60*($X$7+$Z61)*$Y61,L60*($X$7+$Z61)-SUM($B62:K62),INT(L$6/$X61)*$X$7-L60*($X$7+$Z61)*($Y61-1)-SUM($B62:K62))+IF($Y61&gt;1,IF(INT(L$6/$X61)&gt;0,$Z61-$AA61,0),-$AA61)</f>
        <v>0</v>
      </c>
      <c r="M62" s="603">
        <f>IF(INT(M$6/$X61)*$X$7&gt;M60*($X$7+$Z61)*$Y61,M60*($X$7+$Z61)-SUM($B62:L62),INT(M$6/$X61)*$X$7-M60*($X$7+$Z61)*($Y61-1)-SUM($B62:L62))+IF($Y61&gt;1,IF(INT(M$6/$X61)&gt;0,$Z61-$AA61,0),-$AA61)</f>
        <v>0</v>
      </c>
      <c r="N62" s="603">
        <f>IF(INT(N$6/$X61)*$X$7&gt;N60*($X$7+$Z61)*$Y61,N60*($X$7+$Z61)-SUM($B62:M62),INT(N$6/$X61)*$X$7-N60*($X$7+$Z61)*($Y61-1)-SUM($B62:M62))+IF($Y61&gt;1,IF(INT(N$6/$X61)&gt;0,$Z61-$AA61,0),-$AA61)</f>
        <v>0</v>
      </c>
      <c r="O62" s="603">
        <f>IF(INT(O$6/$X61)*$X$7&gt;O60*($X$7+$Z61)*$Y61,O60*($X$7+$Z61)-SUM($B62:N62),INT(O$6/$X61)*$X$7-O60*($X$7+$Z61)*($Y61-1)-SUM($B62:N62))+IF($Y61&gt;1,IF(INT(O$6/$X61)&gt;0,$Z61-$AA61,0),-$AA61)</f>
        <v>0</v>
      </c>
      <c r="P62" s="603">
        <f>IF(INT(P$6/$X61)*$X$7&gt;P60*($X$7+$Z61)*$Y61,P60*($X$7+$Z61)-SUM($B62:O62),INT(P$6/$X61)*$X$7-P60*($X$7+$Z61)*($Y61-1)-SUM($B62:O62))+IF($Y61&gt;1,IF(INT(P$6/$X61)&gt;0,$Z61-$AA61,0),-$AA61)</f>
        <v>0</v>
      </c>
      <c r="Q62" s="603">
        <f>IF(INT(Q$6/$X61)*$X$7&gt;Q60*($X$7+$Z61)*$Y61,Q60*($X$7+$Z61)-SUM($B62:P62),INT(Q$6/$X61)*$X$7-Q60*($X$7+$Z61)*($Y61-1)-SUM($B62:P62))+IF($Y61&gt;1,IF(INT(Q$6/$X61)&gt;0,$Z61-$AA61,0),-$AA61)</f>
        <v>0</v>
      </c>
      <c r="R62" s="603">
        <f>IF(INT(R$6/$X61)*$X$7&gt;R60*($X$7+$Z61)*$Y61,R60*($X$7+$Z61)-SUM($B62:Q62),INT(R$6/$X61)*$X$7-R60*($X$7+$Z61)*($Y61-1)-SUM($B62:Q62))+IF($Y61&gt;1,IF(INT(R$6/$X61)&gt;0,$Z61-$AA61,0),-$AA61)</f>
        <v>0</v>
      </c>
      <c r="S62" s="603">
        <f>IF(INT(S$6/$X61)*$X$7&gt;S60*($X$7+$Z61)*$Y61,S60*($X$7+$Z61)-SUM($B62:R62),INT(S$6/$X61)*$X$7-S60*($X$7+$Z61)*($Y61-1)-SUM($B62:R62))+IF($Y61&gt;1,IF(INT(S$6/$X61)&gt;0,$Z61-$AA61,0),-$AA61)</f>
        <v>0</v>
      </c>
      <c r="T62" s="603">
        <f>IF(INT(T$6/$X61)*$X$7&gt;T60*($X$7+$Z61)*$Y61,T60*($X$7+$Z61)-SUM($B62:S62),INT(T$6/$X61)*$X$7-T60*($X$7+$Z61)*($Y61-1)-SUM($B62:S62))+IF($Y61&gt;1,IF(INT(T$6/$X61)&gt;0,$Z61-$AA61,0),-$AA61)</f>
        <v>0</v>
      </c>
      <c r="U62" s="603">
        <f>IF(INT(U$6/$X61)*$X$7&gt;U60*($X$7+$Z61)*$Y61,U60*($X$7+$Z61)-SUM($B62:T62),INT(U$6/$X61)*$X$7-U60*($X$7+$Z61)*($Y61-1)-SUM($B62:T62))+IF($Y61&gt;1,IF(INT(U$6/$X61)&gt;0,$Z61-$AA61,0),-$AA61)</f>
        <v>0</v>
      </c>
      <c r="V62" s="603">
        <f>IF(INT(V$6/$X61)*$X$7&gt;V60*($X$7+$Z61)*$Y61,V60*($X$7+$Z61)-SUM($B62:U62),INT(V$6/$X61)*$X$7-V60*($X$7+$Z61)*($Y61-1)-SUM($B62:U62))+IF($Y61&gt;1,IF(INT(V$6/$X61)&gt;0,$Z61-$AA61,0),-$AA61)</f>
        <v>0</v>
      </c>
      <c r="W62" s="681"/>
      <c r="X62"/>
      <c r="Y62"/>
      <c r="Z62"/>
    </row>
    <row r="63" spans="1:28" s="102" customFormat="1">
      <c r="B63" s="615"/>
      <c r="C63" s="615"/>
      <c r="D63" s="615"/>
      <c r="E63" s="615"/>
      <c r="F63" s="615"/>
      <c r="G63" s="615"/>
      <c r="H63" s="615"/>
      <c r="I63" s="615"/>
      <c r="J63" s="615"/>
      <c r="K63" s="615"/>
      <c r="L63" s="615"/>
      <c r="M63" s="615"/>
      <c r="N63" s="615"/>
      <c r="O63" s="615"/>
      <c r="P63" s="615"/>
      <c r="Q63" s="615"/>
      <c r="R63" s="615"/>
      <c r="S63" s="615"/>
      <c r="T63" s="615"/>
      <c r="U63" s="615"/>
      <c r="V63" s="615"/>
      <c r="W63" s="663"/>
    </row>
    <row r="64" spans="1:28" s="102" customFormat="1" hidden="1">
      <c r="A64" s="140" t="s">
        <v>934</v>
      </c>
      <c r="B64" s="603"/>
      <c r="C64" s="140">
        <f t="shared" ref="C64:V64" si="19">INT((INT(C$6/$X65)*$X$7+$X$7+$Z65-1)/($X$7+$Z65)/$Y65)</f>
        <v>0</v>
      </c>
      <c r="D64" s="140">
        <f t="shared" si="19"/>
        <v>0</v>
      </c>
      <c r="E64" s="140">
        <f t="shared" si="19"/>
        <v>0</v>
      </c>
      <c r="F64" s="140">
        <f t="shared" si="19"/>
        <v>0</v>
      </c>
      <c r="G64" s="140">
        <f t="shared" si="19"/>
        <v>0</v>
      </c>
      <c r="H64" s="140">
        <f t="shared" si="19"/>
        <v>0</v>
      </c>
      <c r="I64" s="140">
        <f t="shared" si="19"/>
        <v>0</v>
      </c>
      <c r="J64" s="140">
        <f t="shared" si="19"/>
        <v>0</v>
      </c>
      <c r="K64" s="140">
        <f t="shared" si="19"/>
        <v>0</v>
      </c>
      <c r="L64" s="140">
        <f t="shared" si="19"/>
        <v>0</v>
      </c>
      <c r="M64" s="140">
        <f t="shared" si="19"/>
        <v>0</v>
      </c>
      <c r="N64" s="140">
        <f t="shared" si="19"/>
        <v>0</v>
      </c>
      <c r="O64" s="140">
        <f t="shared" si="19"/>
        <v>0</v>
      </c>
      <c r="P64" s="140">
        <f t="shared" si="19"/>
        <v>0</v>
      </c>
      <c r="Q64" s="140">
        <f t="shared" si="19"/>
        <v>0</v>
      </c>
      <c r="R64" s="140">
        <f t="shared" si="19"/>
        <v>0</v>
      </c>
      <c r="S64" s="140">
        <f t="shared" si="19"/>
        <v>0</v>
      </c>
      <c r="T64" s="140">
        <f t="shared" si="19"/>
        <v>0</v>
      </c>
      <c r="U64" s="140">
        <f t="shared" si="19"/>
        <v>0</v>
      </c>
      <c r="V64" s="140">
        <f t="shared" si="19"/>
        <v>0</v>
      </c>
    </row>
    <row r="65" spans="1:28" s="102" customFormat="1">
      <c r="A65" s="140" t="s">
        <v>935</v>
      </c>
      <c r="B65" s="603" t="s">
        <v>278</v>
      </c>
      <c r="C65" s="603">
        <f>IF($Y65=1,0,$X$7*(INT(C$6/$X65)-INT(B$6/$X65))-IF(SUM($B65:B65)&gt;0,C66,0))</f>
        <v>0</v>
      </c>
      <c r="D65" s="603">
        <f>IF($Y65=1,0,$X$7*(INT(D$6/$X65)-INT(C$6/$X65))-IF(SUM($B65:C65)&gt;0,D66,0))</f>
        <v>0</v>
      </c>
      <c r="E65" s="603">
        <f>IF($Y65=1,0,$X$7*(INT(E$6/$X65)-INT(D$6/$X65))-IF(SUM($B65:D65)&gt;0,E66,0))</f>
        <v>0</v>
      </c>
      <c r="F65" s="603">
        <f>IF($Y65=1,0,$X$7*(INT(F$6/$X65)-INT(E$6/$X65))-IF(SUM($B65:E65)&gt;0,F66,0))</f>
        <v>0</v>
      </c>
      <c r="G65" s="603">
        <f>IF($Y65=1,0,$X$7*(INT(G$6/$X65)-INT(F$6/$X65))-IF(SUM($B65:F65)&gt;0,G66,0))</f>
        <v>0</v>
      </c>
      <c r="H65" s="603">
        <f>IF($Y65=1,0,$X$7*(INT(H$6/$X65)-INT(G$6/$X65))-IF(SUM($B65:G65)&gt;0,H66,0))</f>
        <v>0</v>
      </c>
      <c r="I65" s="603">
        <f>IF($Y65=1,0,$X$7*(INT(I$6/$X65)-INT(H$6/$X65))-IF(SUM($B65:H65)&gt;0,I66,0))</f>
        <v>0</v>
      </c>
      <c r="J65" s="603">
        <f>IF($Y65=1,0,$X$7*(INT(J$6/$X65)-INT(I$6/$X65))-IF(SUM($B65:I65)&gt;0,J66,0))</f>
        <v>0</v>
      </c>
      <c r="K65" s="603">
        <f>IF($Y65=1,0,$X$7*(INT(K$6/$X65)-INT(J$6/$X65))-IF(SUM($B65:J65)&gt;0,K66,0))</f>
        <v>0</v>
      </c>
      <c r="L65" s="603">
        <f>IF($Y65=1,0,$X$7*(INT(L$6/$X65)-INT(K$6/$X65))-IF(SUM($B65:K65)&gt;0,L66,0))</f>
        <v>0</v>
      </c>
      <c r="M65" s="603">
        <f>IF($Y65=1,0,$X$7*(INT(M$6/$X65)-INT(L$6/$X65))-IF(SUM($B65:L65)&gt;0,M66,0))</f>
        <v>0</v>
      </c>
      <c r="N65" s="603">
        <f>IF($Y65=1,0,$X$7*(INT(N$6/$X65)-INT(M$6/$X65))-IF(SUM($B65:M65)&gt;0,N66,0))</f>
        <v>0</v>
      </c>
      <c r="O65" s="603">
        <f>IF($Y65=1,0,$X$7*(INT(O$6/$X65)-INT(N$6/$X65))-IF(SUM($B65:N65)&gt;0,O66,0))</f>
        <v>0</v>
      </c>
      <c r="P65" s="603">
        <f>IF($Y65=1,0,$X$7*(INT(P$6/$X65)-INT(O$6/$X65))-IF(SUM($B65:O65)&gt;0,P66,0))</f>
        <v>0</v>
      </c>
      <c r="Q65" s="603">
        <f>IF($Y65=1,0,$X$7*(INT(Q$6/$X65)-INT(P$6/$X65))-IF(SUM($B65:P65)&gt;0,Q66,0))</f>
        <v>0</v>
      </c>
      <c r="R65" s="603">
        <f>IF($Y65=1,0,$X$7*(INT(R$6/$X65)-INT(Q$6/$X65))-IF(SUM($B65:Q65)&gt;0,R66,0))</f>
        <v>0</v>
      </c>
      <c r="S65" s="603">
        <f>IF($Y65=1,0,$X$7*(INT(S$6/$X65)-INT(R$6/$X65))-IF(SUM($B65:R65)&gt;0,S66,0))</f>
        <v>0</v>
      </c>
      <c r="T65" s="603">
        <f>IF($Y65=1,0,$X$7*(INT(T$6/$X65)-INT(S$6/$X65))-IF(SUM($B65:S65)&gt;0,T66,0))</f>
        <v>0</v>
      </c>
      <c r="U65" s="603">
        <f>IF($Y65=1,0,$X$7*(INT(U$6/$X65)-INT(T$6/$X65))-IF(SUM($B65:T65)&gt;0,U66,0))</f>
        <v>0</v>
      </c>
      <c r="V65" s="603">
        <f>IF($Y65=1,0,$X$7*(INT(V$6/$X65)-INT(U$6/$X65))-IF(SUM($B65:U65)&gt;0,V66,0))</f>
        <v>0</v>
      </c>
      <c r="W65" s="683" t="str">
        <f xml:space="preserve"> 'GT schd cost(W501D5)'!A26</f>
        <v>Row 4 Vanes</v>
      </c>
      <c r="X65" s="678">
        <f>IF($AD$6=1,'GTDB(W501D5)'!B29,'GTDB(W501D5)'!G29)</f>
        <v>48000</v>
      </c>
      <c r="Y65" s="678">
        <f>IF($AD$6=1,'GTDB(W501D5)'!C29,'GTDB(W501D5)'!H29)</f>
        <v>2</v>
      </c>
      <c r="Z65" s="679">
        <v>1</v>
      </c>
      <c r="AA65" s="834">
        <f>'Initial_Spares(W501D5)'!$E$23</f>
        <v>0</v>
      </c>
      <c r="AB65" s="642">
        <f>'GT schd cost(W501D5)'!X26+'GT schd cost(W501D5)'!X52</f>
        <v>0</v>
      </c>
    </row>
    <row r="66" spans="1:28" s="102" customFormat="1">
      <c r="A66" s="140" t="s">
        <v>936</v>
      </c>
      <c r="B66" s="603" t="s">
        <v>278</v>
      </c>
      <c r="C66" s="603">
        <f>IF(INT(C$6/$X65)*$X$7&gt;C64*($X$7+$Z65)*$Y65,C64*($X$7+$Z65)-SUM($B66:B66),INT(C$6/$X65)*$X$7-C64*($X$7+$Z65)*($Y65-1)-SUM($B66:B66))+IF($Y65&gt;1,IF(INT(C$6/$X65)&gt;0,$Z65-$AA65,0),-$AA65)</f>
        <v>0</v>
      </c>
      <c r="D66" s="603">
        <f>IF(INT(D$6/$X65)*$X$7&gt;D64*($X$7+$Z65)*$Y65,D64*($X$7+$Z65)-SUM($B66:C66),INT(D$6/$X65)*$X$7-D64*($X$7+$Z65)*($Y65-1)-SUM($B66:C66))+IF($Y65&gt;1,IF(INT(D$6/$X65)&gt;0,$Z65-$AA65,0),-$AA65)</f>
        <v>0</v>
      </c>
      <c r="E66" s="603">
        <f>IF(INT(E$6/$X65)*$X$7&gt;E64*($X$7+$Z65)*$Y65,E64*($X$7+$Z65)-SUM($B66:D66),INT(E$6/$X65)*$X$7-E64*($X$7+$Z65)*($Y65-1)-SUM($B66:D66))+IF($Y65&gt;1,IF(INT(E$6/$X65)&gt;0,$Z65-$AA65,0),-$AA65)</f>
        <v>0</v>
      </c>
      <c r="F66" s="603">
        <f>IF(INT(F$6/$X65)*$X$7&gt;F64*($X$7+$Z65)*$Y65,F64*($X$7+$Z65)-SUM($B66:E66),INT(F$6/$X65)*$X$7-F64*($X$7+$Z65)*($Y65-1)-SUM($B66:E66))+IF($Y65&gt;1,IF(INT(F$6/$X65)&gt;0,$Z65-$AA65,0),-$AA65)</f>
        <v>0</v>
      </c>
      <c r="G66" s="603">
        <f>IF(INT(G$6/$X65)*$X$7&gt;G64*($X$7+$Z65)*$Y65,G64*($X$7+$Z65)-SUM($B66:F66),INT(G$6/$X65)*$X$7-G64*($X$7+$Z65)*($Y65-1)-SUM($B66:F66))+IF($Y65&gt;1,IF(INT(G$6/$X65)&gt;0,$Z65-$AA65,0),-$AA65)</f>
        <v>0</v>
      </c>
      <c r="H66" s="603">
        <f>IF(INT(H$6/$X65)*$X$7&gt;H64*($X$7+$Z65)*$Y65,H64*($X$7+$Z65)-SUM($B66:G66),INT(H$6/$X65)*$X$7-H64*($X$7+$Z65)*($Y65-1)-SUM($B66:G66))+IF($Y65&gt;1,IF(INT(H$6/$X65)&gt;0,$Z65-$AA65,0),-$AA65)</f>
        <v>0</v>
      </c>
      <c r="I66" s="603">
        <f>IF(INT(I$6/$X65)*$X$7&gt;I64*($X$7+$Z65)*$Y65,I64*($X$7+$Z65)-SUM($B66:H66),INT(I$6/$X65)*$X$7-I64*($X$7+$Z65)*($Y65-1)-SUM($B66:H66))+IF($Y65&gt;1,IF(INT(I$6/$X65)&gt;0,$Z65-$AA65,0),-$AA65)</f>
        <v>0</v>
      </c>
      <c r="J66" s="603">
        <f>IF(INT(J$6/$X65)*$X$7&gt;J64*($X$7+$Z65)*$Y65,J64*($X$7+$Z65)-SUM($B66:I66),INT(J$6/$X65)*$X$7-J64*($X$7+$Z65)*($Y65-1)-SUM($B66:I66))+IF($Y65&gt;1,IF(INT(J$6/$X65)&gt;0,$Z65-$AA65,0),-$AA65)</f>
        <v>0</v>
      </c>
      <c r="K66" s="603">
        <f>IF(INT(K$6/$X65)*$X$7&gt;K64*($X$7+$Z65)*$Y65,K64*($X$7+$Z65)-SUM($B66:J66),INT(K$6/$X65)*$X$7-K64*($X$7+$Z65)*($Y65-1)-SUM($B66:J66))+IF($Y65&gt;1,IF(INT(K$6/$X65)&gt;0,$Z65-$AA65,0),-$AA65)</f>
        <v>0</v>
      </c>
      <c r="L66" s="603">
        <f>IF(INT(L$6/$X65)*$X$7&gt;L64*($X$7+$Z65)*$Y65,L64*($X$7+$Z65)-SUM($B66:K66),INT(L$6/$X65)*$X$7-L64*($X$7+$Z65)*($Y65-1)-SUM($B66:K66))+IF($Y65&gt;1,IF(INT(L$6/$X65)&gt;0,$Z65-$AA65,0),-$AA65)</f>
        <v>0</v>
      </c>
      <c r="M66" s="603">
        <f>IF(INT(M$6/$X65)*$X$7&gt;M64*($X$7+$Z65)*$Y65,M64*($X$7+$Z65)-SUM($B66:L66),INT(M$6/$X65)*$X$7-M64*($X$7+$Z65)*($Y65-1)-SUM($B66:L66))+IF($Y65&gt;1,IF(INT(M$6/$X65)&gt;0,$Z65-$AA65,0),-$AA65)</f>
        <v>0</v>
      </c>
      <c r="N66" s="603">
        <f>IF(INT(N$6/$X65)*$X$7&gt;N64*($X$7+$Z65)*$Y65,N64*($X$7+$Z65)-SUM($B66:M66),INT(N$6/$X65)*$X$7-N64*($X$7+$Z65)*($Y65-1)-SUM($B66:M66))+IF($Y65&gt;1,IF(INT(N$6/$X65)&gt;0,$Z65-$AA65,0),-$AA65)</f>
        <v>0</v>
      </c>
      <c r="O66" s="603">
        <f>IF(INT(O$6/$X65)*$X$7&gt;O64*($X$7+$Z65)*$Y65,O64*($X$7+$Z65)-SUM($B66:N66),INT(O$6/$X65)*$X$7-O64*($X$7+$Z65)*($Y65-1)-SUM($B66:N66))+IF($Y65&gt;1,IF(INT(O$6/$X65)&gt;0,$Z65-$AA65,0),-$AA65)</f>
        <v>0</v>
      </c>
      <c r="P66" s="603">
        <f>IF(INT(P$6/$X65)*$X$7&gt;P64*($X$7+$Z65)*$Y65,P64*($X$7+$Z65)-SUM($B66:O66),INT(P$6/$X65)*$X$7-P64*($X$7+$Z65)*($Y65-1)-SUM($B66:O66))+IF($Y65&gt;1,IF(INT(P$6/$X65)&gt;0,$Z65-$AA65,0),-$AA65)</f>
        <v>0</v>
      </c>
      <c r="Q66" s="603">
        <f>IF(INT(Q$6/$X65)*$X$7&gt;Q64*($X$7+$Z65)*$Y65,Q64*($X$7+$Z65)-SUM($B66:P66),INT(Q$6/$X65)*$X$7-Q64*($X$7+$Z65)*($Y65-1)-SUM($B66:P66))+IF($Y65&gt;1,IF(INT(Q$6/$X65)&gt;0,$Z65-$AA65,0),-$AA65)</f>
        <v>0</v>
      </c>
      <c r="R66" s="603">
        <f>IF(INT(R$6/$X65)*$X$7&gt;R64*($X$7+$Z65)*$Y65,R64*($X$7+$Z65)-SUM($B66:Q66),INT(R$6/$X65)*$X$7-R64*($X$7+$Z65)*($Y65-1)-SUM($B66:Q66))+IF($Y65&gt;1,IF(INT(R$6/$X65)&gt;0,$Z65-$AA65,0),-$AA65)</f>
        <v>0</v>
      </c>
      <c r="S66" s="603">
        <f>IF(INT(S$6/$X65)*$X$7&gt;S64*($X$7+$Z65)*$Y65,S64*($X$7+$Z65)-SUM($B66:R66),INT(S$6/$X65)*$X$7-S64*($X$7+$Z65)*($Y65-1)-SUM($B66:R66))+IF($Y65&gt;1,IF(INT(S$6/$X65)&gt;0,$Z65-$AA65,0),-$AA65)</f>
        <v>0</v>
      </c>
      <c r="T66" s="603">
        <f>IF(INT(T$6/$X65)*$X$7&gt;T64*($X$7+$Z65)*$Y65,T64*($X$7+$Z65)-SUM($B66:S66),INT(T$6/$X65)*$X$7-T64*($X$7+$Z65)*($Y65-1)-SUM($B66:S66))+IF($Y65&gt;1,IF(INT(T$6/$X65)&gt;0,$Z65-$AA65,0),-$AA65)</f>
        <v>0</v>
      </c>
      <c r="U66" s="603">
        <f>IF(INT(U$6/$X65)*$X$7&gt;U64*($X$7+$Z65)*$Y65,U64*($X$7+$Z65)-SUM($B66:T66),INT(U$6/$X65)*$X$7-U64*($X$7+$Z65)*($Y65-1)-SUM($B66:T66))+IF($Y65&gt;1,IF(INT(U$6/$X65)&gt;0,$Z65-$AA65,0),-$AA65)</f>
        <v>0</v>
      </c>
      <c r="V66" s="603">
        <f>IF(INT(V$6/$X65)*$X$7&gt;V64*($X$7+$Z65)*$Y65,V64*($X$7+$Z65)-SUM($B66:U66),INT(V$6/$X65)*$X$7-V64*($X$7+$Z65)*($Y65-1)-SUM($B66:U66))+IF($Y65&gt;1,IF(INT(V$6/$X65)&gt;0,$Z65-$AA65,0),-$AA65)</f>
        <v>0</v>
      </c>
      <c r="W66" s="681"/>
      <c r="X66"/>
      <c r="Y66"/>
      <c r="Z66"/>
    </row>
    <row r="67" spans="1:28" s="102" customFormat="1">
      <c r="W67" s="663"/>
    </row>
    <row r="68" spans="1:28" s="102" customFormat="1" hidden="1">
      <c r="A68" s="140" t="s">
        <v>934</v>
      </c>
      <c r="B68" s="603"/>
      <c r="C68" s="140">
        <f t="shared" ref="C68:V68" si="20">INT((INT(C$6/$X69)*$X$7+$X$7+$Z69-1)/($X$7+$Z69)/$Y69)</f>
        <v>0</v>
      </c>
      <c r="D68" s="140">
        <f t="shared" si="20"/>
        <v>0</v>
      </c>
      <c r="E68" s="140">
        <f t="shared" si="20"/>
        <v>0</v>
      </c>
      <c r="F68" s="140">
        <f t="shared" si="20"/>
        <v>0</v>
      </c>
      <c r="G68" s="140">
        <f t="shared" si="20"/>
        <v>0</v>
      </c>
      <c r="H68" s="140">
        <f t="shared" si="20"/>
        <v>0</v>
      </c>
      <c r="I68" s="140">
        <f t="shared" si="20"/>
        <v>0</v>
      </c>
      <c r="J68" s="140">
        <f t="shared" si="20"/>
        <v>0</v>
      </c>
      <c r="K68" s="140">
        <f t="shared" si="20"/>
        <v>0</v>
      </c>
      <c r="L68" s="140">
        <f t="shared" si="20"/>
        <v>0</v>
      </c>
      <c r="M68" s="140">
        <f t="shared" si="20"/>
        <v>0</v>
      </c>
      <c r="N68" s="140">
        <f t="shared" si="20"/>
        <v>0</v>
      </c>
      <c r="O68" s="140">
        <f t="shared" si="20"/>
        <v>0</v>
      </c>
      <c r="P68" s="140">
        <f t="shared" si="20"/>
        <v>0</v>
      </c>
      <c r="Q68" s="140">
        <f t="shared" si="20"/>
        <v>0</v>
      </c>
      <c r="R68" s="140">
        <f t="shared" si="20"/>
        <v>0</v>
      </c>
      <c r="S68" s="140">
        <f t="shared" si="20"/>
        <v>0</v>
      </c>
      <c r="T68" s="140">
        <f t="shared" si="20"/>
        <v>0</v>
      </c>
      <c r="U68" s="140">
        <f t="shared" si="20"/>
        <v>0</v>
      </c>
      <c r="V68" s="140">
        <f t="shared" si="20"/>
        <v>0</v>
      </c>
    </row>
    <row r="69" spans="1:28" s="102" customFormat="1">
      <c r="A69" s="140" t="s">
        <v>935</v>
      </c>
      <c r="B69" s="603" t="s">
        <v>278</v>
      </c>
      <c r="C69" s="603">
        <f>IF($Y69=1,0,$X$7*(INT(C$6/$X69)-INT(B$6/$X69))-IF(SUM($B69:B69)&gt;0,C70,0))</f>
        <v>0</v>
      </c>
      <c r="D69" s="603">
        <f>IF($Y69=1,0,$X$7*(INT(D$6/$X69)-INT(C$6/$X69))-IF(SUM($B69:C69)&gt;0,D70,0))</f>
        <v>0</v>
      </c>
      <c r="E69" s="603">
        <f>IF($Y69=1,0,$X$7*(INT(E$6/$X69)-INT(D$6/$X69))-IF(SUM($B69:D69)&gt;0,E70,0))</f>
        <v>0</v>
      </c>
      <c r="F69" s="603">
        <f>IF($Y69=1,0,$X$7*(INT(F$6/$X69)-INT(E$6/$X69))-IF(SUM($B69:E69)&gt;0,F70,0))</f>
        <v>0</v>
      </c>
      <c r="G69" s="603">
        <f>IF($Y69=1,0,$X$7*(INT(G$6/$X69)-INT(F$6/$X69))-IF(SUM($B69:F69)&gt;0,G70,0))</f>
        <v>0</v>
      </c>
      <c r="H69" s="603">
        <f>IF($Y69=1,0,$X$7*(INT(H$6/$X69)-INT(G$6/$X69))-IF(SUM($B69:G69)&gt;0,H70,0))</f>
        <v>0</v>
      </c>
      <c r="I69" s="603">
        <f>IF($Y69=1,0,$X$7*(INT(I$6/$X69)-INT(H$6/$X69))-IF(SUM($B69:H69)&gt;0,I70,0))</f>
        <v>0</v>
      </c>
      <c r="J69" s="603">
        <f>IF($Y69=1,0,$X$7*(INT(J$6/$X69)-INT(I$6/$X69))-IF(SUM($B69:I69)&gt;0,J70,0))</f>
        <v>0</v>
      </c>
      <c r="K69" s="603">
        <f>IF($Y69=1,0,$X$7*(INT(K$6/$X69)-INT(J$6/$X69))-IF(SUM($B69:J69)&gt;0,K70,0))</f>
        <v>0</v>
      </c>
      <c r="L69" s="603">
        <f>IF($Y69=1,0,$X$7*(INT(L$6/$X69)-INT(K$6/$X69))-IF(SUM($B69:K69)&gt;0,L70,0))</f>
        <v>0</v>
      </c>
      <c r="M69" s="603">
        <f>IF($Y69=1,0,$X$7*(INT(M$6/$X69)-INT(L$6/$X69))-IF(SUM($B69:L69)&gt;0,M70,0))</f>
        <v>0</v>
      </c>
      <c r="N69" s="603">
        <f>IF($Y69=1,0,$X$7*(INT(N$6/$X69)-INT(M$6/$X69))-IF(SUM($B69:M69)&gt;0,N70,0))</f>
        <v>0</v>
      </c>
      <c r="O69" s="603">
        <f>IF($Y69=1,0,$X$7*(INT(O$6/$X69)-INT(N$6/$X69))-IF(SUM($B69:N69)&gt;0,O70,0))</f>
        <v>0</v>
      </c>
      <c r="P69" s="603">
        <f>IF($Y69=1,0,$X$7*(INT(P$6/$X69)-INT(O$6/$X69))-IF(SUM($B69:O69)&gt;0,P70,0))</f>
        <v>0</v>
      </c>
      <c r="Q69" s="603">
        <f>IF($Y69=1,0,$X$7*(INT(Q$6/$X69)-INT(P$6/$X69))-IF(SUM($B69:P69)&gt;0,Q70,0))</f>
        <v>0</v>
      </c>
      <c r="R69" s="603">
        <f>IF($Y69=1,0,$X$7*(INT(R$6/$X69)-INT(Q$6/$X69))-IF(SUM($B69:Q69)&gt;0,R70,0))</f>
        <v>0</v>
      </c>
      <c r="S69" s="603">
        <f>IF($Y69=1,0,$X$7*(INT(S$6/$X69)-INT(R$6/$X69))-IF(SUM($B69:R69)&gt;0,S70,0))</f>
        <v>0</v>
      </c>
      <c r="T69" s="603">
        <f>IF($Y69=1,0,$X$7*(INT(T$6/$X69)-INT(S$6/$X69))-IF(SUM($B69:S69)&gt;0,T70,0))</f>
        <v>0</v>
      </c>
      <c r="U69" s="603">
        <f>IF($Y69=1,0,$X$7*(INT(U$6/$X69)-INT(T$6/$X69))-IF(SUM($B69:T69)&gt;0,U70,0))</f>
        <v>0</v>
      </c>
      <c r="V69" s="603">
        <f>IF($Y69=1,0,$X$7*(INT(V$6/$X69)-INT(U$6/$X69))-IF(SUM($B69:U69)&gt;0,V70,0))</f>
        <v>0</v>
      </c>
      <c r="W69" s="678" t="str">
        <f xml:space="preserve"> 'GT schd cost(W501D5)'!A27</f>
        <v>Row 1 ring segments</v>
      </c>
      <c r="X69" s="678">
        <f>IF($AD$6=1,'GTDB(W501D5)'!B30,'GTDB(W501D5)'!G30)</f>
        <v>24000</v>
      </c>
      <c r="Y69" s="678">
        <f>IF($AD$6=1,'GTDB(W501D5)'!C30,'GTDB(W501D5)'!H30)</f>
        <v>2</v>
      </c>
      <c r="Z69" s="679">
        <v>1</v>
      </c>
      <c r="AA69" s="834">
        <f>'Initial_Spares(W501D5)'!$E$24</f>
        <v>0</v>
      </c>
      <c r="AB69" s="684">
        <f>'GT schd cost(W501D5)'!X27+'GT schd cost(W501D5)'!X53</f>
        <v>0</v>
      </c>
    </row>
    <row r="70" spans="1:28" s="102" customFormat="1">
      <c r="A70" s="140" t="s">
        <v>936</v>
      </c>
      <c r="B70" s="603" t="s">
        <v>278</v>
      </c>
      <c r="C70" s="603">
        <f>IF(INT(C$6/$X69)*$X$7&gt;C68*($X$7+$Z69)*$Y69,C68*($X$7+$Z69)-SUM($B70:B70),INT(C$6/$X69)*$X$7-C68*($X$7+$Z69)*($Y69-1)-SUM($B70:B70))+IF($Y69&gt;1,IF(INT(C$6/$X69)&gt;0,$Z69-$AA69,0),-$AA69)</f>
        <v>0</v>
      </c>
      <c r="D70" s="603">
        <f>IF(INT(D$6/$X69)*$X$7&gt;D68*($X$7+$Z69)*$Y69,D68*($X$7+$Z69)-SUM($B70:C70),INT(D$6/$X69)*$X$7-D68*($X$7+$Z69)*($Y69-1)-SUM($B70:C70))+IF($Y69&gt;1,IF(INT(D$6/$X69)&gt;0,$Z69-$AA69,0),-$AA69)</f>
        <v>0</v>
      </c>
      <c r="E70" s="603">
        <f>IF(INT(E$6/$X69)*$X$7&gt;E68*($X$7+$Z69)*$Y69,E68*($X$7+$Z69)-SUM($B70:D70),INT(E$6/$X69)*$X$7-E68*($X$7+$Z69)*($Y69-1)-SUM($B70:D70))+IF($Y69&gt;1,IF(INT(E$6/$X69)&gt;0,$Z69-$AA69,0),-$AA69)</f>
        <v>0</v>
      </c>
      <c r="F70" s="603">
        <f>IF(INT(F$6/$X69)*$X$7&gt;F68*($X$7+$Z69)*$Y69,F68*($X$7+$Z69)-SUM($B70:E70),INT(F$6/$X69)*$X$7-F68*($X$7+$Z69)*($Y69-1)-SUM($B70:E70))+IF($Y69&gt;1,IF(INT(F$6/$X69)&gt;0,$Z69-$AA69,0),-$AA69)</f>
        <v>0</v>
      </c>
      <c r="G70" s="603">
        <f>IF(INT(G$6/$X69)*$X$7&gt;G68*($X$7+$Z69)*$Y69,G68*($X$7+$Z69)-SUM($B70:F70),INT(G$6/$X69)*$X$7-G68*($X$7+$Z69)*($Y69-1)-SUM($B70:F70))+IF($Y69&gt;1,IF(INT(G$6/$X69)&gt;0,$Z69-$AA69,0),-$AA69)</f>
        <v>0</v>
      </c>
      <c r="H70" s="603">
        <f>IF(INT(H$6/$X69)*$X$7&gt;H68*($X$7+$Z69)*$Y69,H68*($X$7+$Z69)-SUM($B70:G70),INT(H$6/$X69)*$X$7-H68*($X$7+$Z69)*($Y69-1)-SUM($B70:G70))+IF($Y69&gt;1,IF(INT(H$6/$X69)&gt;0,$Z69-$AA69,0),-$AA69)</f>
        <v>0</v>
      </c>
      <c r="I70" s="603">
        <f>IF(INT(I$6/$X69)*$X$7&gt;I68*($X$7+$Z69)*$Y69,I68*($X$7+$Z69)-SUM($B70:H70),INT(I$6/$X69)*$X$7-I68*($X$7+$Z69)*($Y69-1)-SUM($B70:H70))+IF($Y69&gt;1,IF(INT(I$6/$X69)&gt;0,$Z69-$AA69,0),-$AA69)</f>
        <v>0</v>
      </c>
      <c r="J70" s="603">
        <f>IF(INT(J$6/$X69)*$X$7&gt;J68*($X$7+$Z69)*$Y69,J68*($X$7+$Z69)-SUM($B70:I70),INT(J$6/$X69)*$X$7-J68*($X$7+$Z69)*($Y69-1)-SUM($B70:I70))+IF($Y69&gt;1,IF(INT(J$6/$X69)&gt;0,$Z69-$AA69,0),-$AA69)</f>
        <v>0</v>
      </c>
      <c r="K70" s="603">
        <f>IF(INT(K$6/$X69)*$X$7&gt;K68*($X$7+$Z69)*$Y69,K68*($X$7+$Z69)-SUM($B70:J70),INT(K$6/$X69)*$X$7-K68*($X$7+$Z69)*($Y69-1)-SUM($B70:J70))+IF($Y69&gt;1,IF(INT(K$6/$X69)&gt;0,$Z69-$AA69,0),-$AA69)</f>
        <v>0</v>
      </c>
      <c r="L70" s="603">
        <f>IF(INT(L$6/$X69)*$X$7&gt;L68*($X$7+$Z69)*$Y69,L68*($X$7+$Z69)-SUM($B70:K70),INT(L$6/$X69)*$X$7-L68*($X$7+$Z69)*($Y69-1)-SUM($B70:K70))+IF($Y69&gt;1,IF(INT(L$6/$X69)&gt;0,$Z69-$AA69,0),-$AA69)</f>
        <v>0</v>
      </c>
      <c r="M70" s="603">
        <f>IF(INT(M$6/$X69)*$X$7&gt;M68*($X$7+$Z69)*$Y69,M68*($X$7+$Z69)-SUM($B70:L70),INT(M$6/$X69)*$X$7-M68*($X$7+$Z69)*($Y69-1)-SUM($B70:L70))+IF($Y69&gt;1,IF(INT(M$6/$X69)&gt;0,$Z69-$AA69,0),-$AA69)</f>
        <v>0</v>
      </c>
      <c r="N70" s="603">
        <f>IF(INT(N$6/$X69)*$X$7&gt;N68*($X$7+$Z69)*$Y69,N68*($X$7+$Z69)-SUM($B70:M70),INT(N$6/$X69)*$X$7-N68*($X$7+$Z69)*($Y69-1)-SUM($B70:M70))+IF($Y69&gt;1,IF(INT(N$6/$X69)&gt;0,$Z69-$AA69,0),-$AA69)</f>
        <v>0</v>
      </c>
      <c r="O70" s="603">
        <f>IF(INT(O$6/$X69)*$X$7&gt;O68*($X$7+$Z69)*$Y69,O68*($X$7+$Z69)-SUM($B70:N70),INT(O$6/$X69)*$X$7-O68*($X$7+$Z69)*($Y69-1)-SUM($B70:N70))+IF($Y69&gt;1,IF(INT(O$6/$X69)&gt;0,$Z69-$AA69,0),-$AA69)</f>
        <v>0</v>
      </c>
      <c r="P70" s="603">
        <f>IF(INT(P$6/$X69)*$X$7&gt;P68*($X$7+$Z69)*$Y69,P68*($X$7+$Z69)-SUM($B70:O70),INT(P$6/$X69)*$X$7-P68*($X$7+$Z69)*($Y69-1)-SUM($B70:O70))+IF($Y69&gt;1,IF(INT(P$6/$X69)&gt;0,$Z69-$AA69,0),-$AA69)</f>
        <v>0</v>
      </c>
      <c r="Q70" s="603">
        <f>IF(INT(Q$6/$X69)*$X$7&gt;Q68*($X$7+$Z69)*$Y69,Q68*($X$7+$Z69)-SUM($B70:P70),INT(Q$6/$X69)*$X$7-Q68*($X$7+$Z69)*($Y69-1)-SUM($B70:P70))+IF($Y69&gt;1,IF(INT(Q$6/$X69)&gt;0,$Z69-$AA69,0),-$AA69)</f>
        <v>0</v>
      </c>
      <c r="R70" s="603">
        <f>IF(INT(R$6/$X69)*$X$7&gt;R68*($X$7+$Z69)*$Y69,R68*($X$7+$Z69)-SUM($B70:Q70),INT(R$6/$X69)*$X$7-R68*($X$7+$Z69)*($Y69-1)-SUM($B70:Q70))+IF($Y69&gt;1,IF(INT(R$6/$X69)&gt;0,$Z69-$AA69,0),-$AA69)</f>
        <v>0</v>
      </c>
      <c r="S70" s="603">
        <f>IF(INT(S$6/$X69)*$X$7&gt;S68*($X$7+$Z69)*$Y69,S68*($X$7+$Z69)-SUM($B70:R70),INT(S$6/$X69)*$X$7-S68*($X$7+$Z69)*($Y69-1)-SUM($B70:R70))+IF($Y69&gt;1,IF(INT(S$6/$X69)&gt;0,$Z69-$AA69,0),-$AA69)</f>
        <v>0</v>
      </c>
      <c r="T70" s="603">
        <f>IF(INT(T$6/$X69)*$X$7&gt;T68*($X$7+$Z69)*$Y69,T68*($X$7+$Z69)-SUM($B70:S70),INT(T$6/$X69)*$X$7-T68*($X$7+$Z69)*($Y69-1)-SUM($B70:S70))+IF($Y69&gt;1,IF(INT(T$6/$X69)&gt;0,$Z69-$AA69,0),-$AA69)</f>
        <v>0</v>
      </c>
      <c r="U70" s="603">
        <f>IF(INT(U$6/$X69)*$X$7&gt;U68*($X$7+$Z69)*$Y69,U68*($X$7+$Z69)-SUM($B70:T70),INT(U$6/$X69)*$X$7-U68*($X$7+$Z69)*($Y69-1)-SUM($B70:T70))+IF($Y69&gt;1,IF(INT(U$6/$X69)&gt;0,$Z69-$AA69,0),-$AA69)</f>
        <v>0</v>
      </c>
      <c r="V70" s="603">
        <f>IF(INT(V$6/$X69)*$X$7&gt;V68*($X$7+$Z69)*$Y69,V68*($X$7+$Z69)-SUM($B70:U70),INT(V$6/$X69)*$X$7-V68*($X$7+$Z69)*($Y69-1)-SUM($B70:U70))+IF($Y69&gt;1,IF(INT(V$6/$X69)&gt;0,$Z69-$AA69,0),-$AA69)</f>
        <v>0</v>
      </c>
      <c r="W70" s="681"/>
      <c r="X70"/>
      <c r="Y70"/>
      <c r="Z70"/>
    </row>
    <row r="71" spans="1:28" s="102" customFormat="1">
      <c r="B71" s="615"/>
      <c r="C71" s="615"/>
      <c r="D71" s="615"/>
      <c r="E71" s="615"/>
      <c r="F71" s="615"/>
      <c r="G71" s="615"/>
      <c r="H71" s="615"/>
      <c r="I71" s="615"/>
      <c r="J71" s="615"/>
      <c r="K71" s="615"/>
      <c r="W71" s="663"/>
    </row>
    <row r="72" spans="1:28" s="102" customFormat="1" hidden="1">
      <c r="A72" s="140" t="s">
        <v>934</v>
      </c>
      <c r="B72" s="603"/>
      <c r="C72" s="140">
        <f t="shared" ref="C72:V72" si="21">INT((INT(C$6/$X73)*$X$7+$X$7+$Z73-1)/($X$7+$Z73)/$Y73)</f>
        <v>0</v>
      </c>
      <c r="D72" s="140">
        <f t="shared" si="21"/>
        <v>0</v>
      </c>
      <c r="E72" s="140">
        <f t="shared" si="21"/>
        <v>0</v>
      </c>
      <c r="F72" s="140">
        <f t="shared" si="21"/>
        <v>0</v>
      </c>
      <c r="G72" s="140">
        <f t="shared" si="21"/>
        <v>0</v>
      </c>
      <c r="H72" s="140">
        <f t="shared" si="21"/>
        <v>0</v>
      </c>
      <c r="I72" s="140">
        <f t="shared" si="21"/>
        <v>0</v>
      </c>
      <c r="J72" s="140">
        <f t="shared" si="21"/>
        <v>0</v>
      </c>
      <c r="K72" s="140">
        <f t="shared" si="21"/>
        <v>0</v>
      </c>
      <c r="L72" s="140">
        <f t="shared" si="21"/>
        <v>0</v>
      </c>
      <c r="M72" s="140">
        <f t="shared" si="21"/>
        <v>0</v>
      </c>
      <c r="N72" s="140">
        <f t="shared" si="21"/>
        <v>0</v>
      </c>
      <c r="O72" s="140">
        <f t="shared" si="21"/>
        <v>0</v>
      </c>
      <c r="P72" s="140">
        <f t="shared" si="21"/>
        <v>0</v>
      </c>
      <c r="Q72" s="140">
        <f t="shared" si="21"/>
        <v>0</v>
      </c>
      <c r="R72" s="140">
        <f t="shared" si="21"/>
        <v>0</v>
      </c>
      <c r="S72" s="140">
        <f t="shared" si="21"/>
        <v>0</v>
      </c>
      <c r="T72" s="140">
        <f t="shared" si="21"/>
        <v>0</v>
      </c>
      <c r="U72" s="140">
        <f t="shared" si="21"/>
        <v>0</v>
      </c>
      <c r="V72" s="140">
        <f t="shared" si="21"/>
        <v>0</v>
      </c>
    </row>
    <row r="73" spans="1:28" s="102" customFormat="1">
      <c r="A73" s="140" t="s">
        <v>935</v>
      </c>
      <c r="B73" s="603" t="s">
        <v>278</v>
      </c>
      <c r="C73" s="603">
        <f>IF($Y73=1,0,$X$7*(INT(C$6/$X73)-INT(B$6/$X73))-IF(SUM($B73:B73)&gt;0,C74,0))</f>
        <v>0</v>
      </c>
      <c r="D73" s="603">
        <f>IF($Y73=1,0,$X$7*(INT(D$6/$X73)-INT(C$6/$X73))-IF(SUM($B73:C73)&gt;0,D74,0))</f>
        <v>0</v>
      </c>
      <c r="E73" s="603">
        <f>IF($Y73=1,0,$X$7*(INT(E$6/$X73)-INT(D$6/$X73))-IF(SUM($B73:D73)&gt;0,E74,0))</f>
        <v>0</v>
      </c>
      <c r="F73" s="603">
        <f>IF($Y73=1,0,$X$7*(INT(F$6/$X73)-INT(E$6/$X73))-IF(SUM($B73:E73)&gt;0,F74,0))</f>
        <v>0</v>
      </c>
      <c r="G73" s="603">
        <f>IF($Y73=1,0,$X$7*(INT(G$6/$X73)-INT(F$6/$X73))-IF(SUM($B73:F73)&gt;0,G74,0))</f>
        <v>0</v>
      </c>
      <c r="H73" s="603">
        <f>IF($Y73=1,0,$X$7*(INT(H$6/$X73)-INT(G$6/$X73))-IF(SUM($B73:G73)&gt;0,H74,0))</f>
        <v>0</v>
      </c>
      <c r="I73" s="603">
        <f>IF($Y73=1,0,$X$7*(INT(I$6/$X73)-INT(H$6/$X73))-IF(SUM($B73:H73)&gt;0,I74,0))</f>
        <v>0</v>
      </c>
      <c r="J73" s="603">
        <f>IF($Y73=1,0,$X$7*(INT(J$6/$X73)-INT(I$6/$X73))-IF(SUM($B73:I73)&gt;0,J74,0))</f>
        <v>0</v>
      </c>
      <c r="K73" s="603">
        <f>IF($Y73=1,0,$X$7*(INT(K$6/$X73)-INT(J$6/$X73))-IF(SUM($B73:J73)&gt;0,K74,0))</f>
        <v>0</v>
      </c>
      <c r="L73" s="603">
        <f>IF($Y73=1,0,$X$7*(INT(L$6/$X73)-INT(K$6/$X73))-IF(SUM($B73:K73)&gt;0,L74,0))</f>
        <v>0</v>
      </c>
      <c r="M73" s="603">
        <f>IF($Y73=1,0,$X$7*(INT(M$6/$X73)-INT(L$6/$X73))-IF(SUM($B73:L73)&gt;0,M74,0))</f>
        <v>0</v>
      </c>
      <c r="N73" s="603">
        <f>IF($Y73=1,0,$X$7*(INT(N$6/$X73)-INT(M$6/$X73))-IF(SUM($B73:M73)&gt;0,N74,0))</f>
        <v>0</v>
      </c>
      <c r="O73" s="603">
        <f>IF($Y73=1,0,$X$7*(INT(O$6/$X73)-INT(N$6/$X73))-IF(SUM($B73:N73)&gt;0,O74,0))</f>
        <v>0</v>
      </c>
      <c r="P73" s="603">
        <f>IF($Y73=1,0,$X$7*(INT(P$6/$X73)-INT(O$6/$X73))-IF(SUM($B73:O73)&gt;0,P74,0))</f>
        <v>0</v>
      </c>
      <c r="Q73" s="603">
        <f>IF($Y73=1,0,$X$7*(INT(Q$6/$X73)-INT(P$6/$X73))-IF(SUM($B73:P73)&gt;0,Q74,0))</f>
        <v>0</v>
      </c>
      <c r="R73" s="603">
        <f>IF($Y73=1,0,$X$7*(INT(R$6/$X73)-INT(Q$6/$X73))-IF(SUM($B73:Q73)&gt;0,R74,0))</f>
        <v>0</v>
      </c>
      <c r="S73" s="603">
        <f>IF($Y73=1,0,$X$7*(INT(S$6/$X73)-INT(R$6/$X73))-IF(SUM($B73:R73)&gt;0,S74,0))</f>
        <v>0</v>
      </c>
      <c r="T73" s="603">
        <f>IF($Y73=1,0,$X$7*(INT(T$6/$X73)-INT(S$6/$X73))-IF(SUM($B73:S73)&gt;0,T74,0))</f>
        <v>0</v>
      </c>
      <c r="U73" s="603">
        <f>IF($Y73=1,0,$X$7*(INT(U$6/$X73)-INT(T$6/$X73))-IF(SUM($B73:T73)&gt;0,U74,0))</f>
        <v>0</v>
      </c>
      <c r="V73" s="603">
        <f>IF($Y73=1,0,$X$7*(INT(V$6/$X73)-INT(U$6/$X73))-IF(SUM($B73:U73)&gt;0,V74,0))</f>
        <v>0</v>
      </c>
      <c r="W73" s="728" t="str">
        <f xml:space="preserve"> 'GT schd cost(W501D5)'!A28</f>
        <v>Row 2 ring segments</v>
      </c>
      <c r="X73" s="678">
        <f>IF($AD$6=1,'GTDB(W501D5)'!B31,'GTDB(W501D5)'!G31)</f>
        <v>24000</v>
      </c>
      <c r="Y73" s="678">
        <f>IF($AD$6=1,'GTDB(W501D5)'!C31,'GTDB(W501D5)'!H31)</f>
        <v>2</v>
      </c>
      <c r="Z73" s="679">
        <v>1</v>
      </c>
      <c r="AA73" s="834">
        <f>'Initial_Spares(W501D5)'!$E$25</f>
        <v>0</v>
      </c>
      <c r="AB73" s="642">
        <f>'GT schd cost(W501D5)'!X28+'GT schd cost(W501D5)'!X54</f>
        <v>0</v>
      </c>
    </row>
    <row r="74" spans="1:28" s="102" customFormat="1">
      <c r="A74" s="140" t="s">
        <v>936</v>
      </c>
      <c r="B74" s="603" t="s">
        <v>278</v>
      </c>
      <c r="C74" s="603">
        <f>IF(INT(C$6/$X73)*$X$7&gt;C72*($X$7+$Z73)*$Y73,C72*($X$7+$Z73)-SUM($B74:B74),INT(C$6/$X73)*$X$7-C72*($X$7+$Z73)*($Y73-1)-SUM($B74:B74))+IF($Y73&gt;1,IF(INT(C$6/$X73)&gt;0,$Z73-$AA73,0),-$AA73)</f>
        <v>0</v>
      </c>
      <c r="D74" s="603">
        <f>IF(INT(D$6/$X73)*$X$7&gt;D72*($X$7+$Z73)*$Y73,D72*($X$7+$Z73)-SUM($B74:C74),INT(D$6/$X73)*$X$7-D72*($X$7+$Z73)*($Y73-1)-SUM($B74:C74))+IF($Y73&gt;1,IF(INT(D$6/$X73)&gt;0,$Z73-$AA73,0),-$AA73)</f>
        <v>0</v>
      </c>
      <c r="E74" s="603">
        <f>IF(INT(E$6/$X73)*$X$7&gt;E72*($X$7+$Z73)*$Y73,E72*($X$7+$Z73)-SUM($B74:D74),INT(E$6/$X73)*$X$7-E72*($X$7+$Z73)*($Y73-1)-SUM($B74:D74))+IF($Y73&gt;1,IF(INT(E$6/$X73)&gt;0,$Z73-$AA73,0),-$AA73)</f>
        <v>0</v>
      </c>
      <c r="F74" s="603">
        <f>IF(INT(F$6/$X73)*$X$7&gt;F72*($X$7+$Z73)*$Y73,F72*($X$7+$Z73)-SUM($B74:E74),INT(F$6/$X73)*$X$7-F72*($X$7+$Z73)*($Y73-1)-SUM($B74:E74))+IF($Y73&gt;1,IF(INT(F$6/$X73)&gt;0,$Z73-$AA73,0),-$AA73)</f>
        <v>0</v>
      </c>
      <c r="G74" s="603">
        <f>IF(INT(G$6/$X73)*$X$7&gt;G72*($X$7+$Z73)*$Y73,G72*($X$7+$Z73)-SUM($B74:F74),INT(G$6/$X73)*$X$7-G72*($X$7+$Z73)*($Y73-1)-SUM($B74:F74))+IF($Y73&gt;1,IF(INT(G$6/$X73)&gt;0,$Z73-$AA73,0),-$AA73)</f>
        <v>0</v>
      </c>
      <c r="H74" s="603">
        <f>IF(INT(H$6/$X73)*$X$7&gt;H72*($X$7+$Z73)*$Y73,H72*($X$7+$Z73)-SUM($B74:G74),INT(H$6/$X73)*$X$7-H72*($X$7+$Z73)*($Y73-1)-SUM($B74:G74))+IF($Y73&gt;1,IF(INT(H$6/$X73)&gt;0,$Z73-$AA73,0),-$AA73)</f>
        <v>0</v>
      </c>
      <c r="I74" s="603">
        <f>IF(INT(I$6/$X73)*$X$7&gt;I72*($X$7+$Z73)*$Y73,I72*($X$7+$Z73)-SUM($B74:H74),INT(I$6/$X73)*$X$7-I72*($X$7+$Z73)*($Y73-1)-SUM($B74:H74))+IF($Y73&gt;1,IF(INT(I$6/$X73)&gt;0,$Z73-$AA73,0),-$AA73)</f>
        <v>0</v>
      </c>
      <c r="J74" s="603">
        <f>IF(INT(J$6/$X73)*$X$7&gt;J72*($X$7+$Z73)*$Y73,J72*($X$7+$Z73)-SUM($B74:I74),INT(J$6/$X73)*$X$7-J72*($X$7+$Z73)*($Y73-1)-SUM($B74:I74))+IF($Y73&gt;1,IF(INT(J$6/$X73)&gt;0,$Z73-$AA73,0),-$AA73)</f>
        <v>0</v>
      </c>
      <c r="K74" s="603">
        <f>IF(INT(K$6/$X73)*$X$7&gt;K72*($X$7+$Z73)*$Y73,K72*($X$7+$Z73)-SUM($B74:J74),INT(K$6/$X73)*$X$7-K72*($X$7+$Z73)*($Y73-1)-SUM($B74:J74))+IF($Y73&gt;1,IF(INT(K$6/$X73)&gt;0,$Z73-$AA73,0),-$AA73)</f>
        <v>0</v>
      </c>
      <c r="L74" s="603">
        <f>IF(INT(L$6/$X73)*$X$7&gt;L72*($X$7+$Z73)*$Y73,L72*($X$7+$Z73)-SUM($B74:K74),INT(L$6/$X73)*$X$7-L72*($X$7+$Z73)*($Y73-1)-SUM($B74:K74))+IF($Y73&gt;1,IF(INT(L$6/$X73)&gt;0,$Z73-$AA73,0),-$AA73)</f>
        <v>0</v>
      </c>
      <c r="M74" s="603">
        <f>IF(INT(M$6/$X73)*$X$7&gt;M72*($X$7+$Z73)*$Y73,M72*($X$7+$Z73)-SUM($B74:L74),INT(M$6/$X73)*$X$7-M72*($X$7+$Z73)*($Y73-1)-SUM($B74:L74))+IF($Y73&gt;1,IF(INT(M$6/$X73)&gt;0,$Z73-$AA73,0),-$AA73)</f>
        <v>0</v>
      </c>
      <c r="N74" s="603">
        <f>IF(INT(N$6/$X73)*$X$7&gt;N72*($X$7+$Z73)*$Y73,N72*($X$7+$Z73)-SUM($B74:M74),INT(N$6/$X73)*$X$7-N72*($X$7+$Z73)*($Y73-1)-SUM($B74:M74))+IF($Y73&gt;1,IF(INT(N$6/$X73)&gt;0,$Z73-$AA73,0),-$AA73)</f>
        <v>0</v>
      </c>
      <c r="O74" s="603">
        <f>IF(INT(O$6/$X73)*$X$7&gt;O72*($X$7+$Z73)*$Y73,O72*($X$7+$Z73)-SUM($B74:N74),INT(O$6/$X73)*$X$7-O72*($X$7+$Z73)*($Y73-1)-SUM($B74:N74))+IF($Y73&gt;1,IF(INT(O$6/$X73)&gt;0,$Z73-$AA73,0),-$AA73)</f>
        <v>0</v>
      </c>
      <c r="P74" s="603">
        <f>IF(INT(P$6/$X73)*$X$7&gt;P72*($X$7+$Z73)*$Y73,P72*($X$7+$Z73)-SUM($B74:O74),INT(P$6/$X73)*$X$7-P72*($X$7+$Z73)*($Y73-1)-SUM($B74:O74))+IF($Y73&gt;1,IF(INT(P$6/$X73)&gt;0,$Z73-$AA73,0),-$AA73)</f>
        <v>0</v>
      </c>
      <c r="Q74" s="603">
        <f>IF(INT(Q$6/$X73)*$X$7&gt;Q72*($X$7+$Z73)*$Y73,Q72*($X$7+$Z73)-SUM($B74:P74),INT(Q$6/$X73)*$X$7-Q72*($X$7+$Z73)*($Y73-1)-SUM($B74:P74))+IF($Y73&gt;1,IF(INT(Q$6/$X73)&gt;0,$Z73-$AA73,0),-$AA73)</f>
        <v>0</v>
      </c>
      <c r="R74" s="603">
        <f>IF(INT(R$6/$X73)*$X$7&gt;R72*($X$7+$Z73)*$Y73,R72*($X$7+$Z73)-SUM($B74:Q74),INT(R$6/$X73)*$X$7-R72*($X$7+$Z73)*($Y73-1)-SUM($B74:Q74))+IF($Y73&gt;1,IF(INT(R$6/$X73)&gt;0,$Z73-$AA73,0),-$AA73)</f>
        <v>0</v>
      </c>
      <c r="S74" s="603">
        <f>IF(INT(S$6/$X73)*$X$7&gt;S72*($X$7+$Z73)*$Y73,S72*($X$7+$Z73)-SUM($B74:R74),INT(S$6/$X73)*$X$7-S72*($X$7+$Z73)*($Y73-1)-SUM($B74:R74))+IF($Y73&gt;1,IF(INT(S$6/$X73)&gt;0,$Z73-$AA73,0),-$AA73)</f>
        <v>0</v>
      </c>
      <c r="T74" s="603">
        <f>IF(INT(T$6/$X73)*$X$7&gt;T72*($X$7+$Z73)*$Y73,T72*($X$7+$Z73)-SUM($B74:S74),INT(T$6/$X73)*$X$7-T72*($X$7+$Z73)*($Y73-1)-SUM($B74:S74))+IF($Y73&gt;1,IF(INT(T$6/$X73)&gt;0,$Z73-$AA73,0),-$AA73)</f>
        <v>0</v>
      </c>
      <c r="U74" s="603">
        <f>IF(INT(U$6/$X73)*$X$7&gt;U72*($X$7+$Z73)*$Y73,U72*($X$7+$Z73)-SUM($B74:T74),INT(U$6/$X73)*$X$7-U72*($X$7+$Z73)*($Y73-1)-SUM($B74:T74))+IF($Y73&gt;1,IF(INT(U$6/$X73)&gt;0,$Z73-$AA73,0),-$AA73)</f>
        <v>0</v>
      </c>
      <c r="V74" s="603">
        <f>IF(INT(V$6/$X73)*$X$7&gt;V72*($X$7+$Z73)*$Y73,V72*($X$7+$Z73)-SUM($B74:U74),INT(V$6/$X73)*$X$7-V72*($X$7+$Z73)*($Y73-1)-SUM($B74:U74))+IF($Y73&gt;1,IF(INT(V$6/$X73)&gt;0,$Z73-$AA73,0),-$AA73)</f>
        <v>0</v>
      </c>
      <c r="W74" s="681"/>
      <c r="X74"/>
      <c r="Y74"/>
      <c r="Z74"/>
    </row>
    <row r="75" spans="1:28" s="102" customFormat="1">
      <c r="B75" s="615"/>
      <c r="C75" s="615"/>
      <c r="D75" s="615"/>
      <c r="E75" s="615"/>
      <c r="F75" s="615"/>
      <c r="G75" s="615"/>
      <c r="H75" s="615"/>
      <c r="J75" s="615"/>
      <c r="K75" s="615"/>
      <c r="L75" s="615"/>
      <c r="M75" s="615"/>
      <c r="W75" s="663"/>
    </row>
    <row r="76" spans="1:28" s="102" customFormat="1" hidden="1">
      <c r="A76" s="140" t="s">
        <v>934</v>
      </c>
      <c r="B76" s="603"/>
      <c r="C76" s="140">
        <f t="shared" ref="C76:V76" si="22">INT((INT(C$6/$X77)*$X$7+$X$7+$Z77-1)/($X$7+$Z77)/$Y77)</f>
        <v>0</v>
      </c>
      <c r="D76" s="140">
        <f t="shared" si="22"/>
        <v>0</v>
      </c>
      <c r="E76" s="140">
        <f t="shared" si="22"/>
        <v>0</v>
      </c>
      <c r="F76" s="140">
        <f t="shared" si="22"/>
        <v>0</v>
      </c>
      <c r="G76" s="140">
        <f t="shared" si="22"/>
        <v>0</v>
      </c>
      <c r="H76" s="140">
        <f t="shared" si="22"/>
        <v>0</v>
      </c>
      <c r="I76" s="140">
        <f t="shared" si="22"/>
        <v>0</v>
      </c>
      <c r="J76" s="140">
        <f t="shared" si="22"/>
        <v>0</v>
      </c>
      <c r="K76" s="140">
        <f t="shared" si="22"/>
        <v>0</v>
      </c>
      <c r="L76" s="140">
        <f t="shared" si="22"/>
        <v>0</v>
      </c>
      <c r="M76" s="140">
        <f t="shared" si="22"/>
        <v>0</v>
      </c>
      <c r="N76" s="140">
        <f t="shared" si="22"/>
        <v>0</v>
      </c>
      <c r="O76" s="140">
        <f t="shared" si="22"/>
        <v>0</v>
      </c>
      <c r="P76" s="140">
        <f t="shared" si="22"/>
        <v>0</v>
      </c>
      <c r="Q76" s="140">
        <f t="shared" si="22"/>
        <v>0</v>
      </c>
      <c r="R76" s="140">
        <f t="shared" si="22"/>
        <v>0</v>
      </c>
      <c r="S76" s="140">
        <f t="shared" si="22"/>
        <v>0</v>
      </c>
      <c r="T76" s="140">
        <f t="shared" si="22"/>
        <v>0</v>
      </c>
      <c r="U76" s="140">
        <f t="shared" si="22"/>
        <v>0</v>
      </c>
      <c r="V76" s="140">
        <f t="shared" si="22"/>
        <v>0</v>
      </c>
    </row>
    <row r="77" spans="1:28" s="102" customFormat="1">
      <c r="A77" s="140" t="s">
        <v>935</v>
      </c>
      <c r="B77" s="603" t="s">
        <v>278</v>
      </c>
      <c r="C77" s="603">
        <f>IF($Y77=1,0,$X$7*(INT(C$6/$X77)-INT(B$6/$X77))-IF(SUM($B77:B77)&gt;0,C78,0))</f>
        <v>0</v>
      </c>
      <c r="D77" s="603">
        <f>IF($Y77=1,0,$X$7*(INT(D$6/$X77)-INT(C$6/$X77))-IF(SUM($B77:C77)&gt;0,D78,0))</f>
        <v>0</v>
      </c>
      <c r="E77" s="603">
        <f>IF($Y77=1,0,$X$7*(INT(E$6/$X77)-INT(D$6/$X77))-IF(SUM($B77:D77)&gt;0,E78,0))</f>
        <v>0</v>
      </c>
      <c r="F77" s="603">
        <f>IF($Y77=1,0,$X$7*(INT(F$6/$X77)-INT(E$6/$X77))-IF(SUM($B77:E77)&gt;0,F78,0))</f>
        <v>0</v>
      </c>
      <c r="G77" s="603">
        <f>IF($Y77=1,0,$X$7*(INT(G$6/$X77)-INT(F$6/$X77))-IF(SUM($B77:F77)&gt;0,G78,0))</f>
        <v>0</v>
      </c>
      <c r="H77" s="603">
        <f>IF($Y77=1,0,$X$7*(INT(H$6/$X77)-INT(G$6/$X77))-IF(SUM($B77:G77)&gt;0,H78,0))</f>
        <v>0</v>
      </c>
      <c r="I77" s="603">
        <f>IF($Y77=1,0,$X$7*(INT(I$6/$X77)-INT(H$6/$X77))-IF(SUM($B77:H77)&gt;0,I78,0))</f>
        <v>0</v>
      </c>
      <c r="J77" s="603">
        <f>IF($Y77=1,0,$X$7*(INT(J$6/$X77)-INT(I$6/$X77))-IF(SUM($B77:I77)&gt;0,J78,0))</f>
        <v>0</v>
      </c>
      <c r="K77" s="603">
        <f>IF($Y77=1,0,$X$7*(INT(K$6/$X77)-INT(J$6/$X77))-IF(SUM($B77:J77)&gt;0,K78,0))</f>
        <v>0</v>
      </c>
      <c r="L77" s="603">
        <f>IF($Y77=1,0,$X$7*(INT(L$6/$X77)-INT(K$6/$X77))-IF(SUM($B77:K77)&gt;0,L78,0))</f>
        <v>0</v>
      </c>
      <c r="M77" s="603">
        <f>IF($Y77=1,0,$X$7*(INT(M$6/$X77)-INT(L$6/$X77))-IF(SUM($B77:L77)&gt;0,M78,0))</f>
        <v>0</v>
      </c>
      <c r="N77" s="603">
        <f>IF($Y77=1,0,$X$7*(INT(N$6/$X77)-INT(M$6/$X77))-IF(SUM($B77:M77)&gt;0,N78,0))</f>
        <v>0</v>
      </c>
      <c r="O77" s="603">
        <f>IF($Y77=1,0,$X$7*(INT(O$6/$X77)-INT(N$6/$X77))-IF(SUM($B77:N77)&gt;0,O78,0))</f>
        <v>0</v>
      </c>
      <c r="P77" s="603">
        <f>IF($Y77=1,0,$X$7*(INT(P$6/$X77)-INT(O$6/$X77))-IF(SUM($B77:O77)&gt;0,P78,0))</f>
        <v>0</v>
      </c>
      <c r="Q77" s="603">
        <f>IF($Y77=1,0,$X$7*(INT(Q$6/$X77)-INT(P$6/$X77))-IF(SUM($B77:P77)&gt;0,Q78,0))</f>
        <v>0</v>
      </c>
      <c r="R77" s="603">
        <f>IF($Y77=1,0,$X$7*(INT(R$6/$X77)-INT(Q$6/$X77))-IF(SUM($B77:Q77)&gt;0,R78,0))</f>
        <v>0</v>
      </c>
      <c r="S77" s="603">
        <f>IF($Y77=1,0,$X$7*(INT(S$6/$X77)-INT(R$6/$X77))-IF(SUM($B77:R77)&gt;0,S78,0))</f>
        <v>0</v>
      </c>
      <c r="T77" s="603">
        <f>IF($Y77=1,0,$X$7*(INT(T$6/$X77)-INT(S$6/$X77))-IF(SUM($B77:S77)&gt;0,T78,0))</f>
        <v>0</v>
      </c>
      <c r="U77" s="603">
        <f>IF($Y77=1,0,$X$7*(INT(U$6/$X77)-INT(T$6/$X77))-IF(SUM($B77:T77)&gt;0,U78,0))</f>
        <v>0</v>
      </c>
      <c r="V77" s="603">
        <f>IF($Y77=1,0,$X$7*(INT(V$6/$X77)-INT(U$6/$X77))-IF(SUM($B77:U77)&gt;0,V78,0))</f>
        <v>0</v>
      </c>
      <c r="W77" s="728" t="str">
        <f xml:space="preserve"> 'GT schd cost(W501D5)'!A29</f>
        <v>Row 3 rings segments</v>
      </c>
      <c r="X77" s="678">
        <f>IF($AD$6=1,'GTDB(W501D5)'!B32,'GTDB(W501D5)'!G32)</f>
        <v>48000</v>
      </c>
      <c r="Y77" s="678">
        <f>IF($AD$6=1,'GTDB(W501D5)'!C32,'GTDB(W501D5)'!H32)</f>
        <v>1.5</v>
      </c>
      <c r="Z77" s="679">
        <v>1</v>
      </c>
      <c r="AA77" s="834">
        <f>'Initial_Spares(W501D5)'!$E$26</f>
        <v>0</v>
      </c>
      <c r="AB77" s="642">
        <f>'GT schd cost(W501D5)'!X29+'GT schd cost(W501D5)'!X55</f>
        <v>0</v>
      </c>
    </row>
    <row r="78" spans="1:28" s="102" customFormat="1">
      <c r="A78" s="140" t="s">
        <v>936</v>
      </c>
      <c r="B78" s="603" t="s">
        <v>278</v>
      </c>
      <c r="C78" s="603">
        <f>IF(INT(C$6/$X77)*$X$7&gt;C76*($X$7+$Z77)*$Y77,C76*($X$7+$Z77)-SUM($B78:B78),INT(C$6/$X77)*$X$7-C76*($X$7+$Z77)*($Y77-1)-SUM($B78:B78))+IF($Y77&gt;1,IF(INT(C$6/$X77)&gt;0,$Z77-$AA77,0),-$AA77)</f>
        <v>0</v>
      </c>
      <c r="D78" s="603">
        <f>IF(INT(D$6/$X77)*$X$7&gt;D76*($X$7+$Z77)*$Y77,D76*($X$7+$Z77)-SUM($B78:C78),INT(D$6/$X77)*$X$7-D76*($X$7+$Z77)*($Y77-1)-SUM($B78:C78))+IF($Y77&gt;1,IF(INT(D$6/$X77)&gt;0,$Z77-$AA77,0),-$AA77)</f>
        <v>0</v>
      </c>
      <c r="E78" s="603">
        <f>IF(INT(E$6/$X77)*$X$7&gt;E76*($X$7+$Z77)*$Y77,E76*($X$7+$Z77)-SUM($B78:D78),INT(E$6/$X77)*$X$7-E76*($X$7+$Z77)*($Y77-1)-SUM($B78:D78))+IF($Y77&gt;1,IF(INT(E$6/$X77)&gt;0,$Z77-$AA77,0),-$AA77)</f>
        <v>0</v>
      </c>
      <c r="F78" s="603">
        <f>IF(INT(F$6/$X77)*$X$7&gt;F76*($X$7+$Z77)*$Y77,F76*($X$7+$Z77)-SUM($B78:E78),INT(F$6/$X77)*$X$7-F76*($X$7+$Z77)*($Y77-1)-SUM($B78:E78))+IF($Y77&gt;1,IF(INT(F$6/$X77)&gt;0,$Z77-$AA77,0),-$AA77)</f>
        <v>0</v>
      </c>
      <c r="G78" s="603">
        <f>IF(INT(G$6/$X77)*$X$7&gt;G76*($X$7+$Z77)*$Y77,G76*($X$7+$Z77)-SUM($B78:F78),INT(G$6/$X77)*$X$7-G76*($X$7+$Z77)*($Y77-1)-SUM($B78:F78))+IF($Y77&gt;1,IF(INT(G$6/$X77)&gt;0,$Z77-$AA77,0),-$AA77)</f>
        <v>0</v>
      </c>
      <c r="H78" s="603">
        <f>IF(INT(H$6/$X77)*$X$7&gt;H76*($X$7+$Z77)*$Y77,H76*($X$7+$Z77)-SUM($B78:G78),INT(H$6/$X77)*$X$7-H76*($X$7+$Z77)*($Y77-1)-SUM($B78:G78))+IF($Y77&gt;1,IF(INT(H$6/$X77)&gt;0,$Z77-$AA77,0),-$AA77)</f>
        <v>0</v>
      </c>
      <c r="I78" s="603">
        <f>IF(INT(I$6/$X77)*$X$7&gt;I76*($X$7+$Z77)*$Y77,I76*($X$7+$Z77)-SUM($B78:H78),INT(I$6/$X77)*$X$7-I76*($X$7+$Z77)*($Y77-1)-SUM($B78:H78))+IF($Y77&gt;1,IF(INT(I$6/$X77)&gt;0,$Z77-$AA77,0),-$AA77)</f>
        <v>0</v>
      </c>
      <c r="J78" s="603">
        <f>IF(INT(J$6/$X77)*$X$7&gt;J76*($X$7+$Z77)*$Y77,J76*($X$7+$Z77)-SUM($B78:I78),INT(J$6/$X77)*$X$7-J76*($X$7+$Z77)*($Y77-1)-SUM($B78:I78))+IF($Y77&gt;1,IF(INT(J$6/$X77)&gt;0,$Z77-$AA77,0),-$AA77)</f>
        <v>0</v>
      </c>
      <c r="K78" s="603">
        <f>IF(INT(K$6/$X77)*$X$7&gt;K76*($X$7+$Z77)*$Y77,K76*($X$7+$Z77)-SUM($B78:J78),INT(K$6/$X77)*$X$7-K76*($X$7+$Z77)*($Y77-1)-SUM($B78:J78))+IF($Y77&gt;1,IF(INT(K$6/$X77)&gt;0,$Z77-$AA77,0),-$AA77)</f>
        <v>0</v>
      </c>
      <c r="L78" s="603">
        <f>IF(INT(L$6/$X77)*$X$7&gt;L76*($X$7+$Z77)*$Y77,L76*($X$7+$Z77)-SUM($B78:K78),INT(L$6/$X77)*$X$7-L76*($X$7+$Z77)*($Y77-1)-SUM($B78:K78))+IF($Y77&gt;1,IF(INT(L$6/$X77)&gt;0,$Z77-$AA77,0),-$AA77)</f>
        <v>0</v>
      </c>
      <c r="M78" s="603">
        <f>IF(INT(M$6/$X77)*$X$7&gt;M76*($X$7+$Z77)*$Y77,M76*($X$7+$Z77)-SUM($B78:L78),INT(M$6/$X77)*$X$7-M76*($X$7+$Z77)*($Y77-1)-SUM($B78:L78))+IF($Y77&gt;1,IF(INT(M$6/$X77)&gt;0,$Z77-$AA77,0),-$AA77)</f>
        <v>0</v>
      </c>
      <c r="N78" s="603">
        <f>IF(INT(N$6/$X77)*$X$7&gt;N76*($X$7+$Z77)*$Y77,N76*($X$7+$Z77)-SUM($B78:M78),INT(N$6/$X77)*$X$7-N76*($X$7+$Z77)*($Y77-1)-SUM($B78:M78))+IF($Y77&gt;1,IF(INT(N$6/$X77)&gt;0,$Z77-$AA77,0),-$AA77)</f>
        <v>0</v>
      </c>
      <c r="O78" s="603">
        <f>IF(INT(O$6/$X77)*$X$7&gt;O76*($X$7+$Z77)*$Y77,O76*($X$7+$Z77)-SUM($B78:N78),INT(O$6/$X77)*$X$7-O76*($X$7+$Z77)*($Y77-1)-SUM($B78:N78))+IF($Y77&gt;1,IF(INT(O$6/$X77)&gt;0,$Z77-$AA77,0),-$AA77)</f>
        <v>0</v>
      </c>
      <c r="P78" s="603">
        <f>IF(INT(P$6/$X77)*$X$7&gt;P76*($X$7+$Z77)*$Y77,P76*($X$7+$Z77)-SUM($B78:O78),INT(P$6/$X77)*$X$7-P76*($X$7+$Z77)*($Y77-1)-SUM($B78:O78))+IF($Y77&gt;1,IF(INT(P$6/$X77)&gt;0,$Z77-$AA77,0),-$AA77)</f>
        <v>0</v>
      </c>
      <c r="Q78" s="603">
        <f>IF(INT(Q$6/$X77)*$X$7&gt;Q76*($X$7+$Z77)*$Y77,Q76*($X$7+$Z77)-SUM($B78:P78),INT(Q$6/$X77)*$X$7-Q76*($X$7+$Z77)*($Y77-1)-SUM($B78:P78))+IF($Y77&gt;1,IF(INT(Q$6/$X77)&gt;0,$Z77-$AA77,0),-$AA77)</f>
        <v>0</v>
      </c>
      <c r="R78" s="603">
        <f>IF(INT(R$6/$X77)*$X$7&gt;R76*($X$7+$Z77)*$Y77,R76*($X$7+$Z77)-SUM($B78:Q78),INT(R$6/$X77)*$X$7-R76*($X$7+$Z77)*($Y77-1)-SUM($B78:Q78))+IF($Y77&gt;1,IF(INT(R$6/$X77)&gt;0,$Z77-$AA77,0),-$AA77)</f>
        <v>0</v>
      </c>
      <c r="S78" s="603">
        <f>IF(INT(S$6/$X77)*$X$7&gt;S76*($X$7+$Z77)*$Y77,S76*($X$7+$Z77)-SUM($B78:R78),INT(S$6/$X77)*$X$7-S76*($X$7+$Z77)*($Y77-1)-SUM($B78:R78))+IF($Y77&gt;1,IF(INT(S$6/$X77)&gt;0,$Z77-$AA77,0),-$AA77)</f>
        <v>0</v>
      </c>
      <c r="T78" s="603">
        <f>IF(INT(T$6/$X77)*$X$7&gt;T76*($X$7+$Z77)*$Y77,T76*($X$7+$Z77)-SUM($B78:S78),INT(T$6/$X77)*$X$7-T76*($X$7+$Z77)*($Y77-1)-SUM($B78:S78))+IF($Y77&gt;1,IF(INT(T$6/$X77)&gt;0,$Z77-$AA77,0),-$AA77)</f>
        <v>0</v>
      </c>
      <c r="U78" s="603">
        <f>IF(INT(U$6/$X77)*$X$7&gt;U76*($X$7+$Z77)*$Y77,U76*($X$7+$Z77)-SUM($B78:T78),INT(U$6/$X77)*$X$7-U76*($X$7+$Z77)*($Y77-1)-SUM($B78:T78))+IF($Y77&gt;1,IF(INT(U$6/$X77)&gt;0,$Z77-$AA77,0),-$AA77)</f>
        <v>0</v>
      </c>
      <c r="V78" s="603">
        <f>IF(INT(V$6/$X77)*$X$7&gt;V76*($X$7+$Z77)*$Y77,V76*($X$7+$Z77)-SUM($B78:U78),INT(V$6/$X77)*$X$7-V76*($X$7+$Z77)*($Y77-1)-SUM($B78:U78))+IF($Y77&gt;1,IF(INT(V$6/$X77)&gt;0,$Z77-$AA77,0),-$AA77)</f>
        <v>0</v>
      </c>
      <c r="W78" s="681"/>
      <c r="X78"/>
      <c r="Y78"/>
      <c r="Z78"/>
    </row>
    <row r="79" spans="1:28" s="102" customFormat="1">
      <c r="W79" s="663"/>
    </row>
    <row r="80" spans="1:28" s="102" customFormat="1" hidden="1">
      <c r="A80" s="140" t="s">
        <v>934</v>
      </c>
      <c r="B80" s="603"/>
      <c r="C80" s="140">
        <f t="shared" ref="C80:V80" si="23">INT((INT(C$6/$X81)*$X$7+$X$7+$Z81-1)/($X$7+$Z81)/$Y81)</f>
        <v>0</v>
      </c>
      <c r="D80" s="140">
        <f t="shared" si="23"/>
        <v>0</v>
      </c>
      <c r="E80" s="140">
        <f t="shared" si="23"/>
        <v>0</v>
      </c>
      <c r="F80" s="140">
        <f t="shared" si="23"/>
        <v>0</v>
      </c>
      <c r="G80" s="140">
        <f t="shared" si="23"/>
        <v>0</v>
      </c>
      <c r="H80" s="140">
        <f t="shared" si="23"/>
        <v>0</v>
      </c>
      <c r="I80" s="140">
        <f t="shared" si="23"/>
        <v>0</v>
      </c>
      <c r="J80" s="140">
        <f t="shared" si="23"/>
        <v>0</v>
      </c>
      <c r="K80" s="140">
        <f t="shared" si="23"/>
        <v>0</v>
      </c>
      <c r="L80" s="140">
        <f t="shared" si="23"/>
        <v>0</v>
      </c>
      <c r="M80" s="140">
        <f t="shared" si="23"/>
        <v>0</v>
      </c>
      <c r="N80" s="140">
        <f t="shared" si="23"/>
        <v>0</v>
      </c>
      <c r="O80" s="140">
        <f t="shared" si="23"/>
        <v>0</v>
      </c>
      <c r="P80" s="140">
        <f t="shared" si="23"/>
        <v>0</v>
      </c>
      <c r="Q80" s="140">
        <f t="shared" si="23"/>
        <v>0</v>
      </c>
      <c r="R80" s="140">
        <f t="shared" si="23"/>
        <v>0</v>
      </c>
      <c r="S80" s="140">
        <f t="shared" si="23"/>
        <v>0</v>
      </c>
      <c r="T80" s="140">
        <f t="shared" si="23"/>
        <v>0</v>
      </c>
      <c r="U80" s="140">
        <f t="shared" si="23"/>
        <v>0</v>
      </c>
      <c r="V80" s="140">
        <f t="shared" si="23"/>
        <v>0</v>
      </c>
    </row>
    <row r="81" spans="1:28" s="102" customFormat="1">
      <c r="A81" s="140" t="s">
        <v>935</v>
      </c>
      <c r="B81" s="603" t="s">
        <v>278</v>
      </c>
      <c r="C81" s="603">
        <f>IF($Y81=1,0,$X$7*(INT(C$6/$X81)-INT(B$6/$X81))-IF(SUM($B81:B81)&gt;0,C82,0))</f>
        <v>0</v>
      </c>
      <c r="D81" s="603">
        <f>IF($Y81=1,0,$X$7*(INT(D$6/$X81)-INT(C$6/$X81))-IF(SUM($B81:C81)&gt;0,D82,0))</f>
        <v>0</v>
      </c>
      <c r="E81" s="603">
        <f>IF($Y81=1,0,$X$7*(INT(E$6/$X81)-INT(D$6/$X81))-IF(SUM($B81:D81)&gt;0,E82,0))</f>
        <v>0</v>
      </c>
      <c r="F81" s="603">
        <f>IF($Y81=1,0,$X$7*(INT(F$6/$X81)-INT(E$6/$X81))-IF(SUM($B81:E81)&gt;0,F82,0))</f>
        <v>0</v>
      </c>
      <c r="G81" s="603">
        <f>IF($Y81=1,0,$X$7*(INT(G$6/$X81)-INT(F$6/$X81))-IF(SUM($B81:F81)&gt;0,G82,0))</f>
        <v>0</v>
      </c>
      <c r="H81" s="603">
        <f>IF($Y81=1,0,$X$7*(INT(H$6/$X81)-INT(G$6/$X81))-IF(SUM($B81:G81)&gt;0,H82,0))</f>
        <v>0</v>
      </c>
      <c r="I81" s="603">
        <f>IF($Y81=1,0,$X$7*(INT(I$6/$X81)-INT(H$6/$X81))-IF(SUM($B81:H81)&gt;0,I82,0))</f>
        <v>0</v>
      </c>
      <c r="J81" s="603">
        <f>IF($Y81=1,0,$X$7*(INT(J$6/$X81)-INT(I$6/$X81))-IF(SUM($B81:I81)&gt;0,J82,0))</f>
        <v>0</v>
      </c>
      <c r="K81" s="603">
        <f>IF($Y81=1,0,$X$7*(INT(K$6/$X81)-INT(J$6/$X81))-IF(SUM($B81:J81)&gt;0,K82,0))</f>
        <v>0</v>
      </c>
      <c r="L81" s="603">
        <f>IF($Y81=1,0,$X$7*(INT(L$6/$X81)-INT(K$6/$X81))-IF(SUM($B81:K81)&gt;0,L82,0))</f>
        <v>0</v>
      </c>
      <c r="M81" s="603">
        <f>IF($Y81=1,0,$X$7*(INT(M$6/$X81)-INT(L$6/$X81))-IF(SUM($B81:L81)&gt;0,M82,0))</f>
        <v>0</v>
      </c>
      <c r="N81" s="603">
        <f>IF($Y81=1,0,$X$7*(INT(N$6/$X81)-INT(M$6/$X81))-IF(SUM($B81:M81)&gt;0,N82,0))</f>
        <v>0</v>
      </c>
      <c r="O81" s="603">
        <f>IF($Y81=1,0,$X$7*(INT(O$6/$X81)-INT(N$6/$X81))-IF(SUM($B81:N81)&gt;0,O82,0))</f>
        <v>0</v>
      </c>
      <c r="P81" s="603">
        <f>IF($Y81=1,0,$X$7*(INT(P$6/$X81)-INT(O$6/$X81))-IF(SUM($B81:O81)&gt;0,P82,0))</f>
        <v>0</v>
      </c>
      <c r="Q81" s="603">
        <f>IF($Y81=1,0,$X$7*(INT(Q$6/$X81)-INT(P$6/$X81))-IF(SUM($B81:P81)&gt;0,Q82,0))</f>
        <v>0</v>
      </c>
      <c r="R81" s="603">
        <f>IF($Y81=1,0,$X$7*(INT(R$6/$X81)-INT(Q$6/$X81))-IF(SUM($B81:Q81)&gt;0,R82,0))</f>
        <v>0</v>
      </c>
      <c r="S81" s="603">
        <f>IF($Y81=1,0,$X$7*(INT(S$6/$X81)-INT(R$6/$X81))-IF(SUM($B81:R81)&gt;0,S82,0))</f>
        <v>0</v>
      </c>
      <c r="T81" s="603">
        <f>IF($Y81=1,0,$X$7*(INT(T$6/$X81)-INT(S$6/$X81))-IF(SUM($B81:S81)&gt;0,T82,0))</f>
        <v>0</v>
      </c>
      <c r="U81" s="603">
        <f>IF($Y81=1,0,$X$7*(INT(U$6/$X81)-INT(T$6/$X81))-IF(SUM($B81:T81)&gt;0,U82,0))</f>
        <v>0</v>
      </c>
      <c r="V81" s="603">
        <f>IF($Y81=1,0,$X$7*(INT(V$6/$X81)-INT(U$6/$X81))-IF(SUM($B81:U81)&gt;0,V82,0))</f>
        <v>0</v>
      </c>
      <c r="W81" s="728" t="str">
        <f xml:space="preserve"> 'GT schd cost(W501D5)'!A30</f>
        <v>Row 4 rings segments</v>
      </c>
      <c r="X81" s="678">
        <f>IF($AD$6=1,'GTDB(W501D5)'!B33,'GTDB(W501D5)'!G33)</f>
        <v>48000</v>
      </c>
      <c r="Y81" s="678">
        <f>IF($AD$6=1,'GTDB(W501D5)'!C33,'GTDB(W501D5)'!H33)</f>
        <v>2</v>
      </c>
      <c r="Z81" s="679">
        <v>1</v>
      </c>
      <c r="AA81" s="834">
        <f>'Initial_Spares(W501D5)'!$E$27</f>
        <v>0</v>
      </c>
      <c r="AB81" s="642">
        <f>'GT schd cost(W501D5)'!X30+'GT schd cost(W501D5)'!X56</f>
        <v>0</v>
      </c>
    </row>
    <row r="82" spans="1:28" s="102" customFormat="1">
      <c r="A82" s="140" t="s">
        <v>936</v>
      </c>
      <c r="B82" s="603" t="s">
        <v>278</v>
      </c>
      <c r="C82" s="603">
        <f>IF(INT(C$6/$X81)*$X$7&gt;C80*($X$7+$Z81)*$Y81,C80*($X$7+$Z81)-SUM($B82:B82),INT(C$6/$X81)*$X$7-C80*($X$7+$Z81)*($Y81-1)-SUM($B82:B82))+IF($Y81&gt;1,IF(INT(C$6/$X81)&gt;0,$Z81-$AA81,0),-$AA81)</f>
        <v>0</v>
      </c>
      <c r="D82" s="603">
        <f>IF(INT(D$6/$X81)*$X$7&gt;D80*($X$7+$Z81)*$Y81,D80*($X$7+$Z81)-SUM($B82:C82),INT(D$6/$X81)*$X$7-D80*($X$7+$Z81)*($Y81-1)-SUM($B82:C82))+IF($Y81&gt;1,IF(INT(D$6/$X81)&gt;0,$Z81-$AA81,0),-$AA81)</f>
        <v>0</v>
      </c>
      <c r="E82" s="603">
        <f>IF(INT(E$6/$X81)*$X$7&gt;E80*($X$7+$Z81)*$Y81,E80*($X$7+$Z81)-SUM($B82:D82),INT(E$6/$X81)*$X$7-E80*($X$7+$Z81)*($Y81-1)-SUM($B82:D82))+IF($Y81&gt;1,IF(INT(E$6/$X81)&gt;0,$Z81-$AA81,0),-$AA81)</f>
        <v>0</v>
      </c>
      <c r="F82" s="603">
        <f>IF(INT(F$6/$X81)*$X$7&gt;F80*($X$7+$Z81)*$Y81,F80*($X$7+$Z81)-SUM($B82:E82),INT(F$6/$X81)*$X$7-F80*($X$7+$Z81)*($Y81-1)-SUM($B82:E82))+IF($Y81&gt;1,IF(INT(F$6/$X81)&gt;0,$Z81-$AA81,0),-$AA81)</f>
        <v>0</v>
      </c>
      <c r="G82" s="603">
        <f>IF(INT(G$6/$X81)*$X$7&gt;G80*($X$7+$Z81)*$Y81,G80*($X$7+$Z81)-SUM($B82:F82),INT(G$6/$X81)*$X$7-G80*($X$7+$Z81)*($Y81-1)-SUM($B82:F82))+IF($Y81&gt;1,IF(INT(G$6/$X81)&gt;0,$Z81-$AA81,0),-$AA81)</f>
        <v>0</v>
      </c>
      <c r="H82" s="603">
        <f>IF(INT(H$6/$X81)*$X$7&gt;H80*($X$7+$Z81)*$Y81,H80*($X$7+$Z81)-SUM($B82:G82),INT(H$6/$X81)*$X$7-H80*($X$7+$Z81)*($Y81-1)-SUM($B82:G82))+IF($Y81&gt;1,IF(INT(H$6/$X81)&gt;0,$Z81-$AA81,0),-$AA81)</f>
        <v>0</v>
      </c>
      <c r="I82" s="603">
        <f>IF(INT(I$6/$X81)*$X$7&gt;I80*($X$7+$Z81)*$Y81,I80*($X$7+$Z81)-SUM($B82:H82),INT(I$6/$X81)*$X$7-I80*($X$7+$Z81)*($Y81-1)-SUM($B82:H82))+IF($Y81&gt;1,IF(INT(I$6/$X81)&gt;0,$Z81-$AA81,0),-$AA81)</f>
        <v>0</v>
      </c>
      <c r="J82" s="603">
        <f>IF(INT(J$6/$X81)*$X$7&gt;J80*($X$7+$Z81)*$Y81,J80*($X$7+$Z81)-SUM($B82:I82),INT(J$6/$X81)*$X$7-J80*($X$7+$Z81)*($Y81-1)-SUM($B82:I82))+IF($Y81&gt;1,IF(INT(J$6/$X81)&gt;0,$Z81-$AA81,0),-$AA81)</f>
        <v>0</v>
      </c>
      <c r="K82" s="603">
        <f>IF(INT(K$6/$X81)*$X$7&gt;K80*($X$7+$Z81)*$Y81,K80*($X$7+$Z81)-SUM($B82:J82),INT(K$6/$X81)*$X$7-K80*($X$7+$Z81)*($Y81-1)-SUM($B82:J82))+IF($Y81&gt;1,IF(INT(K$6/$X81)&gt;0,$Z81-$AA81,0),-$AA81)</f>
        <v>0</v>
      </c>
      <c r="L82" s="603">
        <f>IF(INT(L$6/$X81)*$X$7&gt;L80*($X$7+$Z81)*$Y81,L80*($X$7+$Z81)-SUM($B82:K82),INT(L$6/$X81)*$X$7-L80*($X$7+$Z81)*($Y81-1)-SUM($B82:K82))+IF($Y81&gt;1,IF(INT(L$6/$X81)&gt;0,$Z81-$AA81,0),-$AA81)</f>
        <v>0</v>
      </c>
      <c r="M82" s="603">
        <f>IF(INT(M$6/$X81)*$X$7&gt;M80*($X$7+$Z81)*$Y81,M80*($X$7+$Z81)-SUM($B82:L82),INT(M$6/$X81)*$X$7-M80*($X$7+$Z81)*($Y81-1)-SUM($B82:L82))+IF($Y81&gt;1,IF(INT(M$6/$X81)&gt;0,$Z81-$AA81,0),-$AA81)</f>
        <v>0</v>
      </c>
      <c r="N82" s="603">
        <f>IF(INT(N$6/$X81)*$X$7&gt;N80*($X$7+$Z81)*$Y81,N80*($X$7+$Z81)-SUM($B82:M82),INT(N$6/$X81)*$X$7-N80*($X$7+$Z81)*($Y81-1)-SUM($B82:M82))+IF($Y81&gt;1,IF(INT(N$6/$X81)&gt;0,$Z81-$AA81,0),-$AA81)</f>
        <v>0</v>
      </c>
      <c r="O82" s="603">
        <f>IF(INT(O$6/$X81)*$X$7&gt;O80*($X$7+$Z81)*$Y81,O80*($X$7+$Z81)-SUM($B82:N82),INT(O$6/$X81)*$X$7-O80*($X$7+$Z81)*($Y81-1)-SUM($B82:N82))+IF($Y81&gt;1,IF(INT(O$6/$X81)&gt;0,$Z81-$AA81,0),-$AA81)</f>
        <v>0</v>
      </c>
      <c r="P82" s="603">
        <f>IF(INT(P$6/$X81)*$X$7&gt;P80*($X$7+$Z81)*$Y81,P80*($X$7+$Z81)-SUM($B82:O82),INT(P$6/$X81)*$X$7-P80*($X$7+$Z81)*($Y81-1)-SUM($B82:O82))+IF($Y81&gt;1,IF(INT(P$6/$X81)&gt;0,$Z81-$AA81,0),-$AA81)</f>
        <v>0</v>
      </c>
      <c r="Q82" s="603">
        <f>IF(INT(Q$6/$X81)*$X$7&gt;Q80*($X$7+$Z81)*$Y81,Q80*($X$7+$Z81)-SUM($B82:P82),INT(Q$6/$X81)*$X$7-Q80*($X$7+$Z81)*($Y81-1)-SUM($B82:P82))+IF($Y81&gt;1,IF(INT(Q$6/$X81)&gt;0,$Z81-$AA81,0),-$AA81)</f>
        <v>0</v>
      </c>
      <c r="R82" s="603">
        <f>IF(INT(R$6/$X81)*$X$7&gt;R80*($X$7+$Z81)*$Y81,R80*($X$7+$Z81)-SUM($B82:Q82),INT(R$6/$X81)*$X$7-R80*($X$7+$Z81)*($Y81-1)-SUM($B82:Q82))+IF($Y81&gt;1,IF(INT(R$6/$X81)&gt;0,$Z81-$AA81,0),-$AA81)</f>
        <v>0</v>
      </c>
      <c r="S82" s="603">
        <f>IF(INT(S$6/$X81)*$X$7&gt;S80*($X$7+$Z81)*$Y81,S80*($X$7+$Z81)-SUM($B82:R82),INT(S$6/$X81)*$X$7-S80*($X$7+$Z81)*($Y81-1)-SUM($B82:R82))+IF($Y81&gt;1,IF(INT(S$6/$X81)&gt;0,$Z81-$AA81,0),-$AA81)</f>
        <v>0</v>
      </c>
      <c r="T82" s="603">
        <f>IF(INT(T$6/$X81)*$X$7&gt;T80*($X$7+$Z81)*$Y81,T80*($X$7+$Z81)-SUM($B82:S82),INT(T$6/$X81)*$X$7-T80*($X$7+$Z81)*($Y81-1)-SUM($B82:S82))+IF($Y81&gt;1,IF(INT(T$6/$X81)&gt;0,$Z81-$AA81,0),-$AA81)</f>
        <v>0</v>
      </c>
      <c r="U82" s="603">
        <f>IF(INT(U$6/$X81)*$X$7&gt;U80*($X$7+$Z81)*$Y81,U80*($X$7+$Z81)-SUM($B82:T82),INT(U$6/$X81)*$X$7-U80*($X$7+$Z81)*($Y81-1)-SUM($B82:T82))+IF($Y81&gt;1,IF(INT(U$6/$X81)&gt;0,$Z81-$AA81,0),-$AA81)</f>
        <v>0</v>
      </c>
      <c r="V82" s="603">
        <f>IF(INT(V$6/$X81)*$X$7&gt;V80*($X$7+$Z81)*$Y81,V80*($X$7+$Z81)-SUM($B82:U82),INT(V$6/$X81)*$X$7-V80*($X$7+$Z81)*($Y81-1)-SUM($B82:U82))+IF($Y81&gt;1,IF(INT(V$6/$X81)&gt;0,$Z81-$AA81,0),-$AA81)</f>
        <v>0</v>
      </c>
      <c r="W82" s="681"/>
      <c r="X82"/>
      <c r="Y82"/>
      <c r="Z82"/>
    </row>
    <row r="83" spans="1:28" s="102" customFormat="1">
      <c r="B83" s="615"/>
      <c r="C83" s="615"/>
      <c r="D83" s="615"/>
      <c r="E83" s="615"/>
      <c r="F83" s="615"/>
      <c r="G83" s="615"/>
      <c r="H83" s="615"/>
      <c r="I83" s="615"/>
      <c r="J83" s="615"/>
      <c r="K83" s="615"/>
      <c r="W83" s="663"/>
    </row>
    <row r="84" spans="1:28" s="102" customFormat="1" hidden="1">
      <c r="A84" s="140" t="s">
        <v>934</v>
      </c>
      <c r="B84" s="603"/>
      <c r="C84" s="140">
        <f t="shared" ref="C84:V84" si="24">INT((INT(C$6/$X85)*$X$7+$X$7+$Z85-1)/($X$7+$Z85)/$Y85)</f>
        <v>0</v>
      </c>
      <c r="D84" s="140">
        <f t="shared" si="24"/>
        <v>0</v>
      </c>
      <c r="E84" s="140">
        <f t="shared" si="24"/>
        <v>0</v>
      </c>
      <c r="F84" s="140">
        <f t="shared" si="24"/>
        <v>0</v>
      </c>
      <c r="G84" s="140">
        <f t="shared" si="24"/>
        <v>0</v>
      </c>
      <c r="H84" s="140">
        <f t="shared" si="24"/>
        <v>0</v>
      </c>
      <c r="I84" s="140">
        <f t="shared" si="24"/>
        <v>0</v>
      </c>
      <c r="J84" s="140">
        <f t="shared" si="24"/>
        <v>0</v>
      </c>
      <c r="K84" s="140">
        <f t="shared" si="24"/>
        <v>0</v>
      </c>
      <c r="L84" s="140">
        <f t="shared" si="24"/>
        <v>0</v>
      </c>
      <c r="M84" s="140">
        <f t="shared" si="24"/>
        <v>0</v>
      </c>
      <c r="N84" s="140">
        <f t="shared" si="24"/>
        <v>0</v>
      </c>
      <c r="O84" s="140">
        <f t="shared" si="24"/>
        <v>0</v>
      </c>
      <c r="P84" s="140">
        <f t="shared" si="24"/>
        <v>0</v>
      </c>
      <c r="Q84" s="140">
        <f t="shared" si="24"/>
        <v>0</v>
      </c>
      <c r="R84" s="140">
        <f t="shared" si="24"/>
        <v>0</v>
      </c>
      <c r="S84" s="140">
        <f t="shared" si="24"/>
        <v>0</v>
      </c>
      <c r="T84" s="140">
        <f t="shared" si="24"/>
        <v>0</v>
      </c>
      <c r="U84" s="140">
        <f t="shared" si="24"/>
        <v>0</v>
      </c>
      <c r="V84" s="140">
        <f t="shared" si="24"/>
        <v>0</v>
      </c>
    </row>
    <row r="85" spans="1:28" s="102" customFormat="1">
      <c r="A85" s="140" t="s">
        <v>935</v>
      </c>
      <c r="B85" s="603" t="s">
        <v>278</v>
      </c>
      <c r="C85" s="603">
        <f>IF($Y85=1,0,$X$7*(INT(C$6/$X85)-INT(B$6/$X85))-IF(SUM($B85:B85)&gt;0,C86,0))</f>
        <v>0</v>
      </c>
      <c r="D85" s="603">
        <f>IF($Y85=1,0,$X$7*(INT(D$6/$X85)-INT(C$6/$X85))-IF(SUM($B85:C85)&gt;0,D86,0))</f>
        <v>0</v>
      </c>
      <c r="E85" s="603">
        <f>IF($Y85=1,0,$X$7*(INT(E$6/$X85)-INT(D$6/$X85))-IF(SUM($B85:D85)&gt;0,E86,0))</f>
        <v>0</v>
      </c>
      <c r="F85" s="603">
        <f>IF($Y85=1,0,$X$7*(INT(F$6/$X85)-INT(E$6/$X85))-IF(SUM($B85:E85)&gt;0,F86,0))</f>
        <v>0</v>
      </c>
      <c r="G85" s="603">
        <f>IF($Y85=1,0,$X$7*(INT(G$6/$X85)-INT(F$6/$X85))-IF(SUM($B85:F85)&gt;0,G86,0))</f>
        <v>0</v>
      </c>
      <c r="H85" s="603">
        <f>IF($Y85=1,0,$X$7*(INT(H$6/$X85)-INT(G$6/$X85))-IF(SUM($B85:G85)&gt;0,H86,0))</f>
        <v>0</v>
      </c>
      <c r="I85" s="603">
        <f>IF($Y85=1,0,$X$7*(INT(I$6/$X85)-INT(H$6/$X85))-IF(SUM($B85:H85)&gt;0,I86,0))</f>
        <v>0</v>
      </c>
      <c r="J85" s="603">
        <f>IF($Y85=1,0,$X$7*(INT(J$6/$X85)-INT(I$6/$X85))-IF(SUM($B85:I85)&gt;0,J86,0))</f>
        <v>0</v>
      </c>
      <c r="K85" s="603">
        <f>IF($Y85=1,0,$X$7*(INT(K$6/$X85)-INT(J$6/$X85))-IF(SUM($B85:J85)&gt;0,K86,0))</f>
        <v>0</v>
      </c>
      <c r="L85" s="603">
        <f>IF($Y85=1,0,$X$7*(INT(L$6/$X85)-INT(K$6/$X85))-IF(SUM($B85:K85)&gt;0,L86,0))</f>
        <v>0</v>
      </c>
      <c r="M85" s="603">
        <f>IF($Y85=1,0,$X$7*(INT(M$6/$X85)-INT(L$6/$X85))-IF(SUM($B85:L85)&gt;0,M86,0))</f>
        <v>0</v>
      </c>
      <c r="N85" s="603">
        <f>IF($Y85=1,0,$X$7*(INT(N$6/$X85)-INT(M$6/$X85))-IF(SUM($B85:M85)&gt;0,N86,0))</f>
        <v>0</v>
      </c>
      <c r="O85" s="603">
        <f>IF($Y85=1,0,$X$7*(INT(O$6/$X85)-INT(N$6/$X85))-IF(SUM($B85:N85)&gt;0,O86,0))</f>
        <v>0</v>
      </c>
      <c r="P85" s="603">
        <f>IF($Y85=1,0,$X$7*(INT(P$6/$X85)-INT(O$6/$X85))-IF(SUM($B85:O85)&gt;0,P86,0))</f>
        <v>0</v>
      </c>
      <c r="Q85" s="603">
        <f>IF($Y85=1,0,$X$7*(INT(Q$6/$X85)-INT(P$6/$X85))-IF(SUM($B85:P85)&gt;0,Q86,0))</f>
        <v>0</v>
      </c>
      <c r="R85" s="603">
        <f>IF($Y85=1,0,$X$7*(INT(R$6/$X85)-INT(Q$6/$X85))-IF(SUM($B85:Q85)&gt;0,R86,0))</f>
        <v>0</v>
      </c>
      <c r="S85" s="603">
        <f>IF($Y85=1,0,$X$7*(INT(S$6/$X85)-INT(R$6/$X85))-IF(SUM($B85:R85)&gt;0,S86,0))</f>
        <v>0</v>
      </c>
      <c r="T85" s="603">
        <f>IF($Y85=1,0,$X$7*(INT(T$6/$X85)-INT(S$6/$X85))-IF(SUM($B85:S85)&gt;0,T86,0))</f>
        <v>0</v>
      </c>
      <c r="U85" s="603">
        <f>IF($Y85=1,0,$X$7*(INT(U$6/$X85)-INT(T$6/$X85))-IF(SUM($B85:T85)&gt;0,U86,0))</f>
        <v>0</v>
      </c>
      <c r="V85" s="603">
        <f>IF($Y85=1,0,$X$7*(INT(V$6/$X85)-INT(U$6/$X85))-IF(SUM($B85:U85)&gt;0,V86,0))</f>
        <v>0</v>
      </c>
      <c r="W85" s="728" t="str">
        <f xml:space="preserve"> 'GT schd cost(W501D5)'!A31</f>
        <v>Comp Rotor Blades</v>
      </c>
      <c r="X85" s="678">
        <f>IF($AD$6=1,'GTDB(W501D5)'!B34,'GTDB(W501D5)'!G34)</f>
        <v>48000</v>
      </c>
      <c r="Y85" s="678">
        <f>IF($AD$6=1,'GTDB(W501D5)'!C34,'GTDB(W501D5)'!H34)</f>
        <v>2</v>
      </c>
      <c r="Z85" s="679">
        <v>1</v>
      </c>
      <c r="AA85" s="834">
        <f>'Initial_Spares(W501D5)'!$E$28</f>
        <v>0</v>
      </c>
      <c r="AB85" s="642">
        <f>'GT schd cost(W501D5)'!X31+'GT schd cost(W501D5)'!X57</f>
        <v>0</v>
      </c>
    </row>
    <row r="86" spans="1:28" s="102" customFormat="1">
      <c r="A86" s="140" t="s">
        <v>936</v>
      </c>
      <c r="B86" s="603" t="s">
        <v>278</v>
      </c>
      <c r="C86" s="603">
        <f>IF(INT(C$6/$X85)*$X$7&gt;C84*($X$7+$Z85)*$Y85,C84*($X$7+$Z85)-SUM($B86:B86),INT(C$6/$X85)*$X$7-C84*($X$7+$Z85)*($Y85-1)-SUM($B86:B86))+IF($Y85&gt;1,IF(INT(C$6/$X85)&gt;0,$Z85-$AA85,0),-$AA85)</f>
        <v>0</v>
      </c>
      <c r="D86" s="603">
        <f>IF(INT(D$6/$X85)*$X$7&gt;D84*($X$7+$Z85)*$Y85,D84*($X$7+$Z85)-SUM($B86:C86),INT(D$6/$X85)*$X$7-D84*($X$7+$Z85)*($Y85-1)-SUM($B86:C86))+IF($Y85&gt;1,IF(INT(D$6/$X85)&gt;0,$Z85-$AA85,0),-$AA85)</f>
        <v>0</v>
      </c>
      <c r="E86" s="603">
        <f>IF(INT(E$6/$X85)*$X$7&gt;E84*($X$7+$Z85)*$Y85,E84*($X$7+$Z85)-SUM($B86:D86),INT(E$6/$X85)*$X$7-E84*($X$7+$Z85)*($Y85-1)-SUM($B86:D86))+IF($Y85&gt;1,IF(INT(E$6/$X85)&gt;0,$Z85-$AA85,0),-$AA85)</f>
        <v>0</v>
      </c>
      <c r="F86" s="603">
        <f>IF(INT(F$6/$X85)*$X$7&gt;F84*($X$7+$Z85)*$Y85,F84*($X$7+$Z85)-SUM($B86:E86),INT(F$6/$X85)*$X$7-F84*($X$7+$Z85)*($Y85-1)-SUM($B86:E86))+IF($Y85&gt;1,IF(INT(F$6/$X85)&gt;0,$Z85-$AA85,0),-$AA85)</f>
        <v>0</v>
      </c>
      <c r="G86" s="603">
        <f>IF(INT(G$6/$X85)*$X$7&gt;G84*($X$7+$Z85)*$Y85,G84*($X$7+$Z85)-SUM($B86:F86),INT(G$6/$X85)*$X$7-G84*($X$7+$Z85)*($Y85-1)-SUM($B86:F86))+IF($Y85&gt;1,IF(INT(G$6/$X85)&gt;0,$Z85-$AA85,0),-$AA85)</f>
        <v>0</v>
      </c>
      <c r="H86" s="603">
        <f>IF(INT(H$6/$X85)*$X$7&gt;H84*($X$7+$Z85)*$Y85,H84*($X$7+$Z85)-SUM($B86:G86),INT(H$6/$X85)*$X$7-H84*($X$7+$Z85)*($Y85-1)-SUM($B86:G86))+IF($Y85&gt;1,IF(INT(H$6/$X85)&gt;0,$Z85-$AA85,0),-$AA85)</f>
        <v>0</v>
      </c>
      <c r="I86" s="603">
        <f>IF(INT(I$6/$X85)*$X$7&gt;I84*($X$7+$Z85)*$Y85,I84*($X$7+$Z85)-SUM($B86:H86),INT(I$6/$X85)*$X$7-I84*($X$7+$Z85)*($Y85-1)-SUM($B86:H86))+IF($Y85&gt;1,IF(INT(I$6/$X85)&gt;0,$Z85-$AA85,0),-$AA85)</f>
        <v>0</v>
      </c>
      <c r="J86" s="603">
        <f>IF(INT(J$6/$X85)*$X$7&gt;J84*($X$7+$Z85)*$Y85,J84*($X$7+$Z85)-SUM($B86:I86),INT(J$6/$X85)*$X$7-J84*($X$7+$Z85)*($Y85-1)-SUM($B86:I86))+IF($Y85&gt;1,IF(INT(J$6/$X85)&gt;0,$Z85-$AA85,0),-$AA85)</f>
        <v>0</v>
      </c>
      <c r="K86" s="603">
        <f>IF(INT(K$6/$X85)*$X$7&gt;K84*($X$7+$Z85)*$Y85,K84*($X$7+$Z85)-SUM($B86:J86),INT(K$6/$X85)*$X$7-K84*($X$7+$Z85)*($Y85-1)-SUM($B86:J86))+IF($Y85&gt;1,IF(INT(K$6/$X85)&gt;0,$Z85-$AA85,0),-$AA85)</f>
        <v>0</v>
      </c>
      <c r="L86" s="603">
        <f>IF(INT(L$6/$X85)*$X$7&gt;L84*($X$7+$Z85)*$Y85,L84*($X$7+$Z85)-SUM($B86:K86),INT(L$6/$X85)*$X$7-L84*($X$7+$Z85)*($Y85-1)-SUM($B86:K86))+IF($Y85&gt;1,IF(INT(L$6/$X85)&gt;0,$Z85-$AA85,0),-$AA85)</f>
        <v>0</v>
      </c>
      <c r="M86" s="603">
        <f>IF(INT(M$6/$X85)*$X$7&gt;M84*($X$7+$Z85)*$Y85,M84*($X$7+$Z85)-SUM($B86:L86),INT(M$6/$X85)*$X$7-M84*($X$7+$Z85)*($Y85-1)-SUM($B86:L86))+IF($Y85&gt;1,IF(INT(M$6/$X85)&gt;0,$Z85-$AA85,0),-$AA85)</f>
        <v>0</v>
      </c>
      <c r="N86" s="603">
        <f>IF(INT(N$6/$X85)*$X$7&gt;N84*($X$7+$Z85)*$Y85,N84*($X$7+$Z85)-SUM($B86:M86),INT(N$6/$X85)*$X$7-N84*($X$7+$Z85)*($Y85-1)-SUM($B86:M86))+IF($Y85&gt;1,IF(INT(N$6/$X85)&gt;0,$Z85-$AA85,0),-$AA85)</f>
        <v>0</v>
      </c>
      <c r="O86" s="603">
        <f>IF(INT(O$6/$X85)*$X$7&gt;O84*($X$7+$Z85)*$Y85,O84*($X$7+$Z85)-SUM($B86:N86),INT(O$6/$X85)*$X$7-O84*($X$7+$Z85)*($Y85-1)-SUM($B86:N86))+IF($Y85&gt;1,IF(INT(O$6/$X85)&gt;0,$Z85-$AA85,0),-$AA85)</f>
        <v>0</v>
      </c>
      <c r="P86" s="603">
        <f>IF(INT(P$6/$X85)*$X$7&gt;P84*($X$7+$Z85)*$Y85,P84*($X$7+$Z85)-SUM($B86:O86),INT(P$6/$X85)*$X$7-P84*($X$7+$Z85)*($Y85-1)-SUM($B86:O86))+IF($Y85&gt;1,IF(INT(P$6/$X85)&gt;0,$Z85-$AA85,0),-$AA85)</f>
        <v>0</v>
      </c>
      <c r="Q86" s="603">
        <f>IF(INT(Q$6/$X85)*$X$7&gt;Q84*($X$7+$Z85)*$Y85,Q84*($X$7+$Z85)-SUM($B86:P86),INT(Q$6/$X85)*$X$7-Q84*($X$7+$Z85)*($Y85-1)-SUM($B86:P86))+IF($Y85&gt;1,IF(INT(Q$6/$X85)&gt;0,$Z85-$AA85,0),-$AA85)</f>
        <v>0</v>
      </c>
      <c r="R86" s="603">
        <f>IF(INT(R$6/$X85)*$X$7&gt;R84*($X$7+$Z85)*$Y85,R84*($X$7+$Z85)-SUM($B86:Q86),INT(R$6/$X85)*$X$7-R84*($X$7+$Z85)*($Y85-1)-SUM($B86:Q86))+IF($Y85&gt;1,IF(INT(R$6/$X85)&gt;0,$Z85-$AA85,0),-$AA85)</f>
        <v>0</v>
      </c>
      <c r="S86" s="603">
        <f>IF(INT(S$6/$X85)*$X$7&gt;S84*($X$7+$Z85)*$Y85,S84*($X$7+$Z85)-SUM($B86:R86),INT(S$6/$X85)*$X$7-S84*($X$7+$Z85)*($Y85-1)-SUM($B86:R86))+IF($Y85&gt;1,IF(INT(S$6/$X85)&gt;0,$Z85-$AA85,0),-$AA85)</f>
        <v>0</v>
      </c>
      <c r="T86" s="603">
        <f>IF(INT(T$6/$X85)*$X$7&gt;T84*($X$7+$Z85)*$Y85,T84*($X$7+$Z85)-SUM($B86:S86),INT(T$6/$X85)*$X$7-T84*($X$7+$Z85)*($Y85-1)-SUM($B86:S86))+IF($Y85&gt;1,IF(INT(T$6/$X85)&gt;0,$Z85-$AA85,0),-$AA85)</f>
        <v>0</v>
      </c>
      <c r="U86" s="603">
        <f>IF(INT(U$6/$X85)*$X$7&gt;U84*($X$7+$Z85)*$Y85,U84*($X$7+$Z85)-SUM($B86:T86),INT(U$6/$X85)*$X$7-U84*($X$7+$Z85)*($Y85-1)-SUM($B86:T86))+IF($Y85&gt;1,IF(INT(U$6/$X85)&gt;0,$Z85-$AA85,0),-$AA85)</f>
        <v>0</v>
      </c>
      <c r="V86" s="603">
        <f>IF(INT(V$6/$X85)*$X$7&gt;V84*($X$7+$Z85)*$Y85,V84*($X$7+$Z85)-SUM($B86:U86),INT(V$6/$X85)*$X$7-V84*($X$7+$Z85)*($Y85-1)-SUM($B86:U86))+IF($Y85&gt;1,IF(INT(V$6/$X85)&gt;0,$Z85-$AA85,0),-$AA85)</f>
        <v>0</v>
      </c>
      <c r="W86" s="681"/>
      <c r="X86"/>
      <c r="Y86"/>
    </row>
    <row r="87" spans="1:28" s="102" customFormat="1">
      <c r="B87" s="615"/>
      <c r="C87" s="615"/>
      <c r="D87" s="615"/>
      <c r="E87" s="615"/>
      <c r="F87" s="615"/>
      <c r="G87" s="615"/>
      <c r="H87" s="615"/>
      <c r="J87" s="615"/>
      <c r="K87" s="615"/>
      <c r="L87" s="615"/>
      <c r="M87" s="615"/>
      <c r="W87" s="663"/>
    </row>
    <row r="88" spans="1:28" s="102" customFormat="1" hidden="1">
      <c r="A88" s="140" t="s">
        <v>934</v>
      </c>
      <c r="B88" s="603"/>
      <c r="C88" s="140">
        <f t="shared" ref="C88:V88" si="25">INT((INT(C$6/$X89)*$X$7+$X$7+$Z89-1)/($X$7+$Z89)/$Y89)</f>
        <v>0</v>
      </c>
      <c r="D88" s="140">
        <f t="shared" si="25"/>
        <v>0</v>
      </c>
      <c r="E88" s="140">
        <f t="shared" si="25"/>
        <v>0</v>
      </c>
      <c r="F88" s="140">
        <f t="shared" si="25"/>
        <v>0</v>
      </c>
      <c r="G88" s="140">
        <f t="shared" si="25"/>
        <v>0</v>
      </c>
      <c r="H88" s="140">
        <f t="shared" si="25"/>
        <v>0</v>
      </c>
      <c r="I88" s="140">
        <f t="shared" si="25"/>
        <v>0</v>
      </c>
      <c r="J88" s="140">
        <f t="shared" si="25"/>
        <v>0</v>
      </c>
      <c r="K88" s="140">
        <f t="shared" si="25"/>
        <v>0</v>
      </c>
      <c r="L88" s="140">
        <f t="shared" si="25"/>
        <v>0</v>
      </c>
      <c r="M88" s="140">
        <f t="shared" si="25"/>
        <v>0</v>
      </c>
      <c r="N88" s="140">
        <f t="shared" si="25"/>
        <v>0</v>
      </c>
      <c r="O88" s="140">
        <f t="shared" si="25"/>
        <v>0</v>
      </c>
      <c r="P88" s="140">
        <f t="shared" si="25"/>
        <v>0</v>
      </c>
      <c r="Q88" s="140">
        <f t="shared" si="25"/>
        <v>0</v>
      </c>
      <c r="R88" s="140">
        <f t="shared" si="25"/>
        <v>0</v>
      </c>
      <c r="S88" s="140">
        <f t="shared" si="25"/>
        <v>0</v>
      </c>
      <c r="T88" s="140">
        <f t="shared" si="25"/>
        <v>0</v>
      </c>
      <c r="U88" s="140">
        <f t="shared" si="25"/>
        <v>0</v>
      </c>
      <c r="V88" s="140">
        <f t="shared" si="25"/>
        <v>0</v>
      </c>
    </row>
    <row r="89" spans="1:28" s="102" customFormat="1">
      <c r="A89" s="140" t="s">
        <v>935</v>
      </c>
      <c r="B89" s="603" t="s">
        <v>278</v>
      </c>
      <c r="C89" s="603">
        <f>IF($Y89=1,0,$X$7*(INT(C$6/$X89)-INT(B$6/$X89))-IF(SUM($B89:B89)&gt;0,C90,0))</f>
        <v>0</v>
      </c>
      <c r="D89" s="603">
        <f>IF($Y89=1,0,$X$7*(INT(D$6/$X89)-INT(C$6/$X89))-IF(SUM($B89:C89)&gt;0,D90,0))</f>
        <v>0</v>
      </c>
      <c r="E89" s="603">
        <f>IF($Y89=1,0,$X$7*(INT(E$6/$X89)-INT(D$6/$X89))-IF(SUM($B89:D89)&gt;0,E90,0))</f>
        <v>0</v>
      </c>
      <c r="F89" s="603">
        <f>IF($Y89=1,0,$X$7*(INT(F$6/$X89)-INT(E$6/$X89))-IF(SUM($B89:E89)&gt;0,F90,0))</f>
        <v>0</v>
      </c>
      <c r="G89" s="603">
        <f>IF($Y89=1,0,$X$7*(INT(G$6/$X89)-INT(F$6/$X89))-IF(SUM($B89:F89)&gt;0,G90,0))</f>
        <v>0</v>
      </c>
      <c r="H89" s="603">
        <f>IF($Y89=1,0,$X$7*(INT(H$6/$X89)-INT(G$6/$X89))-IF(SUM($B89:G89)&gt;0,H90,0))</f>
        <v>0</v>
      </c>
      <c r="I89" s="603">
        <f>IF($Y89=1,0,$X$7*(INT(I$6/$X89)-INT(H$6/$X89))-IF(SUM($B89:H89)&gt;0,I90,0))</f>
        <v>0</v>
      </c>
      <c r="J89" s="603">
        <f>IF($Y89=1,0,$X$7*(INT(J$6/$X89)-INT(I$6/$X89))-IF(SUM($B89:I89)&gt;0,J90,0))</f>
        <v>0</v>
      </c>
      <c r="K89" s="603">
        <f>IF($Y89=1,0,$X$7*(INT(K$6/$X89)-INT(J$6/$X89))-IF(SUM($B89:J89)&gt;0,K90,0))</f>
        <v>0</v>
      </c>
      <c r="L89" s="603">
        <f>IF($Y89=1,0,$X$7*(INT(L$6/$X89)-INT(K$6/$X89))-IF(SUM($B89:K89)&gt;0,L90,0))</f>
        <v>0</v>
      </c>
      <c r="M89" s="603">
        <f>IF($Y89=1,0,$X$7*(INT(M$6/$X89)-INT(L$6/$X89))-IF(SUM($B89:L89)&gt;0,M90,0))</f>
        <v>0</v>
      </c>
      <c r="N89" s="603">
        <f>IF($Y89=1,0,$X$7*(INT(N$6/$X89)-INT(M$6/$X89))-IF(SUM($B89:M89)&gt;0,N90,0))</f>
        <v>0</v>
      </c>
      <c r="O89" s="603">
        <f>IF($Y89=1,0,$X$7*(INT(O$6/$X89)-INT(N$6/$X89))-IF(SUM($B89:N89)&gt;0,O90,0))</f>
        <v>0</v>
      </c>
      <c r="P89" s="603">
        <f>IF($Y89=1,0,$X$7*(INT(P$6/$X89)-INT(O$6/$X89))-IF(SUM($B89:O89)&gt;0,P90,0))</f>
        <v>0</v>
      </c>
      <c r="Q89" s="603">
        <f>IF($Y89=1,0,$X$7*(INT(Q$6/$X89)-INT(P$6/$X89))-IF(SUM($B89:P89)&gt;0,Q90,0))</f>
        <v>0</v>
      </c>
      <c r="R89" s="603">
        <f>IF($Y89=1,0,$X$7*(INT(R$6/$X89)-INT(Q$6/$X89))-IF(SUM($B89:Q89)&gt;0,R90,0))</f>
        <v>0</v>
      </c>
      <c r="S89" s="603">
        <f>IF($Y89=1,0,$X$7*(INT(S$6/$X89)-INT(R$6/$X89))-IF(SUM($B89:R89)&gt;0,S90,0))</f>
        <v>0</v>
      </c>
      <c r="T89" s="603">
        <f>IF($Y89=1,0,$X$7*(INT(T$6/$X89)-INT(S$6/$X89))-IF(SUM($B89:S89)&gt;0,T90,0))</f>
        <v>0</v>
      </c>
      <c r="U89" s="603">
        <f>IF($Y89=1,0,$X$7*(INT(U$6/$X89)-INT(T$6/$X89))-IF(SUM($B89:T89)&gt;0,U90,0))</f>
        <v>0</v>
      </c>
      <c r="V89" s="603">
        <f>IF($Y89=1,0,$X$7*(INT(V$6/$X89)-INT(U$6/$X89))-IF(SUM($B89:U89)&gt;0,V90,0))</f>
        <v>0</v>
      </c>
      <c r="W89" s="728" t="str">
        <f xml:space="preserve"> 'GT schd cost(W501D5)'!A32</f>
        <v>Comp Diaphragms</v>
      </c>
      <c r="X89" s="678">
        <f>IF($AD$6=1,'GTDB(W501D5)'!B35,'GTDB(W501D5)'!G35)</f>
        <v>48000</v>
      </c>
      <c r="Y89" s="678">
        <f>IF($AD$6=1,'GTDB(W501D5)'!C35,'GTDB(W501D5)'!H35)</f>
        <v>2</v>
      </c>
      <c r="Z89" s="679">
        <v>1</v>
      </c>
      <c r="AA89" s="834">
        <f>'Initial_Spares(W501D5)'!$E$29</f>
        <v>0</v>
      </c>
      <c r="AB89" s="642">
        <f>'GT schd cost(W501D5)'!X32+'GT schd cost(W501D5)'!X58</f>
        <v>0</v>
      </c>
    </row>
    <row r="90" spans="1:28" s="102" customFormat="1">
      <c r="A90" s="140" t="s">
        <v>936</v>
      </c>
      <c r="B90" s="603" t="s">
        <v>278</v>
      </c>
      <c r="C90" s="603">
        <f>IF(INT(C$6/$X89)*$X$7&gt;C88*($X$7+$Z89)*$Y89,C88*($X$7+$Z89)-SUM($B90:B90),INT(C$6/$X89)*$X$7-C88*($X$7+$Z89)*($Y89-1)-SUM($B90:B90))+IF($Y89&gt;1,IF(INT(C$6/$X89)&gt;0,$Z89-$AA89,0),-$AA89)</f>
        <v>0</v>
      </c>
      <c r="D90" s="603">
        <f>IF(INT(D$6/$X89)*$X$7&gt;D88*($X$7+$Z89)*$Y89,D88*($X$7+$Z89)-SUM($B90:C90),INT(D$6/$X89)*$X$7-D88*($X$7+$Z89)*($Y89-1)-SUM($B90:C90))+IF($Y89&gt;1,IF(INT(D$6/$X89)&gt;0,$Z89-$AA89,0),-$AA89)</f>
        <v>0</v>
      </c>
      <c r="E90" s="603">
        <f>IF(INT(E$6/$X89)*$X$7&gt;E88*($X$7+$Z89)*$Y89,E88*($X$7+$Z89)-SUM($B90:D90),INT(E$6/$X89)*$X$7-E88*($X$7+$Z89)*($Y89-1)-SUM($B90:D90))+IF($Y89&gt;1,IF(INT(E$6/$X89)&gt;0,$Z89-$AA89,0),-$AA89)</f>
        <v>0</v>
      </c>
      <c r="F90" s="603">
        <f>IF(INT(F$6/$X89)*$X$7&gt;F88*($X$7+$Z89)*$Y89,F88*($X$7+$Z89)-SUM($B90:E90),INT(F$6/$X89)*$X$7-F88*($X$7+$Z89)*($Y89-1)-SUM($B90:E90))+IF($Y89&gt;1,IF(INT(F$6/$X89)&gt;0,$Z89-$AA89,0),-$AA89)</f>
        <v>0</v>
      </c>
      <c r="G90" s="603">
        <f>IF(INT(G$6/$X89)*$X$7&gt;G88*($X$7+$Z89)*$Y89,G88*($X$7+$Z89)-SUM($B90:F90),INT(G$6/$X89)*$X$7-G88*($X$7+$Z89)*($Y89-1)-SUM($B90:F90))+IF($Y89&gt;1,IF(INT(G$6/$X89)&gt;0,$Z89-$AA89,0),-$AA89)</f>
        <v>0</v>
      </c>
      <c r="H90" s="603">
        <f>IF(INT(H$6/$X89)*$X$7&gt;H88*($X$7+$Z89)*$Y89,H88*($X$7+$Z89)-SUM($B90:G90),INT(H$6/$X89)*$X$7-H88*($X$7+$Z89)*($Y89-1)-SUM($B90:G90))+IF($Y89&gt;1,IF(INT(H$6/$X89)&gt;0,$Z89-$AA89,0),-$AA89)</f>
        <v>0</v>
      </c>
      <c r="I90" s="603">
        <f>IF(INT(I$6/$X89)*$X$7&gt;I88*($X$7+$Z89)*$Y89,I88*($X$7+$Z89)-SUM($B90:H90),INT(I$6/$X89)*$X$7-I88*($X$7+$Z89)*($Y89-1)-SUM($B90:H90))+IF($Y89&gt;1,IF(INT(I$6/$X89)&gt;0,$Z89-$AA89,0),-$AA89)</f>
        <v>0</v>
      </c>
      <c r="J90" s="603">
        <f>IF(INT(J$6/$X89)*$X$7&gt;J88*($X$7+$Z89)*$Y89,J88*($X$7+$Z89)-SUM($B90:I90),INT(J$6/$X89)*$X$7-J88*($X$7+$Z89)*($Y89-1)-SUM($B90:I90))+IF($Y89&gt;1,IF(INT(J$6/$X89)&gt;0,$Z89-$AA89,0),-$AA89)</f>
        <v>0</v>
      </c>
      <c r="K90" s="603">
        <f>IF(INT(K$6/$X89)*$X$7&gt;K88*($X$7+$Z89)*$Y89,K88*($X$7+$Z89)-SUM($B90:J90),INT(K$6/$X89)*$X$7-K88*($X$7+$Z89)*($Y89-1)-SUM($B90:J90))+IF($Y89&gt;1,IF(INT(K$6/$X89)&gt;0,$Z89-$AA89,0),-$AA89)</f>
        <v>0</v>
      </c>
      <c r="L90" s="603">
        <f>IF(INT(L$6/$X89)*$X$7&gt;L88*($X$7+$Z89)*$Y89,L88*($X$7+$Z89)-SUM($B90:K90),INT(L$6/$X89)*$X$7-L88*($X$7+$Z89)*($Y89-1)-SUM($B90:K90))+IF($Y89&gt;1,IF(INT(L$6/$X89)&gt;0,$Z89-$AA89,0),-$AA89)</f>
        <v>0</v>
      </c>
      <c r="M90" s="603">
        <f>IF(INT(M$6/$X89)*$X$7&gt;M88*($X$7+$Z89)*$Y89,M88*($X$7+$Z89)-SUM($B90:L90),INT(M$6/$X89)*$X$7-M88*($X$7+$Z89)*($Y89-1)-SUM($B90:L90))+IF($Y89&gt;1,IF(INT(M$6/$X89)&gt;0,$Z89-$AA89,0),-$AA89)</f>
        <v>0</v>
      </c>
      <c r="N90" s="603">
        <f>IF(INT(N$6/$X89)*$X$7&gt;N88*($X$7+$Z89)*$Y89,N88*($X$7+$Z89)-SUM($B90:M90),INT(N$6/$X89)*$X$7-N88*($X$7+$Z89)*($Y89-1)-SUM($B90:M90))+IF($Y89&gt;1,IF(INT(N$6/$X89)&gt;0,$Z89-$AA89,0),-$AA89)</f>
        <v>0</v>
      </c>
      <c r="O90" s="603">
        <f>IF(INT(O$6/$X89)*$X$7&gt;O88*($X$7+$Z89)*$Y89,O88*($X$7+$Z89)-SUM($B90:N90),INT(O$6/$X89)*$X$7-O88*($X$7+$Z89)*($Y89-1)-SUM($B90:N90))+IF($Y89&gt;1,IF(INT(O$6/$X89)&gt;0,$Z89-$AA89,0),-$AA89)</f>
        <v>0</v>
      </c>
      <c r="P90" s="603">
        <f>IF(INT(P$6/$X89)*$X$7&gt;P88*($X$7+$Z89)*$Y89,P88*($X$7+$Z89)-SUM($B90:O90),INT(P$6/$X89)*$X$7-P88*($X$7+$Z89)*($Y89-1)-SUM($B90:O90))+IF($Y89&gt;1,IF(INT(P$6/$X89)&gt;0,$Z89-$AA89,0),-$AA89)</f>
        <v>0</v>
      </c>
      <c r="Q90" s="603">
        <f>IF(INT(Q$6/$X89)*$X$7&gt;Q88*($X$7+$Z89)*$Y89,Q88*($X$7+$Z89)-SUM($B90:P90),INT(Q$6/$X89)*$X$7-Q88*($X$7+$Z89)*($Y89-1)-SUM($B90:P90))+IF($Y89&gt;1,IF(INT(Q$6/$X89)&gt;0,$Z89-$AA89,0),-$AA89)</f>
        <v>0</v>
      </c>
      <c r="R90" s="603">
        <f>IF(INT(R$6/$X89)*$X$7&gt;R88*($X$7+$Z89)*$Y89,R88*($X$7+$Z89)-SUM($B90:Q90),INT(R$6/$X89)*$X$7-R88*($X$7+$Z89)*($Y89-1)-SUM($B90:Q90))+IF($Y89&gt;1,IF(INT(R$6/$X89)&gt;0,$Z89-$AA89,0),-$AA89)</f>
        <v>0</v>
      </c>
      <c r="S90" s="603">
        <f>IF(INT(S$6/$X89)*$X$7&gt;S88*($X$7+$Z89)*$Y89,S88*($X$7+$Z89)-SUM($B90:R90),INT(S$6/$X89)*$X$7-S88*($X$7+$Z89)*($Y89-1)-SUM($B90:R90))+IF($Y89&gt;1,IF(INT(S$6/$X89)&gt;0,$Z89-$AA89,0),-$AA89)</f>
        <v>0</v>
      </c>
      <c r="T90" s="603">
        <f>IF(INT(T$6/$X89)*$X$7&gt;T88*($X$7+$Z89)*$Y89,T88*($X$7+$Z89)-SUM($B90:S90),INT(T$6/$X89)*$X$7-T88*($X$7+$Z89)*($Y89-1)-SUM($B90:S90))+IF($Y89&gt;1,IF(INT(T$6/$X89)&gt;0,$Z89-$AA89,0),-$AA89)</f>
        <v>0</v>
      </c>
      <c r="U90" s="603">
        <f>IF(INT(U$6/$X89)*$X$7&gt;U88*($X$7+$Z89)*$Y89,U88*($X$7+$Z89)-SUM($B90:T90),INT(U$6/$X89)*$X$7-U88*($X$7+$Z89)*($Y89-1)-SUM($B90:T90))+IF($Y89&gt;1,IF(INT(U$6/$X89)&gt;0,$Z89-$AA89,0),-$AA89)</f>
        <v>0</v>
      </c>
      <c r="V90" s="603">
        <f>IF(INT(V$6/$X89)*$X$7&gt;V88*($X$7+$Z89)*$Y89,V88*($X$7+$Z89)-SUM($B90:U90),INT(V$6/$X89)*$X$7-V88*($X$7+$Z89)*($Y89-1)-SUM($B90:U90))+IF($Y89&gt;1,IF(INT(V$6/$X89)&gt;0,$Z89-$AA89,0),-$AA89)</f>
        <v>0</v>
      </c>
      <c r="W90" s="78"/>
      <c r="X90"/>
      <c r="Y90"/>
    </row>
    <row r="91" spans="1:28" s="102" customFormat="1">
      <c r="X91" s="663"/>
    </row>
    <row r="92" spans="1:28" s="102" customFormat="1" hidden="1">
      <c r="A92" s="140" t="s">
        <v>934</v>
      </c>
      <c r="B92" s="603"/>
      <c r="C92" s="140" t="e">
        <f>INT((INT(C$6/#REF!)*$X$7+$X$7+#REF!-1)/($X$7+#REF!)/#REF!)</f>
        <v>#REF!</v>
      </c>
      <c r="D92" s="140" t="e">
        <f>INT((INT(D$6/#REF!)*$X$7+$X$7+#REF!-1)/($X$7+#REF!)/#REF!)</f>
        <v>#REF!</v>
      </c>
      <c r="E92" s="140" t="e">
        <f>INT((INT(E$6/#REF!)*$X$7+$X$7+#REF!-1)/($X$7+#REF!)/#REF!)</f>
        <v>#REF!</v>
      </c>
      <c r="F92" s="140" t="e">
        <f>INT((INT(F$6/#REF!)*$X$7+$X$7+#REF!-1)/($X$7+#REF!)/#REF!)</f>
        <v>#REF!</v>
      </c>
      <c r="G92" s="140" t="e">
        <f>INT((INT(G$6/#REF!)*$X$7+$X$7+#REF!-1)/($X$7+#REF!)/#REF!)</f>
        <v>#REF!</v>
      </c>
      <c r="H92" s="140" t="e">
        <f>INT((INT(H$6/#REF!)*$X$7+$X$7+#REF!-1)/($X$7+#REF!)/#REF!)</f>
        <v>#REF!</v>
      </c>
      <c r="I92" s="140" t="e">
        <f>INT((INT(I$6/#REF!)*$X$7+$X$7+#REF!-1)/($X$7+#REF!)/#REF!)</f>
        <v>#REF!</v>
      </c>
      <c r="J92" s="140" t="e">
        <f>INT((INT(J$6/#REF!)*$X$7+$X$7+#REF!-1)/($X$7+#REF!)/#REF!)</f>
        <v>#REF!</v>
      </c>
      <c r="K92" s="140" t="e">
        <f>INT((INT(K$6/#REF!)*$X$7+$X$7+#REF!-1)/($X$7+#REF!)/#REF!)</f>
        <v>#REF!</v>
      </c>
      <c r="L92" s="140" t="e">
        <f>INT((INT(L$6/#REF!)*$X$7+$X$7+#REF!-1)/($X$7+#REF!)/#REF!)</f>
        <v>#REF!</v>
      </c>
      <c r="M92" s="140" t="e">
        <f>INT((INT(M$6/#REF!)*$X$7+$X$7+#REF!-1)/($X$7+#REF!)/#REF!)</f>
        <v>#REF!</v>
      </c>
      <c r="N92" s="140" t="e">
        <f>INT((INT(N$6/#REF!)*$X$7+$X$7+#REF!-1)/($X$7+#REF!)/#REF!)</f>
        <v>#REF!</v>
      </c>
      <c r="O92" s="140" t="e">
        <f>INT((INT(O$6/#REF!)*$X$7+$X$7+#REF!-1)/($X$7+#REF!)/#REF!)</f>
        <v>#REF!</v>
      </c>
      <c r="P92" s="140" t="e">
        <f>INT((INT(P$6/#REF!)*$X$7+$X$7+#REF!-1)/($X$7+#REF!)/#REF!)</f>
        <v>#REF!</v>
      </c>
      <c r="Q92" s="140" t="e">
        <f>INT((INT(Q$6/#REF!)*$X$7+$X$7+#REF!-1)/($X$7+#REF!)/#REF!)</f>
        <v>#REF!</v>
      </c>
      <c r="R92" s="140" t="e">
        <f>INT((INT(R$6/#REF!)*$X$7+$X$7+#REF!-1)/($X$7+#REF!)/#REF!)</f>
        <v>#REF!</v>
      </c>
      <c r="S92" s="140" t="e">
        <f>INT((INT(S$6/#REF!)*$X$7+$X$7+#REF!-1)/($X$7+#REF!)/#REF!)</f>
        <v>#REF!</v>
      </c>
      <c r="T92" s="140" t="e">
        <f>INT((INT(T$6/#REF!)*$X$7+$X$7+#REF!-1)/($X$7+#REF!)/#REF!)</f>
        <v>#REF!</v>
      </c>
      <c r="U92" s="140" t="e">
        <f>INT((INT(U$6/#REF!)*$X$7+$X$7+#REF!-1)/($X$7+#REF!)/#REF!)</f>
        <v>#REF!</v>
      </c>
      <c r="V92" s="140" t="e">
        <f>INT((INT(V$6/#REF!)*$X$7+$X$7+#REF!-1)/($X$7+#REF!)/#REF!)</f>
        <v>#REF!</v>
      </c>
    </row>
  </sheetData>
  <pageMargins left="0.75" right="0.75" top="1" bottom="1" header="0.5" footer="0.5"/>
  <pageSetup scale="47" firstPageNumber="34" orientation="landscape" useFirstPageNumber="1" horizontalDpi="4294967292" r:id="rId1"/>
  <headerFooter alignWithMargins="0">
    <oddHeader>&amp;LHERMOSILLO</oddHeader>
    <oddFooter xml:space="preserve">&amp;Ldkwok&amp;C
&amp;R&amp;F
</oddFooter>
  </headerFooter>
  <rowBreaks count="1" manualBreakCount="1">
    <brk id="74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Option Button 1">
              <controlPr defaultSize="0" autoFill="0" autoLine="0" autoPict="0">
                <anchor moveWithCells="1">
                  <from>
                    <xdr:col>26</xdr:col>
                    <xdr:colOff>123825</xdr:colOff>
                    <xdr:row>4</xdr:row>
                    <xdr:rowOff>76200</xdr:rowOff>
                  </from>
                  <to>
                    <xdr:col>27</xdr:col>
                    <xdr:colOff>647700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Option Button 2">
              <controlPr defaultSize="0" autoFill="0" autoLine="0" autoPict="0">
                <anchor moveWithCells="1">
                  <from>
                    <xdr:col>26</xdr:col>
                    <xdr:colOff>142875</xdr:colOff>
                    <xdr:row>5</xdr:row>
                    <xdr:rowOff>161925</xdr:rowOff>
                  </from>
                  <to>
                    <xdr:col>27</xdr:col>
                    <xdr:colOff>523875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2:P49"/>
  <sheetViews>
    <sheetView topLeftCell="A3" zoomScale="75" zoomScaleNormal="100" workbookViewId="0">
      <selection activeCell="A46" sqref="A46"/>
    </sheetView>
  </sheetViews>
  <sheetFormatPr defaultRowHeight="12.75"/>
  <cols>
    <col min="1" max="1" width="26" customWidth="1"/>
    <col min="2" max="2" width="10.140625" bestFit="1" customWidth="1"/>
    <col min="7" max="7" width="9.28515625" customWidth="1"/>
  </cols>
  <sheetData>
    <row r="2" spans="1:13" ht="21" customHeight="1">
      <c r="A2" s="685" t="s">
        <v>937</v>
      </c>
      <c r="B2" s="102"/>
      <c r="C2" s="102"/>
      <c r="D2" s="102"/>
      <c r="E2" s="102"/>
    </row>
    <row r="3" spans="1:13" ht="11.25" customHeight="1">
      <c r="A3" s="685"/>
      <c r="B3" s="102"/>
      <c r="C3" s="102"/>
      <c r="D3" s="102"/>
      <c r="E3" s="102"/>
    </row>
    <row r="4" spans="1:13">
      <c r="A4" s="615" t="s">
        <v>938</v>
      </c>
      <c r="B4" s="686" t="s">
        <v>620</v>
      </c>
      <c r="C4" s="686"/>
      <c r="D4" s="102"/>
      <c r="E4" s="102"/>
    </row>
    <row r="5" spans="1:13">
      <c r="A5" s="615" t="s">
        <v>939</v>
      </c>
      <c r="B5" s="686" t="s">
        <v>620</v>
      </c>
      <c r="C5" s="686"/>
      <c r="D5" s="102"/>
      <c r="E5" s="102" t="s">
        <v>278</v>
      </c>
    </row>
    <row r="6" spans="1:13">
      <c r="A6" s="615" t="s">
        <v>940</v>
      </c>
      <c r="B6" s="720">
        <v>36663</v>
      </c>
      <c r="C6" s="102"/>
      <c r="D6" s="102"/>
      <c r="E6" s="102" t="s">
        <v>278</v>
      </c>
    </row>
    <row r="7" spans="1:13">
      <c r="A7" s="615" t="s">
        <v>941</v>
      </c>
      <c r="B7" s="102" t="s">
        <v>1011</v>
      </c>
      <c r="C7" s="102"/>
      <c r="D7" s="102"/>
      <c r="E7" s="102"/>
    </row>
    <row r="8" spans="1:13">
      <c r="A8" s="615" t="s">
        <v>278</v>
      </c>
      <c r="B8" s="102"/>
      <c r="C8" s="102"/>
      <c r="D8" s="102"/>
      <c r="E8" s="102"/>
    </row>
    <row r="9" spans="1:13">
      <c r="A9" s="615" t="s">
        <v>278</v>
      </c>
      <c r="B9" s="102" t="s">
        <v>278</v>
      </c>
      <c r="C9" s="102"/>
      <c r="D9" s="102"/>
      <c r="E9" s="102"/>
    </row>
    <row r="10" spans="1:13" s="687" customFormat="1"/>
    <row r="11" spans="1:13" s="687" customFormat="1" ht="26.25" thickBot="1">
      <c r="A11" s="688" t="s">
        <v>278</v>
      </c>
      <c r="B11" s="688" t="s">
        <v>942</v>
      </c>
      <c r="C11" s="688" t="s">
        <v>943</v>
      </c>
      <c r="D11" s="688" t="s">
        <v>944</v>
      </c>
      <c r="G11" s="688" t="s">
        <v>945</v>
      </c>
    </row>
    <row r="12" spans="1:13">
      <c r="A12" s="689" t="s">
        <v>946</v>
      </c>
      <c r="B12" s="690">
        <v>8000</v>
      </c>
      <c r="C12" s="716">
        <v>106</v>
      </c>
      <c r="D12" s="716">
        <v>90.1</v>
      </c>
      <c r="G12" s="690">
        <v>400</v>
      </c>
    </row>
    <row r="13" spans="1:13">
      <c r="A13" s="140" t="s">
        <v>947</v>
      </c>
      <c r="B13" s="691">
        <v>24000</v>
      </c>
      <c r="C13" s="648">
        <v>212</v>
      </c>
      <c r="D13" s="648">
        <v>121.9</v>
      </c>
      <c r="G13" s="691">
        <v>800</v>
      </c>
    </row>
    <row r="14" spans="1:13">
      <c r="A14" s="140" t="s">
        <v>948</v>
      </c>
      <c r="B14" s="691">
        <v>48000</v>
      </c>
      <c r="C14" s="648">
        <v>598.9</v>
      </c>
      <c r="D14" s="648">
        <v>174.9</v>
      </c>
      <c r="G14" s="691">
        <v>2400</v>
      </c>
      <c r="M14" s="670"/>
    </row>
    <row r="16" spans="1:13" s="687" customFormat="1" ht="39" thickBot="1">
      <c r="A16" s="692" t="s">
        <v>949</v>
      </c>
      <c r="B16" s="692" t="s">
        <v>950</v>
      </c>
      <c r="C16" s="692" t="s">
        <v>951</v>
      </c>
      <c r="D16" s="692" t="s">
        <v>952</v>
      </c>
      <c r="E16" s="692" t="s">
        <v>953</v>
      </c>
      <c r="F16" s="693"/>
      <c r="G16" s="688" t="s">
        <v>954</v>
      </c>
      <c r="H16" s="688" t="s">
        <v>955</v>
      </c>
    </row>
    <row r="17" spans="1:16">
      <c r="A17" s="729" t="s">
        <v>327</v>
      </c>
      <c r="B17" s="730">
        <v>8000</v>
      </c>
      <c r="C17" s="730">
        <v>6</v>
      </c>
      <c r="D17" s="729">
        <v>57.96</v>
      </c>
      <c r="E17" s="729">
        <v>259.85399999999998</v>
      </c>
      <c r="F17" s="663"/>
      <c r="G17" s="699">
        <v>400</v>
      </c>
      <c r="H17" s="731">
        <v>4</v>
      </c>
      <c r="L17" s="670"/>
    </row>
    <row r="18" spans="1:16">
      <c r="A18" s="697" t="s">
        <v>774</v>
      </c>
      <c r="B18" s="698">
        <v>8000</v>
      </c>
      <c r="C18" s="698">
        <v>6</v>
      </c>
      <c r="D18" s="697">
        <v>105.65</v>
      </c>
      <c r="E18" s="697">
        <v>335.46800000000002</v>
      </c>
      <c r="F18" s="663"/>
      <c r="G18" s="699">
        <v>400</v>
      </c>
      <c r="H18" s="700">
        <v>4</v>
      </c>
      <c r="P18" s="670"/>
    </row>
    <row r="19" spans="1:16">
      <c r="A19" s="697" t="s">
        <v>328</v>
      </c>
      <c r="B19" s="698">
        <v>8000</v>
      </c>
      <c r="C19" s="698">
        <v>3</v>
      </c>
      <c r="D19" s="697">
        <v>15</v>
      </c>
      <c r="E19" s="697">
        <v>48.173999999999999</v>
      </c>
      <c r="F19" s="663"/>
      <c r="G19" s="699">
        <v>400</v>
      </c>
      <c r="H19" s="700">
        <v>2</v>
      </c>
    </row>
    <row r="20" spans="1:16">
      <c r="A20" s="697" t="s">
        <v>956</v>
      </c>
      <c r="B20" s="698">
        <v>8000</v>
      </c>
      <c r="C20" s="698">
        <v>12</v>
      </c>
      <c r="D20" s="697">
        <v>92.3</v>
      </c>
      <c r="E20" s="697">
        <v>522.34</v>
      </c>
      <c r="F20" s="663"/>
      <c r="G20" s="699">
        <v>400</v>
      </c>
      <c r="H20" s="700">
        <v>8</v>
      </c>
    </row>
    <row r="21" spans="1:16">
      <c r="A21" s="697" t="s">
        <v>329</v>
      </c>
      <c r="B21" s="698">
        <v>8000</v>
      </c>
      <c r="C21" s="698">
        <v>8</v>
      </c>
      <c r="D21" s="697">
        <v>14.7</v>
      </c>
      <c r="E21" s="697">
        <v>92.4</v>
      </c>
      <c r="F21" s="663"/>
      <c r="G21" s="699">
        <v>400</v>
      </c>
      <c r="H21" s="700">
        <v>5</v>
      </c>
    </row>
    <row r="22" spans="1:16">
      <c r="A22" s="650" t="s">
        <v>330</v>
      </c>
      <c r="B22" s="701">
        <v>24000</v>
      </c>
      <c r="C22" s="701">
        <v>2</v>
      </c>
      <c r="D22" s="650">
        <v>73.5</v>
      </c>
      <c r="E22" s="650">
        <v>459.67500000000001</v>
      </c>
      <c r="F22" s="663"/>
      <c r="G22" s="702">
        <v>800</v>
      </c>
      <c r="H22" s="703">
        <v>2</v>
      </c>
    </row>
    <row r="23" spans="1:16">
      <c r="A23" s="650" t="s">
        <v>331</v>
      </c>
      <c r="B23" s="701">
        <v>24000</v>
      </c>
      <c r="C23" s="701">
        <v>3</v>
      </c>
      <c r="D23" s="650">
        <v>68.400000000000006</v>
      </c>
      <c r="E23" s="650">
        <v>435.44499999999999</v>
      </c>
      <c r="F23" s="663"/>
      <c r="G23" s="702">
        <v>800</v>
      </c>
      <c r="H23" s="703">
        <v>3</v>
      </c>
      <c r="K23" s="670"/>
    </row>
    <row r="24" spans="1:16">
      <c r="A24" s="710" t="s">
        <v>332</v>
      </c>
      <c r="B24" s="711">
        <v>48000</v>
      </c>
      <c r="C24" s="711">
        <v>2</v>
      </c>
      <c r="D24" s="710">
        <v>56.7</v>
      </c>
      <c r="E24" s="710">
        <v>506.66</v>
      </c>
      <c r="F24" s="663"/>
      <c r="G24" s="713">
        <v>1600</v>
      </c>
      <c r="H24" s="715">
        <v>2</v>
      </c>
    </row>
    <row r="25" spans="1:16">
      <c r="A25" s="710" t="s">
        <v>333</v>
      </c>
      <c r="B25" s="711">
        <v>48000</v>
      </c>
      <c r="C25" s="711">
        <v>2</v>
      </c>
      <c r="D25" s="710">
        <v>79.17</v>
      </c>
      <c r="E25" s="710">
        <v>627.86099999999999</v>
      </c>
      <c r="F25" s="663"/>
      <c r="G25" s="713">
        <v>1600</v>
      </c>
      <c r="H25" s="715">
        <v>2</v>
      </c>
    </row>
    <row r="26" spans="1:16">
      <c r="A26" s="650" t="s">
        <v>334</v>
      </c>
      <c r="B26" s="701">
        <v>24000</v>
      </c>
      <c r="C26" s="701">
        <v>2</v>
      </c>
      <c r="D26" s="650">
        <v>105.36</v>
      </c>
      <c r="E26" s="650">
        <v>785.952</v>
      </c>
      <c r="F26" s="663"/>
      <c r="G26" s="702">
        <v>800</v>
      </c>
      <c r="H26" s="703">
        <v>2</v>
      </c>
    </row>
    <row r="27" spans="1:16">
      <c r="A27" s="650" t="s">
        <v>335</v>
      </c>
      <c r="B27" s="701">
        <v>24000</v>
      </c>
      <c r="C27" s="701">
        <v>3</v>
      </c>
      <c r="D27" s="650">
        <v>84.68</v>
      </c>
      <c r="E27" s="650">
        <v>568.976</v>
      </c>
      <c r="F27" s="663"/>
      <c r="G27" s="702">
        <v>800</v>
      </c>
      <c r="H27" s="703">
        <v>3</v>
      </c>
    </row>
    <row r="28" spans="1:16">
      <c r="A28" s="710" t="s">
        <v>336</v>
      </c>
      <c r="B28" s="711">
        <v>48000</v>
      </c>
      <c r="C28" s="711">
        <v>2</v>
      </c>
      <c r="D28" s="710">
        <v>77.400000000000006</v>
      </c>
      <c r="E28" s="710">
        <v>619.22</v>
      </c>
      <c r="F28" s="663"/>
      <c r="G28" s="702">
        <v>800</v>
      </c>
      <c r="H28" s="703">
        <v>4</v>
      </c>
      <c r="K28" s="670"/>
    </row>
    <row r="29" spans="1:16">
      <c r="A29" s="710" t="s">
        <v>337</v>
      </c>
      <c r="B29" s="711">
        <v>48000</v>
      </c>
      <c r="C29" s="711">
        <v>2</v>
      </c>
      <c r="D29" s="710">
        <v>70.95</v>
      </c>
      <c r="E29" s="710">
        <v>709.60400000000004</v>
      </c>
      <c r="F29" s="663"/>
      <c r="G29" s="713">
        <v>1600</v>
      </c>
      <c r="H29" s="715">
        <v>2</v>
      </c>
    </row>
    <row r="30" spans="1:16">
      <c r="A30" s="650" t="s">
        <v>338</v>
      </c>
      <c r="B30" s="701">
        <v>24000</v>
      </c>
      <c r="C30" s="701">
        <v>2</v>
      </c>
      <c r="D30" s="650">
        <v>14.5</v>
      </c>
      <c r="E30" s="650">
        <v>106.36799999999999</v>
      </c>
      <c r="F30" s="663"/>
      <c r="G30" s="702">
        <v>800</v>
      </c>
      <c r="H30" s="703">
        <v>2</v>
      </c>
    </row>
    <row r="31" spans="1:16">
      <c r="A31" s="650" t="s">
        <v>339</v>
      </c>
      <c r="B31" s="701">
        <v>24000</v>
      </c>
      <c r="C31" s="701">
        <v>2</v>
      </c>
      <c r="D31" s="650">
        <v>14.5</v>
      </c>
      <c r="E31" s="650">
        <v>108.624</v>
      </c>
      <c r="F31" s="663"/>
      <c r="G31" s="702">
        <v>800</v>
      </c>
      <c r="H31" s="703">
        <v>2</v>
      </c>
    </row>
    <row r="32" spans="1:16">
      <c r="A32" s="710" t="s">
        <v>340</v>
      </c>
      <c r="B32" s="711">
        <v>48000</v>
      </c>
      <c r="C32" s="711">
        <v>1.5</v>
      </c>
      <c r="D32" s="710">
        <v>13</v>
      </c>
      <c r="E32" s="710">
        <v>64.739999999999995</v>
      </c>
      <c r="F32" s="663"/>
      <c r="G32" s="713">
        <v>1600</v>
      </c>
      <c r="H32" s="732">
        <v>1.5</v>
      </c>
    </row>
    <row r="33" spans="1:8">
      <c r="A33" s="710" t="s">
        <v>341</v>
      </c>
      <c r="B33" s="711">
        <v>48000</v>
      </c>
      <c r="C33" s="711">
        <v>2</v>
      </c>
      <c r="D33" s="710">
        <v>13</v>
      </c>
      <c r="E33" s="710">
        <v>66.135999999999996</v>
      </c>
      <c r="F33" s="663"/>
      <c r="G33" s="713">
        <v>1600</v>
      </c>
      <c r="H33" s="732">
        <v>2</v>
      </c>
    </row>
    <row r="34" spans="1:8">
      <c r="A34" s="710" t="s">
        <v>342</v>
      </c>
      <c r="B34" s="711">
        <v>48000</v>
      </c>
      <c r="C34" s="711">
        <v>2</v>
      </c>
      <c r="D34" s="710">
        <v>63</v>
      </c>
      <c r="E34" s="710">
        <v>606.92200000000003</v>
      </c>
      <c r="F34" s="663"/>
      <c r="G34" s="713">
        <v>1600</v>
      </c>
      <c r="H34" s="732">
        <v>2</v>
      </c>
    </row>
    <row r="35" spans="1:8">
      <c r="A35" s="710" t="s">
        <v>343</v>
      </c>
      <c r="B35" s="711">
        <v>48000</v>
      </c>
      <c r="C35" s="711">
        <v>2</v>
      </c>
      <c r="D35" s="710">
        <v>63</v>
      </c>
      <c r="E35" s="710">
        <v>1725.86</v>
      </c>
      <c r="F35" s="663"/>
      <c r="G35" s="713">
        <v>1600</v>
      </c>
      <c r="H35" s="732">
        <v>2</v>
      </c>
    </row>
    <row r="36" spans="1:8" hidden="1">
      <c r="A36" s="641"/>
      <c r="B36" s="696"/>
      <c r="C36" s="696"/>
      <c r="D36" s="691"/>
      <c r="E36" s="641"/>
      <c r="F36" s="663"/>
      <c r="G36" s="691">
        <v>9999999</v>
      </c>
      <c r="H36" s="691">
        <v>999</v>
      </c>
    </row>
    <row r="37" spans="1:8" hidden="1">
      <c r="A37" s="641"/>
      <c r="B37" s="696"/>
      <c r="C37" s="696"/>
      <c r="D37" s="691"/>
      <c r="E37" s="641"/>
      <c r="F37" s="663"/>
      <c r="G37" s="691">
        <v>9999999</v>
      </c>
      <c r="H37" s="691">
        <v>999</v>
      </c>
    </row>
    <row r="38" spans="1:8" hidden="1">
      <c r="A38" s="733"/>
      <c r="B38" s="698"/>
      <c r="C38" s="698"/>
      <c r="D38" s="734"/>
      <c r="E38" s="697"/>
      <c r="F38" s="663"/>
      <c r="G38" s="734">
        <v>9999999</v>
      </c>
      <c r="H38" s="734">
        <v>999</v>
      </c>
    </row>
    <row r="39" spans="1:8" hidden="1">
      <c r="A39" s="733"/>
      <c r="B39" s="698"/>
      <c r="C39" s="698"/>
      <c r="D39" s="734"/>
      <c r="E39" s="734"/>
      <c r="F39" s="663"/>
      <c r="G39" s="734">
        <v>9999999</v>
      </c>
      <c r="H39" s="734">
        <v>999</v>
      </c>
    </row>
    <row r="40" spans="1:8" hidden="1">
      <c r="A40" s="734"/>
      <c r="B40" s="698"/>
      <c r="C40" s="698"/>
      <c r="D40" s="734"/>
      <c r="E40" s="734"/>
      <c r="F40" s="663"/>
      <c r="G40" s="734">
        <v>9999999</v>
      </c>
      <c r="H40" s="734">
        <v>999</v>
      </c>
    </row>
    <row r="41" spans="1:8" hidden="1">
      <c r="A41" s="650"/>
      <c r="B41" s="701"/>
      <c r="C41" s="701"/>
      <c r="D41" s="650"/>
      <c r="E41" s="650"/>
      <c r="F41" s="663"/>
      <c r="G41" s="705">
        <v>9999999</v>
      </c>
      <c r="H41" s="705">
        <v>999</v>
      </c>
    </row>
    <row r="42" spans="1:8" hidden="1">
      <c r="A42" s="650"/>
      <c r="B42" s="701"/>
      <c r="C42" s="701"/>
      <c r="D42" s="650"/>
      <c r="E42" s="650"/>
      <c r="F42" s="663"/>
      <c r="G42" s="705">
        <v>9999999</v>
      </c>
      <c r="H42" s="705">
        <v>999</v>
      </c>
    </row>
    <row r="43" spans="1:8" hidden="1">
      <c r="A43" s="650"/>
      <c r="B43" s="701"/>
      <c r="C43" s="701"/>
      <c r="D43" s="650"/>
      <c r="E43" s="650"/>
      <c r="F43" s="663"/>
      <c r="G43" s="705">
        <v>9999999</v>
      </c>
      <c r="H43" s="705">
        <v>999</v>
      </c>
    </row>
    <row r="45" spans="1:8">
      <c r="A45" s="706" t="s">
        <v>957</v>
      </c>
      <c r="B45" s="707"/>
      <c r="C45" s="707"/>
      <c r="D45" s="707"/>
      <c r="E45" s="708"/>
    </row>
    <row r="46" spans="1:8">
      <c r="A46" s="152" t="s">
        <v>97</v>
      </c>
      <c r="B46" s="102"/>
      <c r="C46" s="102"/>
      <c r="D46" s="102"/>
      <c r="E46" s="80"/>
    </row>
    <row r="47" spans="1:8">
      <c r="A47" s="152"/>
      <c r="B47" s="102"/>
      <c r="C47" s="102"/>
      <c r="D47" s="102"/>
      <c r="E47" s="80"/>
    </row>
    <row r="48" spans="1:8">
      <c r="A48" s="152"/>
      <c r="B48" s="102"/>
      <c r="C48" s="102"/>
      <c r="D48" s="102"/>
      <c r="E48" s="80"/>
    </row>
    <row r="49" spans="1:5">
      <c r="A49" s="709"/>
      <c r="B49" s="617"/>
      <c r="C49" s="617"/>
      <c r="D49" s="617"/>
      <c r="E49" s="618"/>
    </row>
  </sheetData>
  <pageMargins left="0.75" right="0.75" top="1" bottom="1" header="0.5" footer="0.5"/>
  <pageSetup scale="92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1">
    <pageSetUpPr fitToPage="1"/>
  </sheetPr>
  <dimension ref="A2:X76"/>
  <sheetViews>
    <sheetView topLeftCell="A28" zoomScale="75" zoomScaleNormal="75" workbookViewId="0">
      <selection activeCell="D14" sqref="D14"/>
    </sheetView>
  </sheetViews>
  <sheetFormatPr defaultRowHeight="12.75"/>
  <cols>
    <col min="1" max="1" width="18.28515625" style="640" customWidth="1"/>
    <col min="2" max="2" width="10.28515625" customWidth="1"/>
    <col min="3" max="4" width="9.28515625" bestFit="1" customWidth="1"/>
    <col min="24" max="24" width="9.85546875" style="635" bestFit="1" customWidth="1"/>
  </cols>
  <sheetData>
    <row r="2" spans="1:24" ht="18">
      <c r="A2" s="722" t="str">
        <f>CONCATENATE('rotation(W501D5A)'!X7,"x","W501D5A GT Scheduled Maintenance  Cost")</f>
        <v>0xW501D5A GT Scheduled Maintenance  Cost</v>
      </c>
      <c r="B2" s="374"/>
    </row>
    <row r="4" spans="1:24">
      <c r="A4" s="636" t="s">
        <v>1220</v>
      </c>
      <c r="B4" s="140"/>
      <c r="C4" s="140"/>
      <c r="D4" s="140">
        <v>1</v>
      </c>
      <c r="E4" s="140">
        <v>2</v>
      </c>
      <c r="F4" s="140">
        <v>3</v>
      </c>
      <c r="G4" s="140">
        <v>4</v>
      </c>
      <c r="H4" s="140">
        <v>5</v>
      </c>
      <c r="I4" s="140">
        <v>6</v>
      </c>
      <c r="J4" s="140">
        <v>7</v>
      </c>
      <c r="K4" s="140">
        <v>8</v>
      </c>
      <c r="L4" s="140">
        <v>9</v>
      </c>
      <c r="M4" s="140">
        <v>10</v>
      </c>
      <c r="N4" s="140">
        <v>11</v>
      </c>
      <c r="O4" s="140">
        <v>12</v>
      </c>
      <c r="P4" s="140">
        <v>13</v>
      </c>
      <c r="Q4" s="140">
        <v>14</v>
      </c>
      <c r="R4" s="140">
        <v>15</v>
      </c>
      <c r="S4" s="140">
        <v>16</v>
      </c>
      <c r="T4" s="140">
        <v>17</v>
      </c>
      <c r="U4" s="140">
        <v>18</v>
      </c>
      <c r="V4" s="140">
        <v>19</v>
      </c>
      <c r="W4" s="140">
        <v>20</v>
      </c>
      <c r="X4" s="635" t="s">
        <v>898</v>
      </c>
    </row>
    <row r="5" spans="1:24">
      <c r="A5" s="636" t="s">
        <v>1226</v>
      </c>
      <c r="B5" s="140"/>
      <c r="C5" s="140"/>
      <c r="D5" s="637" t="str">
        <f>CONCATENATE('rotation(W501D5A)'!C$12,'rotation(W501D5A)'!C$13,'rotation(W501D5A)'!C$14)</f>
        <v xml:space="preserve">   </v>
      </c>
      <c r="E5" s="637" t="str">
        <f>CONCATENATE('rotation(W501D5A)'!D$12,'rotation(W501D5A)'!D$13,'rotation(W501D5A)'!D$14)</f>
        <v xml:space="preserve">   </v>
      </c>
      <c r="F5" s="637" t="str">
        <f>CONCATENATE('rotation(W501D5A)'!E$12,'rotation(W501D5A)'!E$13,'rotation(W501D5A)'!E$14)</f>
        <v xml:space="preserve">   </v>
      </c>
      <c r="G5" s="637" t="str">
        <f>CONCATENATE('rotation(W501D5A)'!F$12,'rotation(W501D5A)'!F$13,'rotation(W501D5A)'!F$14)</f>
        <v xml:space="preserve">   </v>
      </c>
      <c r="H5" s="637" t="str">
        <f>CONCATENATE('rotation(W501D5A)'!G$12,'rotation(W501D5A)'!G$13,'rotation(W501D5A)'!G$14)</f>
        <v xml:space="preserve">   </v>
      </c>
      <c r="I5" s="637" t="str">
        <f>CONCATENATE('rotation(W501D5A)'!H$12,'rotation(W501D5A)'!H$13,'rotation(W501D5A)'!H$14)</f>
        <v xml:space="preserve">   </v>
      </c>
      <c r="J5" s="637" t="str">
        <f>CONCATENATE('rotation(W501D5A)'!I$12,'rotation(W501D5A)'!I$13,'rotation(W501D5A)'!I$14)</f>
        <v xml:space="preserve">   </v>
      </c>
      <c r="K5" s="637" t="str">
        <f>CONCATENATE('rotation(W501D5A)'!J$12,'rotation(W501D5A)'!J$13,'rotation(W501D5A)'!J$14)</f>
        <v xml:space="preserve">   </v>
      </c>
      <c r="L5" s="637" t="str">
        <f>CONCATENATE('rotation(W501D5A)'!K$12,'rotation(W501D5A)'!K$13,'rotation(W501D5A)'!K$14)</f>
        <v xml:space="preserve">   </v>
      </c>
      <c r="M5" s="637" t="str">
        <f>CONCATENATE('rotation(W501D5A)'!L$12,'rotation(W501D5A)'!L$13,'rotation(W501D5A)'!L$14)</f>
        <v xml:space="preserve">   </v>
      </c>
      <c r="N5" s="637" t="str">
        <f>CONCATENATE('rotation(W501D5A)'!M$12,'rotation(W501D5A)'!M$13,'rotation(W501D5A)'!M$14)</f>
        <v xml:space="preserve">   </v>
      </c>
      <c r="O5" s="637" t="str">
        <f>CONCATENATE('rotation(W501D5A)'!N$12,'rotation(W501D5A)'!N$13,'rotation(W501D5A)'!N$14)</f>
        <v xml:space="preserve">   </v>
      </c>
      <c r="P5" s="637" t="str">
        <f>CONCATENATE('rotation(W501D5A)'!O$12,'rotation(W501D5A)'!O$13,'rotation(W501D5A)'!O$14)</f>
        <v xml:space="preserve">   </v>
      </c>
      <c r="Q5" s="637" t="str">
        <f>CONCATENATE('rotation(W501D5A)'!P$12,'rotation(W501D5A)'!P$13,'rotation(W501D5A)'!P$14)</f>
        <v xml:space="preserve">   </v>
      </c>
      <c r="R5" s="637" t="str">
        <f>CONCATENATE('rotation(W501D5A)'!Q$12,'rotation(W501D5A)'!Q$13,'rotation(W501D5A)'!Q$14)</f>
        <v xml:space="preserve">   </v>
      </c>
      <c r="S5" s="637" t="str">
        <f>CONCATENATE('rotation(W501D5A)'!R$12,'rotation(W501D5A)'!R$13,'rotation(W501D5A)'!R$14)</f>
        <v xml:space="preserve">   </v>
      </c>
      <c r="T5" s="637" t="str">
        <f>CONCATENATE('rotation(W501D5A)'!S$12,'rotation(W501D5A)'!S$13,'rotation(W501D5A)'!S$14)</f>
        <v xml:space="preserve">   </v>
      </c>
      <c r="U5" s="637" t="str">
        <f>CONCATENATE('rotation(W501D5A)'!T$12,'rotation(W501D5A)'!T$13,'rotation(W501D5A)'!T$14)</f>
        <v xml:space="preserve">   </v>
      </c>
      <c r="V5" s="637" t="str">
        <f>CONCATENATE('rotation(W501D5A)'!U$12,'rotation(W501D5A)'!U$13,'rotation(W501D5A)'!U$14)</f>
        <v xml:space="preserve">   </v>
      </c>
      <c r="W5" s="637" t="str">
        <f>CONCATENATE('rotation(W501D5A)'!V$12,'rotation(W501D5A)'!V$13,'rotation(W501D5A)'!V$14)</f>
        <v xml:space="preserve">   </v>
      </c>
    </row>
    <row r="6" spans="1:24">
      <c r="A6" s="636" t="s">
        <v>1227</v>
      </c>
      <c r="B6" s="140"/>
      <c r="C6" s="140"/>
      <c r="D6" s="637" t="str">
        <f>IF('rotation(W501D5A)'!$X$7&lt;2," ",CONCATENATE('rotation(W501D5A)'!C$12,'rotation(W501D5A)'!C$13,'rotation(W501D5A)'!C$14))</f>
        <v xml:space="preserve"> </v>
      </c>
      <c r="E6" s="637" t="str">
        <f>IF('rotation(W501D5A)'!$X$7&lt;2," ",CONCATENATE('rotation(W501D5A)'!D$12,'rotation(W501D5A)'!D$13,'rotation(W501D5A)'!D$14))</f>
        <v xml:space="preserve"> </v>
      </c>
      <c r="F6" s="637" t="str">
        <f>IF('rotation(W501D5A)'!$X$7&lt;2," ",CONCATENATE('rotation(W501D5A)'!E$12,'rotation(W501D5A)'!E$13,'rotation(W501D5A)'!E$14))</f>
        <v xml:space="preserve"> </v>
      </c>
      <c r="G6" s="637" t="str">
        <f>IF('rotation(W501D5A)'!$X$7&lt;2," ",CONCATENATE('rotation(W501D5A)'!F$12,'rotation(W501D5A)'!F$13,'rotation(W501D5A)'!F$14))</f>
        <v xml:space="preserve"> </v>
      </c>
      <c r="H6" s="637" t="str">
        <f>IF('rotation(W501D5A)'!$X$7&lt;2," ",CONCATENATE('rotation(W501D5A)'!G$12,'rotation(W501D5A)'!G$13,'rotation(W501D5A)'!G$14))</f>
        <v xml:space="preserve"> </v>
      </c>
      <c r="I6" s="637" t="str">
        <f>IF('rotation(W501D5A)'!$X$7&lt;2," ",CONCATENATE('rotation(W501D5A)'!H$12,'rotation(W501D5A)'!H$13,'rotation(W501D5A)'!H$14))</f>
        <v xml:space="preserve"> </v>
      </c>
      <c r="J6" s="637" t="str">
        <f>IF('rotation(W501D5A)'!$X$7&lt;2," ",CONCATENATE('rotation(W501D5A)'!I$12,'rotation(W501D5A)'!I$13,'rotation(W501D5A)'!I$14))</f>
        <v xml:space="preserve"> </v>
      </c>
      <c r="K6" s="637" t="str">
        <f>IF('rotation(W501D5A)'!$X$7&lt;2," ",CONCATENATE('rotation(W501D5A)'!J$12,'rotation(W501D5A)'!J$13,'rotation(W501D5A)'!J$14))</f>
        <v xml:space="preserve"> </v>
      </c>
      <c r="L6" s="637" t="str">
        <f>IF('rotation(W501D5A)'!$X$7&lt;2," ",CONCATENATE('rotation(W501D5A)'!K$12,'rotation(W501D5A)'!K$13,'rotation(W501D5A)'!K$14))</f>
        <v xml:space="preserve"> </v>
      </c>
      <c r="M6" s="637" t="str">
        <f>IF('rotation(W501D5A)'!$X$7&lt;2," ",CONCATENATE('rotation(W501D5A)'!L$12,'rotation(W501D5A)'!L$13,'rotation(W501D5A)'!L$14))</f>
        <v xml:space="preserve"> </v>
      </c>
      <c r="N6" s="637" t="str">
        <f>IF('rotation(W501D5A)'!$X$7&lt;2," ",CONCATENATE('rotation(W501D5A)'!M$12,'rotation(W501D5A)'!M$13,'rotation(W501D5A)'!M$14))</f>
        <v xml:space="preserve"> </v>
      </c>
      <c r="O6" s="637" t="str">
        <f>IF('rotation(W501D5A)'!$X$7&lt;2," ",CONCATENATE('rotation(W501D5A)'!N$12,'rotation(W501D5A)'!N$13,'rotation(W501D5A)'!N$14))</f>
        <v xml:space="preserve"> </v>
      </c>
      <c r="P6" s="637" t="str">
        <f>IF('rotation(W501D5A)'!$X$7&lt;2," ",CONCATENATE('rotation(W501D5A)'!O$12,'rotation(W501D5A)'!O$13,'rotation(W501D5A)'!O$14))</f>
        <v xml:space="preserve"> </v>
      </c>
      <c r="Q6" s="637" t="str">
        <f>IF('rotation(W501D5A)'!$X$7&lt;2," ",CONCATENATE('rotation(W501D5A)'!P$12,'rotation(W501D5A)'!P$13,'rotation(W501D5A)'!P$14))</f>
        <v xml:space="preserve"> </v>
      </c>
      <c r="R6" s="637" t="str">
        <f>IF('rotation(W501D5A)'!$X$7&lt;2," ",CONCATENATE('rotation(W501D5A)'!Q$12,'rotation(W501D5A)'!Q$13,'rotation(W501D5A)'!Q$14))</f>
        <v xml:space="preserve"> </v>
      </c>
      <c r="S6" s="637" t="str">
        <f>IF('rotation(W501D5A)'!$X$7&lt;2," ",CONCATENATE('rotation(W501D5A)'!R$12,'rotation(W501D5A)'!R$13,'rotation(W501D5A)'!R$14))</f>
        <v xml:space="preserve"> </v>
      </c>
      <c r="T6" s="637" t="str">
        <f>IF('rotation(W501D5A)'!$X$7&lt;2," ",CONCATENATE('rotation(W501D5A)'!S$12,'rotation(W501D5A)'!S$13,'rotation(W501D5A)'!S$14))</f>
        <v xml:space="preserve"> </v>
      </c>
      <c r="U6" s="637" t="str">
        <f>IF('rotation(W501D5A)'!$X$7&lt;2," ",CONCATENATE('rotation(W501D5A)'!T$12,'rotation(W501D5A)'!T$13,'rotation(W501D5A)'!T$14))</f>
        <v xml:space="preserve"> </v>
      </c>
      <c r="V6" s="637" t="str">
        <f>IF('rotation(W501D5A)'!$X$7&lt;2," ",CONCATENATE('rotation(W501D5A)'!U$12,'rotation(W501D5A)'!U$13,'rotation(W501D5A)'!U$14))</f>
        <v xml:space="preserve"> </v>
      </c>
      <c r="W6" s="637" t="str">
        <f>IF('rotation(W501D5A)'!$X$7&lt;2," ",CONCATENATE('rotation(W501D5A)'!V$12,'rotation(W501D5A)'!V$13,'rotation(W501D5A)'!V$14))</f>
        <v xml:space="preserve"> </v>
      </c>
    </row>
    <row r="7" spans="1:24">
      <c r="A7" s="636" t="s">
        <v>1228</v>
      </c>
      <c r="B7" s="140"/>
      <c r="C7" s="140"/>
      <c r="D7" s="637" t="str">
        <f>IF('rotation(W501D5A)'!$X$7&lt;3," ",CONCATENATE('rotation(W501D5A)'!C$12,'rotation(W501D5A)'!C$13,'rotation(W501D5A)'!C$14))</f>
        <v xml:space="preserve"> </v>
      </c>
      <c r="E7" s="637" t="str">
        <f>IF('rotation(W501D5A)'!$X$7&lt;3," ",CONCATENATE('rotation(W501D5A)'!D$12,'rotation(W501D5A)'!D$13,'rotation(W501D5A)'!D$14))</f>
        <v xml:space="preserve"> </v>
      </c>
      <c r="F7" s="637" t="str">
        <f>IF('rotation(W501D5A)'!$X$7&lt;3," ",CONCATENATE('rotation(W501D5A)'!E$12,'rotation(W501D5A)'!E$13,'rotation(W501D5A)'!E$14))</f>
        <v xml:space="preserve"> </v>
      </c>
      <c r="G7" s="637" t="str">
        <f>IF('rotation(W501D5A)'!$X$7&lt;3," ",CONCATENATE('rotation(W501D5A)'!F$12,'rotation(W501D5A)'!F$13,'rotation(W501D5A)'!F$14))</f>
        <v xml:space="preserve"> </v>
      </c>
      <c r="H7" s="637" t="str">
        <f>IF('rotation(W501D5A)'!$X$7&lt;3," ",CONCATENATE('rotation(W501D5A)'!G$12,'rotation(W501D5A)'!G$13,'rotation(W501D5A)'!G$14))</f>
        <v xml:space="preserve"> </v>
      </c>
      <c r="I7" s="637" t="str">
        <f>IF('rotation(W501D5A)'!$X$7&lt;3," ",CONCATENATE('rotation(W501D5A)'!H$12,'rotation(W501D5A)'!H$13,'rotation(W501D5A)'!H$14))</f>
        <v xml:space="preserve"> </v>
      </c>
      <c r="J7" s="637" t="str">
        <f>IF('rotation(W501D5A)'!$X$7&lt;3," ",CONCATENATE('rotation(W501D5A)'!I$12,'rotation(W501D5A)'!I$13,'rotation(W501D5A)'!I$14))</f>
        <v xml:space="preserve"> </v>
      </c>
      <c r="K7" s="637" t="str">
        <f>IF('rotation(W501D5A)'!$X$7&lt;3," ",CONCATENATE('rotation(W501D5A)'!J$12,'rotation(W501D5A)'!J$13,'rotation(W501D5A)'!J$14))</f>
        <v xml:space="preserve"> </v>
      </c>
      <c r="L7" s="637" t="str">
        <f>IF('rotation(W501D5A)'!$X$7&lt;3," ",CONCATENATE('rotation(W501D5A)'!K$12,'rotation(W501D5A)'!K$13,'rotation(W501D5A)'!K$14))</f>
        <v xml:space="preserve"> </v>
      </c>
      <c r="M7" s="637" t="str">
        <f>IF('rotation(W501D5A)'!$X$7&lt;3," ",CONCATENATE('rotation(W501D5A)'!L$12,'rotation(W501D5A)'!L$13,'rotation(W501D5A)'!L$14))</f>
        <v xml:space="preserve"> </v>
      </c>
      <c r="N7" s="637" t="str">
        <f>IF('rotation(W501D5A)'!$X$7&lt;3," ",CONCATENATE('rotation(W501D5A)'!M$12,'rotation(W501D5A)'!M$13,'rotation(W501D5A)'!M$14))</f>
        <v xml:space="preserve"> </v>
      </c>
      <c r="O7" s="637" t="str">
        <f>IF('rotation(W501D5A)'!$X$7&lt;3," ",CONCATENATE('rotation(W501D5A)'!N$12,'rotation(W501D5A)'!N$13,'rotation(W501D5A)'!N$14))</f>
        <v xml:space="preserve"> </v>
      </c>
      <c r="P7" s="637" t="str">
        <f>IF('rotation(W501D5A)'!$X$7&lt;3," ",CONCATENATE('rotation(W501D5A)'!O$12,'rotation(W501D5A)'!O$13,'rotation(W501D5A)'!O$14))</f>
        <v xml:space="preserve"> </v>
      </c>
      <c r="Q7" s="637" t="str">
        <f>IF('rotation(W501D5A)'!$X$7&lt;3," ",CONCATENATE('rotation(W501D5A)'!P$12,'rotation(W501D5A)'!P$13,'rotation(W501D5A)'!P$14))</f>
        <v xml:space="preserve"> </v>
      </c>
      <c r="R7" s="637" t="str">
        <f>IF('rotation(W501D5A)'!$X$7&lt;3," ",CONCATENATE('rotation(W501D5A)'!Q$12,'rotation(W501D5A)'!Q$13,'rotation(W501D5A)'!Q$14))</f>
        <v xml:space="preserve"> </v>
      </c>
      <c r="S7" s="637" t="str">
        <f>IF('rotation(W501D5A)'!$X$7&lt;3," ",CONCATENATE('rotation(W501D5A)'!R$12,'rotation(W501D5A)'!R$13,'rotation(W501D5A)'!R$14))</f>
        <v xml:space="preserve"> </v>
      </c>
      <c r="T7" s="637" t="str">
        <f>IF('rotation(W501D5A)'!$X$7&lt;3," ",CONCATENATE('rotation(W501D5A)'!S$12,'rotation(W501D5A)'!S$13,'rotation(W501D5A)'!S$14))</f>
        <v xml:space="preserve"> </v>
      </c>
      <c r="U7" s="637" t="str">
        <f>IF('rotation(W501D5A)'!$X$7&lt;3," ",CONCATENATE('rotation(W501D5A)'!T$12,'rotation(W501D5A)'!T$13,'rotation(W501D5A)'!T$14))</f>
        <v xml:space="preserve"> </v>
      </c>
      <c r="V7" s="637" t="str">
        <f>IF('rotation(W501D5A)'!$X$7&lt;3," ",CONCATENATE('rotation(W501D5A)'!U$12,'rotation(W501D5A)'!U$13,'rotation(W501D5A)'!U$14))</f>
        <v xml:space="preserve"> </v>
      </c>
      <c r="W7" s="637" t="str">
        <f>IF('rotation(W501D5A)'!$X$7&lt;3," ",CONCATENATE('rotation(W501D5A)'!V$12,'rotation(W501D5A)'!V$13,'rotation(W501D5A)'!V$14))</f>
        <v xml:space="preserve"> </v>
      </c>
    </row>
    <row r="8" spans="1:24">
      <c r="A8" s="636" t="s">
        <v>899</v>
      </c>
      <c r="B8" s="140"/>
      <c r="C8" s="140"/>
      <c r="D8" s="637" t="str">
        <f>IF('rotation(W501D5A)'!$X$7&lt;4," ",CONCATENATE('rotation(W501D5A)'!C$12,'rotation(W501D5A)'!C$13,'rotation(W501D5A)'!C$14))</f>
        <v xml:space="preserve"> </v>
      </c>
      <c r="E8" s="637" t="str">
        <f>IF('rotation(W501D5A)'!$X$7&lt;4," ",CONCATENATE('rotation(W501D5A)'!D$12,'rotation(W501D5A)'!D$13,'rotation(W501D5A)'!D$14))</f>
        <v xml:space="preserve"> </v>
      </c>
      <c r="F8" s="637" t="str">
        <f>IF('rotation(W501D5A)'!$X$7&lt;4," ",CONCATENATE('rotation(W501D5A)'!E$12,'rotation(W501D5A)'!E$13,'rotation(W501D5A)'!E$14))</f>
        <v xml:space="preserve"> </v>
      </c>
      <c r="G8" s="637" t="str">
        <f>IF('rotation(W501D5A)'!$X$7&lt;4," ",CONCATENATE('rotation(W501D5A)'!F$12,'rotation(W501D5A)'!F$13,'rotation(W501D5A)'!F$14))</f>
        <v xml:space="preserve"> </v>
      </c>
      <c r="H8" s="637" t="str">
        <f>IF('rotation(W501D5A)'!$X$7&lt;4," ",CONCATENATE('rotation(W501D5A)'!G$12,'rotation(W501D5A)'!G$13,'rotation(W501D5A)'!G$14))</f>
        <v xml:space="preserve"> </v>
      </c>
      <c r="I8" s="637" t="str">
        <f>IF('rotation(W501D5A)'!$X$7&lt;4," ",CONCATENATE('rotation(W501D5A)'!H$12,'rotation(W501D5A)'!H$13,'rotation(W501D5A)'!H$14))</f>
        <v xml:space="preserve"> </v>
      </c>
      <c r="J8" s="637" t="str">
        <f>IF('rotation(W501D5A)'!$X$7&lt;4," ",CONCATENATE('rotation(W501D5A)'!I$12,'rotation(W501D5A)'!I$13,'rotation(W501D5A)'!I$14))</f>
        <v xml:space="preserve"> </v>
      </c>
      <c r="K8" s="637" t="str">
        <f>IF('rotation(W501D5A)'!$X$7&lt;4," ",CONCATENATE('rotation(W501D5A)'!J$12,'rotation(W501D5A)'!J$13,'rotation(W501D5A)'!J$14))</f>
        <v xml:space="preserve"> </v>
      </c>
      <c r="L8" s="637" t="str">
        <f>IF('rotation(W501D5A)'!$X$7&lt;4," ",CONCATENATE('rotation(W501D5A)'!K$12,'rotation(W501D5A)'!K$13,'rotation(W501D5A)'!K$14))</f>
        <v xml:space="preserve"> </v>
      </c>
      <c r="M8" s="637" t="str">
        <f>IF('rotation(W501D5A)'!$X$7&lt;4," ",CONCATENATE('rotation(W501D5A)'!L$12,'rotation(W501D5A)'!L$13,'rotation(W501D5A)'!L$14))</f>
        <v xml:space="preserve"> </v>
      </c>
      <c r="N8" s="637" t="str">
        <f>IF('rotation(W501D5A)'!$X$7&lt;4," ",CONCATENATE('rotation(W501D5A)'!M$12,'rotation(W501D5A)'!M$13,'rotation(W501D5A)'!M$14))</f>
        <v xml:space="preserve"> </v>
      </c>
      <c r="O8" s="637" t="str">
        <f>IF('rotation(W501D5A)'!$X$7&lt;4," ",CONCATENATE('rotation(W501D5A)'!N$12,'rotation(W501D5A)'!N$13,'rotation(W501D5A)'!N$14))</f>
        <v xml:space="preserve"> </v>
      </c>
      <c r="P8" s="637" t="str">
        <f>IF('rotation(W501D5A)'!$X$7&lt;4," ",CONCATENATE('rotation(W501D5A)'!O$12,'rotation(W501D5A)'!O$13,'rotation(W501D5A)'!O$14))</f>
        <v xml:space="preserve"> </v>
      </c>
      <c r="Q8" s="637" t="str">
        <f>IF('rotation(W501D5A)'!$X$7&lt;4," ",CONCATENATE('rotation(W501D5A)'!P$12,'rotation(W501D5A)'!P$13,'rotation(W501D5A)'!P$14))</f>
        <v xml:space="preserve"> </v>
      </c>
      <c r="R8" s="637" t="str">
        <f>IF('rotation(W501D5A)'!$X$7&lt;4," ",CONCATENATE('rotation(W501D5A)'!Q$12,'rotation(W501D5A)'!Q$13,'rotation(W501D5A)'!Q$14))</f>
        <v xml:space="preserve"> </v>
      </c>
      <c r="S8" s="637" t="str">
        <f>IF('rotation(W501D5A)'!$X$7&lt;4," ",CONCATENATE('rotation(W501D5A)'!R$12,'rotation(W501D5A)'!R$13,'rotation(W501D5A)'!R$14))</f>
        <v xml:space="preserve"> </v>
      </c>
      <c r="T8" s="637" t="str">
        <f>IF('rotation(W501D5A)'!$X$7&lt;4," ",CONCATENATE('rotation(W501D5A)'!S$12,'rotation(W501D5A)'!S$13,'rotation(W501D5A)'!S$14))</f>
        <v xml:space="preserve"> </v>
      </c>
      <c r="U8" s="637" t="str">
        <f>IF('rotation(W501D5A)'!$X$7&lt;4," ",CONCATENATE('rotation(W501D5A)'!T$12,'rotation(W501D5A)'!T$13,'rotation(W501D5A)'!T$14))</f>
        <v xml:space="preserve"> </v>
      </c>
      <c r="V8" s="637" t="str">
        <f>IF('rotation(W501D5A)'!$X$7&lt;4," ",CONCATENATE('rotation(W501D5A)'!U$12,'rotation(W501D5A)'!U$13,'rotation(W501D5A)'!U$14))</f>
        <v xml:space="preserve"> </v>
      </c>
      <c r="W8" s="637" t="str">
        <f>IF('rotation(W501D5A)'!$X$7&lt;4," ",CONCATENATE('rotation(W501D5A)'!V$12,'rotation(W501D5A)'!V$13,'rotation(W501D5A)'!V$14))</f>
        <v xml:space="preserve"> </v>
      </c>
    </row>
    <row r="10" spans="1:24" s="635" customFormat="1">
      <c r="A10" s="636" t="s">
        <v>900</v>
      </c>
      <c r="B10" s="638"/>
      <c r="C10" s="638"/>
      <c r="D10" s="638">
        <f>'rotation(W501D5A)'!C8*'GTDB(W501D5A)'!$C12+'rotation(W501D5A)'!C9*'GTDB(W501D5A)'!$C13+'rotation(W501D5A)'!C10*'GTDB(W501D5A)'!$C14</f>
        <v>0</v>
      </c>
      <c r="E10" s="638">
        <f>'rotation(W501D5A)'!D8*'GTDB(W501D5A)'!$C12+'rotation(W501D5A)'!D9*'GTDB(W501D5A)'!$C13+'rotation(W501D5A)'!D10*'GTDB(W501D5A)'!$C14</f>
        <v>0</v>
      </c>
      <c r="F10" s="638">
        <f>'rotation(W501D5A)'!E8*'GTDB(W501D5A)'!$C12+'rotation(W501D5A)'!E9*'GTDB(W501D5A)'!$C13+'rotation(W501D5A)'!E10*'GTDB(W501D5A)'!$C14</f>
        <v>0</v>
      </c>
      <c r="G10" s="638">
        <f>'rotation(W501D5A)'!F8*'GTDB(W501D5A)'!$C12+'rotation(W501D5A)'!F9*'GTDB(W501D5A)'!$C13+'rotation(W501D5A)'!F10*'GTDB(W501D5A)'!$C14</f>
        <v>0</v>
      </c>
      <c r="H10" s="638">
        <f>'rotation(W501D5A)'!G8*'GTDB(W501D5A)'!$C12+'rotation(W501D5A)'!G9*'GTDB(W501D5A)'!$C13+'rotation(W501D5A)'!G10*'GTDB(W501D5A)'!$C14</f>
        <v>0</v>
      </c>
      <c r="I10" s="638">
        <f>'rotation(W501D5A)'!H8*'GTDB(W501D5A)'!$C12+'rotation(W501D5A)'!H9*'GTDB(W501D5A)'!$C13+'rotation(W501D5A)'!H10*'GTDB(W501D5A)'!$C14</f>
        <v>0</v>
      </c>
      <c r="J10" s="638">
        <f>'rotation(W501D5A)'!I8*'GTDB(W501D5A)'!$C12+'rotation(W501D5A)'!I9*'GTDB(W501D5A)'!$C13+'rotation(W501D5A)'!I10*'GTDB(W501D5A)'!$C14</f>
        <v>0</v>
      </c>
      <c r="K10" s="638">
        <f>'rotation(W501D5A)'!J8*'GTDB(W501D5A)'!$C12+'rotation(W501D5A)'!J9*'GTDB(W501D5A)'!$C13+'rotation(W501D5A)'!J10*'GTDB(W501D5A)'!$C14</f>
        <v>0</v>
      </c>
      <c r="L10" s="638">
        <f>'rotation(W501D5A)'!K8*'GTDB(W501D5A)'!$C12+'rotation(W501D5A)'!K9*'GTDB(W501D5A)'!$C13+'rotation(W501D5A)'!K10*'GTDB(W501D5A)'!$C14</f>
        <v>0</v>
      </c>
      <c r="M10" s="638">
        <f>'rotation(W501D5A)'!L8*'GTDB(W501D5A)'!$C12+'rotation(W501D5A)'!L9*'GTDB(W501D5A)'!$C13+'rotation(W501D5A)'!L10*'GTDB(W501D5A)'!$C14</f>
        <v>0</v>
      </c>
      <c r="N10" s="638">
        <f>'rotation(W501D5A)'!M8*'GTDB(W501D5A)'!$C12+'rotation(W501D5A)'!M9*'GTDB(W501D5A)'!$C13+'rotation(W501D5A)'!M10*'GTDB(W501D5A)'!$C14</f>
        <v>0</v>
      </c>
      <c r="O10" s="638">
        <f>'rotation(W501D5A)'!N8*'GTDB(W501D5A)'!$C12+'rotation(W501D5A)'!N9*'GTDB(W501D5A)'!$C13+'rotation(W501D5A)'!N10*'GTDB(W501D5A)'!$C14</f>
        <v>0</v>
      </c>
      <c r="P10" s="638">
        <f>'rotation(W501D5A)'!O8*'GTDB(W501D5A)'!$C12+'rotation(W501D5A)'!O9*'GTDB(W501D5A)'!$C13+'rotation(W501D5A)'!O10*'GTDB(W501D5A)'!$C14</f>
        <v>0</v>
      </c>
      <c r="Q10" s="638">
        <f>'rotation(W501D5A)'!P8*'GTDB(W501D5A)'!$C12+'rotation(W501D5A)'!P9*'GTDB(W501D5A)'!$C13+'rotation(W501D5A)'!P10*'GTDB(W501D5A)'!$C14</f>
        <v>0</v>
      </c>
      <c r="R10" s="638">
        <f>'rotation(W501D5A)'!Q8*'GTDB(W501D5A)'!$C12+'rotation(W501D5A)'!Q9*'GTDB(W501D5A)'!$C13+'rotation(W501D5A)'!Q10*'GTDB(W501D5A)'!$C14</f>
        <v>0</v>
      </c>
      <c r="S10" s="638">
        <f>'rotation(W501D5A)'!R8*'GTDB(W501D5A)'!$C12+'rotation(W501D5A)'!R9*'GTDB(W501D5A)'!$C13+'rotation(W501D5A)'!R10*'GTDB(W501D5A)'!$C14</f>
        <v>0</v>
      </c>
      <c r="T10" s="638">
        <f>'rotation(W501D5A)'!S8*'GTDB(W501D5A)'!$C12+'rotation(W501D5A)'!S9*'GTDB(W501D5A)'!$C13+'rotation(W501D5A)'!S10*'GTDB(W501D5A)'!$C14</f>
        <v>0</v>
      </c>
      <c r="U10" s="638">
        <f>'rotation(W501D5A)'!T8*'GTDB(W501D5A)'!$C12+'rotation(W501D5A)'!T9*'GTDB(W501D5A)'!$C13+'rotation(W501D5A)'!T10*'GTDB(W501D5A)'!$C14</f>
        <v>0</v>
      </c>
      <c r="V10" s="638">
        <f>'rotation(W501D5A)'!U8*'GTDB(W501D5A)'!$C12+'rotation(W501D5A)'!U9*'GTDB(W501D5A)'!$C13+'rotation(W501D5A)'!U10*'GTDB(W501D5A)'!$C14</f>
        <v>0</v>
      </c>
      <c r="W10" s="638">
        <f>'rotation(W501D5A)'!V8*'GTDB(W501D5A)'!$C12+'rotation(W501D5A)'!V9*'GTDB(W501D5A)'!$C13+'rotation(W501D5A)'!V10*'GTDB(W501D5A)'!$C14</f>
        <v>0</v>
      </c>
      <c r="X10" s="639">
        <f>SUM(D10:W10)</f>
        <v>0</v>
      </c>
    </row>
    <row r="12" spans="1:24">
      <c r="A12" s="640" t="s">
        <v>1222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</row>
    <row r="13" spans="1:24">
      <c r="A13" s="636" t="s">
        <v>901</v>
      </c>
      <c r="B13" s="140" t="s">
        <v>902</v>
      </c>
      <c r="C13" s="140" t="s">
        <v>903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</row>
    <row r="14" spans="1:24" s="21" customFormat="1">
      <c r="A14" s="641" t="str">
        <f>'GTDB(W501D5A)'!A17</f>
        <v>Baskets</v>
      </c>
      <c r="B14" s="641">
        <f>'GTDB(W501D5A)'!E17</f>
        <v>490.58800000000002</v>
      </c>
      <c r="C14" s="641" t="str">
        <f>IF('rotation(W501D5A)'!AA17=0," ",B14*'rotation(W501D5A)'!AA17)</f>
        <v xml:space="preserve"> </v>
      </c>
      <c r="D14" s="642" t="str">
        <f>IF('rotation(W501D5A)'!C18=0," ",$B14*'rotation(W501D5A)'!C18)</f>
        <v xml:space="preserve"> </v>
      </c>
      <c r="E14" s="642" t="str">
        <f>IF('rotation(W501D5A)'!D18=0," ",$B14*'rotation(W501D5A)'!D18)</f>
        <v xml:space="preserve"> </v>
      </c>
      <c r="F14" s="642" t="str">
        <f>IF('rotation(W501D5A)'!E18=0," ",$B14*'rotation(W501D5A)'!E18)</f>
        <v xml:space="preserve"> </v>
      </c>
      <c r="G14" s="642" t="str">
        <f>IF('rotation(W501D5A)'!F18=0," ",$B14*'rotation(W501D5A)'!F18)</f>
        <v xml:space="preserve"> </v>
      </c>
      <c r="H14" s="642" t="str">
        <f>IF('rotation(W501D5A)'!G18=0," ",$B14*'rotation(W501D5A)'!G18)</f>
        <v xml:space="preserve"> </v>
      </c>
      <c r="I14" s="642" t="str">
        <f>IF('rotation(W501D5A)'!H18=0," ",$B14*'rotation(W501D5A)'!H18)</f>
        <v xml:space="preserve"> </v>
      </c>
      <c r="J14" s="642" t="str">
        <f>IF('rotation(W501D5A)'!I18=0," ",$B14*'rotation(W501D5A)'!I18)</f>
        <v xml:space="preserve"> </v>
      </c>
      <c r="K14" s="642" t="str">
        <f>IF('rotation(W501D5A)'!J18=0," ",$B14*'rotation(W501D5A)'!J18)</f>
        <v xml:space="preserve"> </v>
      </c>
      <c r="L14" s="642" t="str">
        <f>IF('rotation(W501D5A)'!K18=0," ",$B14*'rotation(W501D5A)'!K18)</f>
        <v xml:space="preserve"> </v>
      </c>
      <c r="M14" s="642" t="str">
        <f>IF('rotation(W501D5A)'!L18=0," ",$B14*'rotation(W501D5A)'!L18)</f>
        <v xml:space="preserve"> </v>
      </c>
      <c r="N14" s="642" t="str">
        <f>IF('rotation(W501D5A)'!M18=0," ",$B14*'rotation(W501D5A)'!M18)</f>
        <v xml:space="preserve"> </v>
      </c>
      <c r="O14" s="642" t="str">
        <f>IF('rotation(W501D5A)'!N18=0," ",$B14*'rotation(W501D5A)'!N18)</f>
        <v xml:space="preserve"> </v>
      </c>
      <c r="P14" s="642" t="str">
        <f>IF('rotation(W501D5A)'!O18=0," ",$B14*'rotation(W501D5A)'!O18)</f>
        <v xml:space="preserve"> </v>
      </c>
      <c r="Q14" s="642" t="str">
        <f>IF('rotation(W501D5A)'!P18=0," ",$B14*'rotation(W501D5A)'!P18)</f>
        <v xml:space="preserve"> </v>
      </c>
      <c r="R14" s="642" t="str">
        <f>IF('rotation(W501D5A)'!Q18=0," ",$B14*'rotation(W501D5A)'!Q18)</f>
        <v xml:space="preserve"> </v>
      </c>
      <c r="S14" s="642" t="str">
        <f>IF('rotation(W501D5A)'!R18=0," ",$B14*'rotation(W501D5A)'!R18)</f>
        <v xml:space="preserve"> </v>
      </c>
      <c r="T14" s="642" t="str">
        <f>IF('rotation(W501D5A)'!S18=0," ",$B14*'rotation(W501D5A)'!S18)</f>
        <v xml:space="preserve"> </v>
      </c>
      <c r="U14" s="642" t="str">
        <f>IF('rotation(W501D5A)'!T18=0," ",$B14*'rotation(W501D5A)'!T18)</f>
        <v xml:space="preserve"> </v>
      </c>
      <c r="V14" s="642" t="str">
        <f>IF('rotation(W501D5A)'!U18=0," ",$B14*'rotation(W501D5A)'!U18)</f>
        <v xml:space="preserve"> </v>
      </c>
      <c r="W14" s="642" t="str">
        <f>IF('rotation(W501D5A)'!V18=0," ",$B14*'rotation(W501D5A)'!V18)</f>
        <v xml:space="preserve"> </v>
      </c>
      <c r="X14" s="21">
        <f t="shared" ref="X14:X35" si="0">SUM(D14:W14)</f>
        <v>0</v>
      </c>
    </row>
    <row r="15" spans="1:24" s="21" customFormat="1">
      <c r="A15" s="641" t="str">
        <f>'GTDB(W501D5A)'!A18</f>
        <v>Transition Pieces</v>
      </c>
      <c r="B15" s="641">
        <f>'GTDB(W501D5A)'!E18</f>
        <v>714</v>
      </c>
      <c r="C15" s="641" t="str">
        <f>IF('rotation(W501D5A)'!AA21=0," ",B15*'rotation(W501D5A)'!AA21)</f>
        <v xml:space="preserve"> </v>
      </c>
      <c r="D15" s="642" t="str">
        <f>IF('rotation(W501D5A)'!C22=0," ",$B15*'rotation(W501D5A)'!C22)</f>
        <v xml:space="preserve"> </v>
      </c>
      <c r="E15" s="642" t="str">
        <f>IF('rotation(W501D5A)'!D22=0," ",$B15*'rotation(W501D5A)'!D22)</f>
        <v xml:space="preserve"> </v>
      </c>
      <c r="F15" s="642" t="str">
        <f>IF('rotation(W501D5A)'!E22=0," ",$B15*'rotation(W501D5A)'!E22)</f>
        <v xml:space="preserve"> </v>
      </c>
      <c r="G15" s="642" t="str">
        <f>IF('rotation(W501D5A)'!F22=0," ",$B15*'rotation(W501D5A)'!F22)</f>
        <v xml:space="preserve"> </v>
      </c>
      <c r="H15" s="642" t="str">
        <f>IF('rotation(W501D5A)'!G22=0," ",$B15*'rotation(W501D5A)'!G22)</f>
        <v xml:space="preserve"> </v>
      </c>
      <c r="I15" s="642" t="str">
        <f>IF('rotation(W501D5A)'!H22=0," ",$B15*'rotation(W501D5A)'!H22)</f>
        <v xml:space="preserve"> </v>
      </c>
      <c r="J15" s="642" t="str">
        <f>IF('rotation(W501D5A)'!I22=0," ",$B15*'rotation(W501D5A)'!I22)</f>
        <v xml:space="preserve"> </v>
      </c>
      <c r="K15" s="642" t="str">
        <f>IF('rotation(W501D5A)'!J22=0," ",$B15*'rotation(W501D5A)'!J22)</f>
        <v xml:space="preserve"> </v>
      </c>
      <c r="L15" s="642" t="str">
        <f>IF('rotation(W501D5A)'!K22=0," ",$B15*'rotation(W501D5A)'!K22)</f>
        <v xml:space="preserve"> </v>
      </c>
      <c r="M15" s="642" t="str">
        <f>IF('rotation(W501D5A)'!L22=0," ",$B15*'rotation(W501D5A)'!L22)</f>
        <v xml:space="preserve"> </v>
      </c>
      <c r="N15" s="642" t="str">
        <f>IF('rotation(W501D5A)'!M22=0," ",$B15*'rotation(W501D5A)'!M22)</f>
        <v xml:space="preserve"> </v>
      </c>
      <c r="O15" s="642" t="str">
        <f>IF('rotation(W501D5A)'!N22=0," ",$B15*'rotation(W501D5A)'!N22)</f>
        <v xml:space="preserve"> </v>
      </c>
      <c r="P15" s="642" t="str">
        <f>IF('rotation(W501D5A)'!O22=0," ",$B15*'rotation(W501D5A)'!O22)</f>
        <v xml:space="preserve"> </v>
      </c>
      <c r="Q15" s="642" t="str">
        <f>IF('rotation(W501D5A)'!P22=0," ",$B15*'rotation(W501D5A)'!P22)</f>
        <v xml:space="preserve"> </v>
      </c>
      <c r="R15" s="642" t="str">
        <f>IF('rotation(W501D5A)'!Q22=0," ",$B15*'rotation(W501D5A)'!Q22)</f>
        <v xml:space="preserve"> </v>
      </c>
      <c r="S15" s="642" t="str">
        <f>IF('rotation(W501D5A)'!R22=0," ",$B15*'rotation(W501D5A)'!R22)</f>
        <v xml:space="preserve"> </v>
      </c>
      <c r="T15" s="642" t="str">
        <f>IF('rotation(W501D5A)'!S22=0," ",$B15*'rotation(W501D5A)'!S22)</f>
        <v xml:space="preserve"> </v>
      </c>
      <c r="U15" s="642" t="str">
        <f>IF('rotation(W501D5A)'!T22=0," ",$B15*'rotation(W501D5A)'!T22)</f>
        <v xml:space="preserve"> </v>
      </c>
      <c r="V15" s="642" t="str">
        <f>IF('rotation(W501D5A)'!U22=0," ",$B15*'rotation(W501D5A)'!U22)</f>
        <v xml:space="preserve"> </v>
      </c>
      <c r="W15" s="642" t="str">
        <f>IF('rotation(W501D5A)'!V22=0," ",$B15*'rotation(W501D5A)'!V22)</f>
        <v xml:space="preserve"> </v>
      </c>
      <c r="X15" s="21">
        <f t="shared" si="0"/>
        <v>0</v>
      </c>
    </row>
    <row r="16" spans="1:24" s="21" customFormat="1">
      <c r="A16" s="641" t="str">
        <f>'GTDB(W501D5A)'!A19</f>
        <v>Transition Seals</v>
      </c>
      <c r="B16" s="641">
        <f>'GTDB(W501D5A)'!E19</f>
        <v>49.938000000000002</v>
      </c>
      <c r="C16" s="641" t="str">
        <f>IF('rotation(W501D5A)'!AA25=0," ",B16*'rotation(W501D5A)'!AA25)</f>
        <v xml:space="preserve"> </v>
      </c>
      <c r="D16" s="642" t="str">
        <f>IF('rotation(W501D5A)'!C26=0," ",$B16*'rotation(W501D5A)'!C26)</f>
        <v xml:space="preserve"> </v>
      </c>
      <c r="E16" s="642" t="str">
        <f>IF('rotation(W501D5A)'!D26=0," ",$B16*'rotation(W501D5A)'!D26)</f>
        <v xml:space="preserve"> </v>
      </c>
      <c r="F16" s="642" t="str">
        <f>IF('rotation(W501D5A)'!E26=0," ",$B16*'rotation(W501D5A)'!E26)</f>
        <v xml:space="preserve"> </v>
      </c>
      <c r="G16" s="642" t="str">
        <f>IF('rotation(W501D5A)'!F26=0," ",$B16*'rotation(W501D5A)'!F26)</f>
        <v xml:space="preserve"> </v>
      </c>
      <c r="H16" s="642" t="str">
        <f>IF('rotation(W501D5A)'!G26=0," ",$B16*'rotation(W501D5A)'!G26)</f>
        <v xml:space="preserve"> </v>
      </c>
      <c r="I16" s="642" t="str">
        <f>IF('rotation(W501D5A)'!H26=0," ",$B16*'rotation(W501D5A)'!H26)</f>
        <v xml:space="preserve"> </v>
      </c>
      <c r="J16" s="642" t="str">
        <f>IF('rotation(W501D5A)'!I26=0," ",$B16*'rotation(W501D5A)'!I26)</f>
        <v xml:space="preserve"> </v>
      </c>
      <c r="K16" s="642" t="str">
        <f>IF('rotation(W501D5A)'!J26=0," ",$B16*'rotation(W501D5A)'!J26)</f>
        <v xml:space="preserve"> </v>
      </c>
      <c r="L16" s="642" t="str">
        <f>IF('rotation(W501D5A)'!K26=0," ",$B16*'rotation(W501D5A)'!K26)</f>
        <v xml:space="preserve"> </v>
      </c>
      <c r="M16" s="642" t="str">
        <f>IF('rotation(W501D5A)'!L26=0," ",$B16*'rotation(W501D5A)'!L26)</f>
        <v xml:space="preserve"> </v>
      </c>
      <c r="N16" s="642" t="str">
        <f>IF('rotation(W501D5A)'!M26=0," ",$B16*'rotation(W501D5A)'!M26)</f>
        <v xml:space="preserve"> </v>
      </c>
      <c r="O16" s="642" t="str">
        <f>IF('rotation(W501D5A)'!N26=0," ",$B16*'rotation(W501D5A)'!N26)</f>
        <v xml:space="preserve"> </v>
      </c>
      <c r="P16" s="642" t="str">
        <f>IF('rotation(W501D5A)'!O26=0," ",$B16*'rotation(W501D5A)'!O26)</f>
        <v xml:space="preserve"> </v>
      </c>
      <c r="Q16" s="642" t="str">
        <f>IF('rotation(W501D5A)'!P26=0," ",$B16*'rotation(W501D5A)'!P26)</f>
        <v xml:space="preserve"> </v>
      </c>
      <c r="R16" s="642" t="str">
        <f>IF('rotation(W501D5A)'!Q26=0," ",$B16*'rotation(W501D5A)'!Q26)</f>
        <v xml:space="preserve"> </v>
      </c>
      <c r="S16" s="642" t="str">
        <f>IF('rotation(W501D5A)'!R26=0," ",$B16*'rotation(W501D5A)'!R26)</f>
        <v xml:space="preserve"> </v>
      </c>
      <c r="T16" s="642" t="str">
        <f>IF('rotation(W501D5A)'!S26=0," ",$B16*'rotation(W501D5A)'!S26)</f>
        <v xml:space="preserve"> </v>
      </c>
      <c r="U16" s="642" t="str">
        <f>IF('rotation(W501D5A)'!T26=0," ",$B16*'rotation(W501D5A)'!T26)</f>
        <v xml:space="preserve"> </v>
      </c>
      <c r="V16" s="642" t="str">
        <f>IF('rotation(W501D5A)'!U26=0," ",$B16*'rotation(W501D5A)'!U26)</f>
        <v xml:space="preserve"> </v>
      </c>
      <c r="W16" s="642" t="str">
        <f>IF('rotation(W501D5A)'!V26=0," ",$B16*'rotation(W501D5A)'!V26)</f>
        <v xml:space="preserve"> </v>
      </c>
      <c r="X16" s="21">
        <f t="shared" si="0"/>
        <v>0</v>
      </c>
    </row>
    <row r="17" spans="1:24" s="21" customFormat="1">
      <c r="A17" s="641" t="str">
        <f>'GTDB(W501D5A)'!A20</f>
        <v>Fuel Nozzles</v>
      </c>
      <c r="B17" s="641">
        <f>'GTDB(W501D5A)'!E20</f>
        <v>521.64</v>
      </c>
      <c r="C17" s="641" t="str">
        <f>IF('rotation(W501D5A)'!AA29=0," ",B17*'rotation(W501D5A)'!AA29)</f>
        <v xml:space="preserve"> </v>
      </c>
      <c r="D17" s="642" t="str">
        <f>IF('rotation(W501D5A)'!C30=0," ",$B17*'rotation(W501D5A)'!C30)</f>
        <v xml:space="preserve"> </v>
      </c>
      <c r="E17" s="642" t="str">
        <f>IF('rotation(W501D5A)'!D30=0," ",$B17*'rotation(W501D5A)'!D30)</f>
        <v xml:space="preserve"> </v>
      </c>
      <c r="F17" s="642" t="str">
        <f>IF('rotation(W501D5A)'!E30=0," ",$B17*'rotation(W501D5A)'!E30)</f>
        <v xml:space="preserve"> </v>
      </c>
      <c r="G17" s="642" t="str">
        <f>IF('rotation(W501D5A)'!F30=0," ",$B17*'rotation(W501D5A)'!F30)</f>
        <v xml:space="preserve"> </v>
      </c>
      <c r="H17" s="642" t="str">
        <f>IF('rotation(W501D5A)'!G30=0," ",$B17*'rotation(W501D5A)'!G30)</f>
        <v xml:space="preserve"> </v>
      </c>
      <c r="I17" s="642" t="str">
        <f>IF('rotation(W501D5A)'!H30=0," ",$B17*'rotation(W501D5A)'!H30)</f>
        <v xml:space="preserve"> </v>
      </c>
      <c r="J17" s="642" t="str">
        <f>IF('rotation(W501D5A)'!I30=0," ",$B17*'rotation(W501D5A)'!I30)</f>
        <v xml:space="preserve"> </v>
      </c>
      <c r="K17" s="642" t="str">
        <f>IF('rotation(W501D5A)'!J30=0," ",$B17*'rotation(W501D5A)'!J30)</f>
        <v xml:space="preserve"> </v>
      </c>
      <c r="L17" s="642" t="str">
        <f>IF('rotation(W501D5A)'!K30=0," ",$B17*'rotation(W501D5A)'!K30)</f>
        <v xml:space="preserve"> </v>
      </c>
      <c r="M17" s="642" t="str">
        <f>IF('rotation(W501D5A)'!L30=0," ",$B17*'rotation(W501D5A)'!L30)</f>
        <v xml:space="preserve"> </v>
      </c>
      <c r="N17" s="642" t="str">
        <f>IF('rotation(W501D5A)'!M30=0," ",$B17*'rotation(W501D5A)'!M30)</f>
        <v xml:space="preserve"> </v>
      </c>
      <c r="O17" s="642" t="str">
        <f>IF('rotation(W501D5A)'!N30=0," ",$B17*'rotation(W501D5A)'!N30)</f>
        <v xml:space="preserve"> </v>
      </c>
      <c r="P17" s="642" t="str">
        <f>IF('rotation(W501D5A)'!O30=0," ",$B17*'rotation(W501D5A)'!O30)</f>
        <v xml:space="preserve"> </v>
      </c>
      <c r="Q17" s="642" t="str">
        <f>IF('rotation(W501D5A)'!P30=0," ",$B17*'rotation(W501D5A)'!P30)</f>
        <v xml:space="preserve"> </v>
      </c>
      <c r="R17" s="642" t="str">
        <f>IF('rotation(W501D5A)'!Q30=0," ",$B17*'rotation(W501D5A)'!Q30)</f>
        <v xml:space="preserve"> </v>
      </c>
      <c r="S17" s="642" t="str">
        <f>IF('rotation(W501D5A)'!R30=0," ",$B17*'rotation(W501D5A)'!R30)</f>
        <v xml:space="preserve"> </v>
      </c>
      <c r="T17" s="642" t="str">
        <f>IF('rotation(W501D5A)'!S30=0," ",$B17*'rotation(W501D5A)'!S30)</f>
        <v xml:space="preserve"> </v>
      </c>
      <c r="U17" s="642" t="str">
        <f>IF('rotation(W501D5A)'!T30=0," ",$B17*'rotation(W501D5A)'!T30)</f>
        <v xml:space="preserve"> </v>
      </c>
      <c r="V17" s="642" t="str">
        <f>IF('rotation(W501D5A)'!U30=0," ",$B17*'rotation(W501D5A)'!U30)</f>
        <v xml:space="preserve"> </v>
      </c>
      <c r="W17" s="642" t="str">
        <f>IF('rotation(W501D5A)'!V30=0," ",$B17*'rotation(W501D5A)'!V30)</f>
        <v xml:space="preserve"> </v>
      </c>
      <c r="X17" s="21">
        <f t="shared" si="0"/>
        <v>0</v>
      </c>
    </row>
    <row r="18" spans="1:24" s="21" customFormat="1">
      <c r="A18" s="641" t="str">
        <f>'GTDB(W501D5A)'!A21</f>
        <v>Clamshells</v>
      </c>
      <c r="B18" s="641">
        <f>'GTDB(W501D5A)'!E21</f>
        <v>81.900000000000006</v>
      </c>
      <c r="C18" s="641" t="str">
        <f>IF('rotation(W501D5A)'!AA33=0," ",B18*'rotation(W501D5A)'!AA33)</f>
        <v xml:space="preserve"> </v>
      </c>
      <c r="D18" s="642" t="str">
        <f>IF('rotation(W501D5A)'!C34=0," ",$B18*'rotation(W501D5A)'!C34)</f>
        <v xml:space="preserve"> </v>
      </c>
      <c r="E18" s="642" t="str">
        <f>IF('rotation(W501D5A)'!D34=0," ",$B18*'rotation(W501D5A)'!D34)</f>
        <v xml:space="preserve"> </v>
      </c>
      <c r="F18" s="642" t="str">
        <f>IF('rotation(W501D5A)'!E34=0," ",$B18*'rotation(W501D5A)'!E34)</f>
        <v xml:space="preserve"> </v>
      </c>
      <c r="G18" s="642" t="str">
        <f>IF('rotation(W501D5A)'!F34=0," ",$B18*'rotation(W501D5A)'!F34)</f>
        <v xml:space="preserve"> </v>
      </c>
      <c r="H18" s="642" t="str">
        <f>IF('rotation(W501D5A)'!G34=0," ",$B18*'rotation(W501D5A)'!G34)</f>
        <v xml:space="preserve"> </v>
      </c>
      <c r="I18" s="642" t="str">
        <f>IF('rotation(W501D5A)'!H34=0," ",$B18*'rotation(W501D5A)'!H34)</f>
        <v xml:space="preserve"> </v>
      </c>
      <c r="J18" s="642" t="str">
        <f>IF('rotation(W501D5A)'!I34=0," ",$B18*'rotation(W501D5A)'!I34)</f>
        <v xml:space="preserve"> </v>
      </c>
      <c r="K18" s="642" t="str">
        <f>IF('rotation(W501D5A)'!J34=0," ",$B18*'rotation(W501D5A)'!J34)</f>
        <v xml:space="preserve"> </v>
      </c>
      <c r="L18" s="642" t="str">
        <f>IF('rotation(W501D5A)'!K34=0," ",$B18*'rotation(W501D5A)'!K34)</f>
        <v xml:space="preserve"> </v>
      </c>
      <c r="M18" s="642" t="str">
        <f>IF('rotation(W501D5A)'!L34=0," ",$B18*'rotation(W501D5A)'!L34)</f>
        <v xml:space="preserve"> </v>
      </c>
      <c r="N18" s="642" t="str">
        <f>IF('rotation(W501D5A)'!M34=0," ",$B18*'rotation(W501D5A)'!M34)</f>
        <v xml:space="preserve"> </v>
      </c>
      <c r="O18" s="642" t="str">
        <f>IF('rotation(W501D5A)'!N34=0," ",$B18*'rotation(W501D5A)'!N34)</f>
        <v xml:space="preserve"> </v>
      </c>
      <c r="P18" s="642" t="str">
        <f>IF('rotation(W501D5A)'!O34=0," ",$B18*'rotation(W501D5A)'!O34)</f>
        <v xml:space="preserve"> </v>
      </c>
      <c r="Q18" s="642" t="str">
        <f>IF('rotation(W501D5A)'!P34=0," ",$B18*'rotation(W501D5A)'!P34)</f>
        <v xml:space="preserve"> </v>
      </c>
      <c r="R18" s="642" t="str">
        <f>IF('rotation(W501D5A)'!Q34=0," ",$B18*'rotation(W501D5A)'!Q34)</f>
        <v xml:space="preserve"> </v>
      </c>
      <c r="S18" s="642" t="str">
        <f>IF('rotation(W501D5A)'!R34=0," ",$B18*'rotation(W501D5A)'!R34)</f>
        <v xml:space="preserve"> </v>
      </c>
      <c r="T18" s="642" t="str">
        <f>IF('rotation(W501D5A)'!S34=0," ",$B18*'rotation(W501D5A)'!S34)</f>
        <v xml:space="preserve"> </v>
      </c>
      <c r="U18" s="642" t="str">
        <f>IF('rotation(W501D5A)'!T34=0," ",$B18*'rotation(W501D5A)'!T34)</f>
        <v xml:space="preserve"> </v>
      </c>
      <c r="V18" s="642" t="str">
        <f>IF('rotation(W501D5A)'!U34=0," ",$B18*'rotation(W501D5A)'!U34)</f>
        <v xml:space="preserve"> </v>
      </c>
      <c r="W18" s="642" t="str">
        <f>IF('rotation(W501D5A)'!V34=0," ",$B18*'rotation(W501D5A)'!V34)</f>
        <v xml:space="preserve"> </v>
      </c>
      <c r="X18" s="21">
        <f t="shared" si="0"/>
        <v>0</v>
      </c>
    </row>
    <row r="19" spans="1:24" s="21" customFormat="1">
      <c r="A19" s="641" t="str">
        <f>'GTDB(W501D5A)'!A22</f>
        <v>Row 1 Blades</v>
      </c>
      <c r="B19" s="641">
        <f>'GTDB(W501D5A)'!E22</f>
        <v>560.11500000000001</v>
      </c>
      <c r="C19" s="641" t="str">
        <f>IF('rotation(W501D5A)'!AA37=0," ",B19*'rotation(W501D5A)'!AA37)</f>
        <v xml:space="preserve"> </v>
      </c>
      <c r="D19" s="642" t="str">
        <f>IF('rotation(W501D5A)'!C38=0," ",$B19*'rotation(W501D5A)'!C38)</f>
        <v xml:space="preserve"> </v>
      </c>
      <c r="E19" s="642" t="str">
        <f>IF('rotation(W501D5A)'!D38=0," ",$B19*'rotation(W501D5A)'!D38)</f>
        <v xml:space="preserve"> </v>
      </c>
      <c r="F19" s="642" t="str">
        <f>IF('rotation(W501D5A)'!E38=0," ",$B19*'rotation(W501D5A)'!E38)</f>
        <v xml:space="preserve"> </v>
      </c>
      <c r="G19" s="642" t="str">
        <f>IF('rotation(W501D5A)'!F38=0," ",$B19*'rotation(W501D5A)'!F38)</f>
        <v xml:space="preserve"> </v>
      </c>
      <c r="H19" s="642" t="str">
        <f>IF('rotation(W501D5A)'!G38=0," ",$B19*'rotation(W501D5A)'!G38)</f>
        <v xml:space="preserve"> </v>
      </c>
      <c r="I19" s="642" t="str">
        <f>IF('rotation(W501D5A)'!H38=0," ",$B19*'rotation(W501D5A)'!H38)</f>
        <v xml:space="preserve"> </v>
      </c>
      <c r="J19" s="642" t="str">
        <f>IF('rotation(W501D5A)'!I38=0," ",$B19*'rotation(W501D5A)'!I38)</f>
        <v xml:space="preserve"> </v>
      </c>
      <c r="K19" s="642" t="str">
        <f>IF('rotation(W501D5A)'!J38=0," ",$B19*'rotation(W501D5A)'!J38)</f>
        <v xml:space="preserve"> </v>
      </c>
      <c r="L19" s="642" t="str">
        <f>IF('rotation(W501D5A)'!K38=0," ",$B19*'rotation(W501D5A)'!K38)</f>
        <v xml:space="preserve"> </v>
      </c>
      <c r="M19" s="642" t="str">
        <f>IF('rotation(W501D5A)'!L38=0," ",$B19*'rotation(W501D5A)'!L38)</f>
        <v xml:space="preserve"> </v>
      </c>
      <c r="N19" s="642" t="str">
        <f>IF('rotation(W501D5A)'!M38=0," ",$B19*'rotation(W501D5A)'!M38)</f>
        <v xml:space="preserve"> </v>
      </c>
      <c r="O19" s="642" t="str">
        <f>IF('rotation(W501D5A)'!N38=0," ",$B19*'rotation(W501D5A)'!N38)</f>
        <v xml:space="preserve"> </v>
      </c>
      <c r="P19" s="642" t="str">
        <f>IF('rotation(W501D5A)'!O38=0," ",$B19*'rotation(W501D5A)'!O38)</f>
        <v xml:space="preserve"> </v>
      </c>
      <c r="Q19" s="642" t="str">
        <f>IF('rotation(W501D5A)'!P38=0," ",$B19*'rotation(W501D5A)'!P38)</f>
        <v xml:space="preserve"> </v>
      </c>
      <c r="R19" s="642" t="str">
        <f>IF('rotation(W501D5A)'!Q38=0," ",$B19*'rotation(W501D5A)'!Q38)</f>
        <v xml:space="preserve"> </v>
      </c>
      <c r="S19" s="642" t="str">
        <f>IF('rotation(W501D5A)'!R38=0," ",$B19*'rotation(W501D5A)'!R38)</f>
        <v xml:space="preserve"> </v>
      </c>
      <c r="T19" s="642" t="str">
        <f>IF('rotation(W501D5A)'!S38=0," ",$B19*'rotation(W501D5A)'!S38)</f>
        <v xml:space="preserve"> </v>
      </c>
      <c r="U19" s="642" t="str">
        <f>IF('rotation(W501D5A)'!T38=0," ",$B19*'rotation(W501D5A)'!T38)</f>
        <v xml:space="preserve"> </v>
      </c>
      <c r="V19" s="642" t="str">
        <f>IF('rotation(W501D5A)'!U38=0," ",$B19*'rotation(W501D5A)'!U38)</f>
        <v xml:space="preserve"> </v>
      </c>
      <c r="W19" s="642" t="str">
        <f>IF('rotation(W501D5A)'!V38=0," ",$B19*'rotation(W501D5A)'!V38)</f>
        <v xml:space="preserve"> </v>
      </c>
      <c r="X19" s="21">
        <f t="shared" si="0"/>
        <v>0</v>
      </c>
    </row>
    <row r="20" spans="1:24" s="21" customFormat="1">
      <c r="A20" s="641" t="str">
        <f>'GTDB(W501D5A)'!A23</f>
        <v>Row 2 Blades</v>
      </c>
      <c r="B20" s="641">
        <f>'GTDB(W501D5A)'!E23</f>
        <v>470.12</v>
      </c>
      <c r="C20" s="641" t="str">
        <f>IF('rotation(W501D5A)'!AA41=0," ",B20*'rotation(W501D5A)'!AA41)</f>
        <v xml:space="preserve"> </v>
      </c>
      <c r="D20" s="642" t="str">
        <f>IF('rotation(W501D5A)'!C42=0," ",$B20*'rotation(W501D5A)'!C42)</f>
        <v xml:space="preserve"> </v>
      </c>
      <c r="E20" s="642" t="str">
        <f>IF('rotation(W501D5A)'!D42=0," ",$B20*'rotation(W501D5A)'!D42)</f>
        <v xml:space="preserve"> </v>
      </c>
      <c r="F20" s="642" t="str">
        <f>IF('rotation(W501D5A)'!E42=0," ",$B20*'rotation(W501D5A)'!E42)</f>
        <v xml:space="preserve"> </v>
      </c>
      <c r="G20" s="642" t="str">
        <f>IF('rotation(W501D5A)'!F42=0," ",$B20*'rotation(W501D5A)'!F42)</f>
        <v xml:space="preserve"> </v>
      </c>
      <c r="H20" s="642" t="str">
        <f>IF('rotation(W501D5A)'!G42=0," ",$B20*'rotation(W501D5A)'!G42)</f>
        <v xml:space="preserve"> </v>
      </c>
      <c r="I20" s="642" t="str">
        <f>IF('rotation(W501D5A)'!H42=0," ",$B20*'rotation(W501D5A)'!H42)</f>
        <v xml:space="preserve"> </v>
      </c>
      <c r="J20" s="642" t="str">
        <f>IF('rotation(W501D5A)'!I42=0," ",$B20*'rotation(W501D5A)'!I42)</f>
        <v xml:space="preserve"> </v>
      </c>
      <c r="K20" s="642" t="str">
        <f>IF('rotation(W501D5A)'!J42=0," ",$B20*'rotation(W501D5A)'!J42)</f>
        <v xml:space="preserve"> </v>
      </c>
      <c r="L20" s="642" t="str">
        <f>IF('rotation(W501D5A)'!K42=0," ",$B20*'rotation(W501D5A)'!K42)</f>
        <v xml:space="preserve"> </v>
      </c>
      <c r="M20" s="642" t="str">
        <f>IF('rotation(W501D5A)'!L42=0," ",$B20*'rotation(W501D5A)'!L42)</f>
        <v xml:space="preserve"> </v>
      </c>
      <c r="N20" s="642" t="str">
        <f>IF('rotation(W501D5A)'!M42=0," ",$B20*'rotation(W501D5A)'!M42)</f>
        <v xml:space="preserve"> </v>
      </c>
      <c r="O20" s="642" t="str">
        <f>IF('rotation(W501D5A)'!N42=0," ",$B20*'rotation(W501D5A)'!N42)</f>
        <v xml:space="preserve"> </v>
      </c>
      <c r="P20" s="642" t="str">
        <f>IF('rotation(W501D5A)'!O42=0," ",$B20*'rotation(W501D5A)'!O42)</f>
        <v xml:space="preserve"> </v>
      </c>
      <c r="Q20" s="642" t="str">
        <f>IF('rotation(W501D5A)'!P42=0," ",$B20*'rotation(W501D5A)'!P42)</f>
        <v xml:space="preserve"> </v>
      </c>
      <c r="R20" s="642" t="str">
        <f>IF('rotation(W501D5A)'!Q42=0," ",$B20*'rotation(W501D5A)'!Q42)</f>
        <v xml:space="preserve"> </v>
      </c>
      <c r="S20" s="642" t="str">
        <f>IF('rotation(W501D5A)'!R42=0," ",$B20*'rotation(W501D5A)'!R42)</f>
        <v xml:space="preserve"> </v>
      </c>
      <c r="T20" s="642" t="str">
        <f>IF('rotation(W501D5A)'!S42=0," ",$B20*'rotation(W501D5A)'!S42)</f>
        <v xml:space="preserve"> </v>
      </c>
      <c r="U20" s="642" t="str">
        <f>IF('rotation(W501D5A)'!T42=0," ",$B20*'rotation(W501D5A)'!T42)</f>
        <v xml:space="preserve"> </v>
      </c>
      <c r="V20" s="642" t="str">
        <f>IF('rotation(W501D5A)'!U42=0," ",$B20*'rotation(W501D5A)'!U42)</f>
        <v xml:space="preserve"> </v>
      </c>
      <c r="W20" s="642" t="str">
        <f>IF('rotation(W501D5A)'!V42=0," ",$B20*'rotation(W501D5A)'!V42)</f>
        <v xml:space="preserve"> </v>
      </c>
      <c r="X20" s="21">
        <f t="shared" si="0"/>
        <v>0</v>
      </c>
    </row>
    <row r="21" spans="1:24" s="21" customFormat="1">
      <c r="A21" s="641" t="str">
        <f>'GTDB(W501D5A)'!A24</f>
        <v>Row 3 Blades</v>
      </c>
      <c r="B21" s="641">
        <f>'GTDB(W501D5A)'!E24</f>
        <v>491.92</v>
      </c>
      <c r="C21" s="641" t="str">
        <f>IF('rotation(W501D5A)'!AA45=0," ",B21*'rotation(W501D5A)'!AA45)</f>
        <v xml:space="preserve"> </v>
      </c>
      <c r="D21" s="642" t="str">
        <f>IF('rotation(W501D5A)'!C46=0," ",$B21*'rotation(W501D5A)'!C46)</f>
        <v xml:space="preserve"> </v>
      </c>
      <c r="E21" s="642" t="str">
        <f>IF('rotation(W501D5A)'!D46=0," ",$B21*'rotation(W501D5A)'!D46)</f>
        <v xml:space="preserve"> </v>
      </c>
      <c r="F21" s="642" t="str">
        <f>IF('rotation(W501D5A)'!E46=0," ",$B21*'rotation(W501D5A)'!E46)</f>
        <v xml:space="preserve"> </v>
      </c>
      <c r="G21" s="642" t="str">
        <f>IF('rotation(W501D5A)'!F46=0," ",$B21*'rotation(W501D5A)'!F46)</f>
        <v xml:space="preserve"> </v>
      </c>
      <c r="H21" s="642" t="str">
        <f>IF('rotation(W501D5A)'!G46=0," ",$B21*'rotation(W501D5A)'!G46)</f>
        <v xml:space="preserve"> </v>
      </c>
      <c r="I21" s="642" t="str">
        <f>IF('rotation(W501D5A)'!H46=0," ",$B21*'rotation(W501D5A)'!H46)</f>
        <v xml:space="preserve"> </v>
      </c>
      <c r="J21" s="642" t="str">
        <f>IF('rotation(W501D5A)'!I46=0," ",$B21*'rotation(W501D5A)'!I46)</f>
        <v xml:space="preserve"> </v>
      </c>
      <c r="K21" s="642" t="str">
        <f>IF('rotation(W501D5A)'!J46=0," ",$B21*'rotation(W501D5A)'!J46)</f>
        <v xml:space="preserve"> </v>
      </c>
      <c r="L21" s="642" t="str">
        <f>IF('rotation(W501D5A)'!K46=0," ",$B21*'rotation(W501D5A)'!K46)</f>
        <v xml:space="preserve"> </v>
      </c>
      <c r="M21" s="642" t="str">
        <f>IF('rotation(W501D5A)'!L46=0," ",$B21*'rotation(W501D5A)'!L46)</f>
        <v xml:space="preserve"> </v>
      </c>
      <c r="N21" s="642" t="str">
        <f>IF('rotation(W501D5A)'!M46=0," ",$B21*'rotation(W501D5A)'!M46)</f>
        <v xml:space="preserve"> </v>
      </c>
      <c r="O21" s="642" t="str">
        <f>IF('rotation(W501D5A)'!N46=0," ",$B21*'rotation(W501D5A)'!N46)</f>
        <v xml:space="preserve"> </v>
      </c>
      <c r="P21" s="642" t="str">
        <f>IF('rotation(W501D5A)'!O46=0," ",$B21*'rotation(W501D5A)'!O46)</f>
        <v xml:space="preserve"> </v>
      </c>
      <c r="Q21" s="642" t="str">
        <f>IF('rotation(W501D5A)'!P46=0," ",$B21*'rotation(W501D5A)'!P46)</f>
        <v xml:space="preserve"> </v>
      </c>
      <c r="R21" s="642" t="str">
        <f>IF('rotation(W501D5A)'!Q46=0," ",$B21*'rotation(W501D5A)'!Q46)</f>
        <v xml:space="preserve"> </v>
      </c>
      <c r="S21" s="642" t="str">
        <f>IF('rotation(W501D5A)'!R46=0," ",$B21*'rotation(W501D5A)'!R46)</f>
        <v xml:space="preserve"> </v>
      </c>
      <c r="T21" s="642" t="str">
        <f>IF('rotation(W501D5A)'!S46=0," ",$B21*'rotation(W501D5A)'!S46)</f>
        <v xml:space="preserve"> </v>
      </c>
      <c r="U21" s="642" t="str">
        <f>IF('rotation(W501D5A)'!T46=0," ",$B21*'rotation(W501D5A)'!T46)</f>
        <v xml:space="preserve"> </v>
      </c>
      <c r="V21" s="642" t="str">
        <f>IF('rotation(W501D5A)'!U46=0," ",$B21*'rotation(W501D5A)'!U46)</f>
        <v xml:space="preserve"> </v>
      </c>
      <c r="W21" s="642" t="str">
        <f>IF('rotation(W501D5A)'!V46=0," ",$B21*'rotation(W501D5A)'!V46)</f>
        <v xml:space="preserve"> </v>
      </c>
      <c r="X21" s="21">
        <f t="shared" si="0"/>
        <v>0</v>
      </c>
    </row>
    <row r="22" spans="1:24" s="21" customFormat="1">
      <c r="A22" s="641" t="str">
        <f>'GTDB(W501D5A)'!A25</f>
        <v>Row 4 Blades</v>
      </c>
      <c r="B22" s="641">
        <f>'GTDB(W501D5A)'!E25</f>
        <v>984.65599999999995</v>
      </c>
      <c r="C22" s="641" t="str">
        <f>IF('rotation(W501D5A)'!AA49=0," ",B22*'rotation(W501D5A)'!AA49)</f>
        <v xml:space="preserve"> </v>
      </c>
      <c r="D22" s="642" t="str">
        <f>IF('rotation(W501D5A)'!C50=0," ",$B22*'rotation(W501D5A)'!C50)</f>
        <v xml:space="preserve"> </v>
      </c>
      <c r="E22" s="642" t="str">
        <f>IF('rotation(W501D5A)'!D50=0," ",$B22*'rotation(W501D5A)'!D50)</f>
        <v xml:space="preserve"> </v>
      </c>
      <c r="F22" s="642" t="str">
        <f>IF('rotation(W501D5A)'!E50=0," ",$B22*'rotation(W501D5A)'!E50)</f>
        <v xml:space="preserve"> </v>
      </c>
      <c r="G22" s="642" t="str">
        <f>IF('rotation(W501D5A)'!F50=0," ",$B22*'rotation(W501D5A)'!F50)</f>
        <v xml:space="preserve"> </v>
      </c>
      <c r="H22" s="642" t="str">
        <f>IF('rotation(W501D5A)'!G50=0," ",$B22*'rotation(W501D5A)'!G50)</f>
        <v xml:space="preserve"> </v>
      </c>
      <c r="I22" s="642" t="str">
        <f>IF('rotation(W501D5A)'!H50=0," ",$B22*'rotation(W501D5A)'!H50)</f>
        <v xml:space="preserve"> </v>
      </c>
      <c r="J22" s="642" t="str">
        <f>IF('rotation(W501D5A)'!I50=0," ",$B22*'rotation(W501D5A)'!I50)</f>
        <v xml:space="preserve"> </v>
      </c>
      <c r="K22" s="642" t="str">
        <f>IF('rotation(W501D5A)'!J50=0," ",$B22*'rotation(W501D5A)'!J50)</f>
        <v xml:space="preserve"> </v>
      </c>
      <c r="L22" s="642" t="str">
        <f>IF('rotation(W501D5A)'!K50=0," ",$B22*'rotation(W501D5A)'!K50)</f>
        <v xml:space="preserve"> </v>
      </c>
      <c r="M22" s="642" t="str">
        <f>IF('rotation(W501D5A)'!L50=0," ",$B22*'rotation(W501D5A)'!L50)</f>
        <v xml:space="preserve"> </v>
      </c>
      <c r="N22" s="642" t="str">
        <f>IF('rotation(W501D5A)'!M50=0," ",$B22*'rotation(W501D5A)'!M50)</f>
        <v xml:space="preserve"> </v>
      </c>
      <c r="O22" s="642" t="str">
        <f>IF('rotation(W501D5A)'!N50=0," ",$B22*'rotation(W501D5A)'!N50)</f>
        <v xml:space="preserve"> </v>
      </c>
      <c r="P22" s="642" t="str">
        <f>IF('rotation(W501D5A)'!O50=0," ",$B22*'rotation(W501D5A)'!O50)</f>
        <v xml:space="preserve"> </v>
      </c>
      <c r="Q22" s="642" t="str">
        <f>IF('rotation(W501D5A)'!P50=0," ",$B22*'rotation(W501D5A)'!P50)</f>
        <v xml:space="preserve"> </v>
      </c>
      <c r="R22" s="642" t="str">
        <f>IF('rotation(W501D5A)'!Q50=0," ",$B22*'rotation(W501D5A)'!Q50)</f>
        <v xml:space="preserve"> </v>
      </c>
      <c r="S22" s="642" t="str">
        <f>IF('rotation(W501D5A)'!R50=0," ",$B22*'rotation(W501D5A)'!R50)</f>
        <v xml:space="preserve"> </v>
      </c>
      <c r="T22" s="642" t="str">
        <f>IF('rotation(W501D5A)'!S50=0," ",$B22*'rotation(W501D5A)'!S50)</f>
        <v xml:space="preserve"> </v>
      </c>
      <c r="U22" s="642" t="str">
        <f>IF('rotation(W501D5A)'!T50=0," ",$B22*'rotation(W501D5A)'!T50)</f>
        <v xml:space="preserve"> </v>
      </c>
      <c r="V22" s="642" t="str">
        <f>IF('rotation(W501D5A)'!U50=0," ",$B22*'rotation(W501D5A)'!U50)</f>
        <v xml:space="preserve"> </v>
      </c>
      <c r="W22" s="642" t="str">
        <f>IF('rotation(W501D5A)'!V50=0," ",$B22*'rotation(W501D5A)'!V50)</f>
        <v xml:space="preserve"> </v>
      </c>
      <c r="X22" s="21">
        <f t="shared" si="0"/>
        <v>0</v>
      </c>
    </row>
    <row r="23" spans="1:24" s="21" customFormat="1">
      <c r="A23" s="641" t="str">
        <f>'GTDB(W501D5A)'!A26</f>
        <v xml:space="preserve">Row 1 Vanes </v>
      </c>
      <c r="B23" s="641">
        <f>'GTDB(W501D5A)'!E26</f>
        <v>900.33600000000001</v>
      </c>
      <c r="C23" s="641" t="str">
        <f>IF('rotation(W501D5A)'!AA53=0," ",B23*'rotation(W501D5A)'!AA53)</f>
        <v xml:space="preserve"> </v>
      </c>
      <c r="D23" s="642" t="str">
        <f>IF('rotation(W501D5A)'!C54=0," ",$B23*'rotation(W501D5A)'!C54)</f>
        <v xml:space="preserve"> </v>
      </c>
      <c r="E23" s="642" t="str">
        <f>IF('rotation(W501D5A)'!D54=0," ",$B23*'rotation(W501D5A)'!D54)</f>
        <v xml:space="preserve"> </v>
      </c>
      <c r="F23" s="642" t="str">
        <f>IF('rotation(W501D5A)'!E54=0," ",$B23*'rotation(W501D5A)'!E54)</f>
        <v xml:space="preserve"> </v>
      </c>
      <c r="G23" s="642" t="str">
        <f>IF('rotation(W501D5A)'!F54=0," ",$B23*'rotation(W501D5A)'!F54)</f>
        <v xml:space="preserve"> </v>
      </c>
      <c r="H23" s="642" t="str">
        <f>IF('rotation(W501D5A)'!G54=0," ",$B23*'rotation(W501D5A)'!G54)</f>
        <v xml:space="preserve"> </v>
      </c>
      <c r="I23" s="642" t="str">
        <f>IF('rotation(W501D5A)'!H54=0," ",$B23*'rotation(W501D5A)'!H54)</f>
        <v xml:space="preserve"> </v>
      </c>
      <c r="J23" s="642" t="str">
        <f>IF('rotation(W501D5A)'!I54=0," ",$B23*'rotation(W501D5A)'!I54)</f>
        <v xml:space="preserve"> </v>
      </c>
      <c r="K23" s="642" t="str">
        <f>IF('rotation(W501D5A)'!J54=0," ",$B23*'rotation(W501D5A)'!J54)</f>
        <v xml:space="preserve"> </v>
      </c>
      <c r="L23" s="642" t="str">
        <f>IF('rotation(W501D5A)'!K54=0," ",$B23*'rotation(W501D5A)'!K54)</f>
        <v xml:space="preserve"> </v>
      </c>
      <c r="M23" s="642" t="str">
        <f>IF('rotation(W501D5A)'!L54=0," ",$B23*'rotation(W501D5A)'!L54)</f>
        <v xml:space="preserve"> </v>
      </c>
      <c r="N23" s="642" t="str">
        <f>IF('rotation(W501D5A)'!M54=0," ",$B23*'rotation(W501D5A)'!M54)</f>
        <v xml:space="preserve"> </v>
      </c>
      <c r="O23" s="642" t="str">
        <f>IF('rotation(W501D5A)'!N54=0," ",$B23*'rotation(W501D5A)'!N54)</f>
        <v xml:space="preserve"> </v>
      </c>
      <c r="P23" s="642" t="str">
        <f>IF('rotation(W501D5A)'!O54=0," ",$B23*'rotation(W501D5A)'!O54)</f>
        <v xml:space="preserve"> </v>
      </c>
      <c r="Q23" s="642" t="str">
        <f>IF('rotation(W501D5A)'!P54=0," ",$B23*'rotation(W501D5A)'!P54)</f>
        <v xml:space="preserve"> </v>
      </c>
      <c r="R23" s="642" t="str">
        <f>IF('rotation(W501D5A)'!Q54=0," ",$B23*'rotation(W501D5A)'!Q54)</f>
        <v xml:space="preserve"> </v>
      </c>
      <c r="S23" s="642" t="str">
        <f>IF('rotation(W501D5A)'!R54=0," ",$B23*'rotation(W501D5A)'!R54)</f>
        <v xml:space="preserve"> </v>
      </c>
      <c r="T23" s="642" t="str">
        <f>IF('rotation(W501D5A)'!S54=0," ",$B23*'rotation(W501D5A)'!S54)</f>
        <v xml:space="preserve"> </v>
      </c>
      <c r="U23" s="642" t="str">
        <f>IF('rotation(W501D5A)'!T54=0," ",$B23*'rotation(W501D5A)'!T54)</f>
        <v xml:space="preserve"> </v>
      </c>
      <c r="V23" s="642" t="str">
        <f>IF('rotation(W501D5A)'!U54=0," ",$B23*'rotation(W501D5A)'!U54)</f>
        <v xml:space="preserve"> </v>
      </c>
      <c r="W23" s="642" t="str">
        <f>IF('rotation(W501D5A)'!V54=0," ",$B23*'rotation(W501D5A)'!V54)</f>
        <v xml:space="preserve"> </v>
      </c>
      <c r="X23" s="21">
        <f t="shared" si="0"/>
        <v>0</v>
      </c>
    </row>
    <row r="24" spans="1:24" s="21" customFormat="1">
      <c r="A24" s="641" t="str">
        <f>'GTDB(W501D5A)'!A27</f>
        <v>Row 2 Vanes</v>
      </c>
      <c r="B24" s="641">
        <f>'GTDB(W501D5A)'!E27</f>
        <v>617.05600000000004</v>
      </c>
      <c r="C24" s="641" t="str">
        <f>IF('rotation(W501D5A)'!AA57=0," ",B24*'rotation(W501D5A)'!AA57)</f>
        <v xml:space="preserve"> </v>
      </c>
      <c r="D24" s="642" t="str">
        <f>IF('rotation(W501D5A)'!C58=0," ",$B24*'rotation(W501D5A)'!C58)</f>
        <v xml:space="preserve"> </v>
      </c>
      <c r="E24" s="642" t="str">
        <f>IF('rotation(W501D5A)'!D58=0," ",$B24*'rotation(W501D5A)'!D58)</f>
        <v xml:space="preserve"> </v>
      </c>
      <c r="F24" s="642" t="str">
        <f>IF('rotation(W501D5A)'!E58=0," ",$B24*'rotation(W501D5A)'!E58)</f>
        <v xml:space="preserve"> </v>
      </c>
      <c r="G24" s="642" t="str">
        <f>IF('rotation(W501D5A)'!F58=0," ",$B24*'rotation(W501D5A)'!F58)</f>
        <v xml:space="preserve"> </v>
      </c>
      <c r="H24" s="642" t="str">
        <f>IF('rotation(W501D5A)'!G58=0," ",$B24*'rotation(W501D5A)'!G58)</f>
        <v xml:space="preserve"> </v>
      </c>
      <c r="I24" s="642" t="str">
        <f>IF('rotation(W501D5A)'!H58=0," ",$B24*'rotation(W501D5A)'!H58)</f>
        <v xml:space="preserve"> </v>
      </c>
      <c r="J24" s="642" t="str">
        <f>IF('rotation(W501D5A)'!I58=0," ",$B24*'rotation(W501D5A)'!I58)</f>
        <v xml:space="preserve"> </v>
      </c>
      <c r="K24" s="642" t="str">
        <f>IF('rotation(W501D5A)'!J58=0," ",$B24*'rotation(W501D5A)'!J58)</f>
        <v xml:space="preserve"> </v>
      </c>
      <c r="L24" s="642" t="str">
        <f>IF('rotation(W501D5A)'!K58=0," ",$B24*'rotation(W501D5A)'!K58)</f>
        <v xml:space="preserve"> </v>
      </c>
      <c r="M24" s="642" t="str">
        <f>IF('rotation(W501D5A)'!L58=0," ",$B24*'rotation(W501D5A)'!L58)</f>
        <v xml:space="preserve"> </v>
      </c>
      <c r="N24" s="642" t="str">
        <f>IF('rotation(W501D5A)'!M58=0," ",$B24*'rotation(W501D5A)'!M58)</f>
        <v xml:space="preserve"> </v>
      </c>
      <c r="O24" s="642" t="str">
        <f>IF('rotation(W501D5A)'!N58=0," ",$B24*'rotation(W501D5A)'!N58)</f>
        <v xml:space="preserve"> </v>
      </c>
      <c r="P24" s="642" t="str">
        <f>IF('rotation(W501D5A)'!O58=0," ",$B24*'rotation(W501D5A)'!O58)</f>
        <v xml:space="preserve"> </v>
      </c>
      <c r="Q24" s="642" t="str">
        <f>IF('rotation(W501D5A)'!P58=0," ",$B24*'rotation(W501D5A)'!P58)</f>
        <v xml:space="preserve"> </v>
      </c>
      <c r="R24" s="642" t="str">
        <f>IF('rotation(W501D5A)'!Q58=0," ",$B24*'rotation(W501D5A)'!Q58)</f>
        <v xml:space="preserve"> </v>
      </c>
      <c r="S24" s="642" t="str">
        <f>IF('rotation(W501D5A)'!R58=0," ",$B24*'rotation(W501D5A)'!R58)</f>
        <v xml:space="preserve"> </v>
      </c>
      <c r="T24" s="642" t="str">
        <f>IF('rotation(W501D5A)'!S58=0," ",$B24*'rotation(W501D5A)'!S58)</f>
        <v xml:space="preserve"> </v>
      </c>
      <c r="U24" s="642" t="str">
        <f>IF('rotation(W501D5A)'!T58=0," ",$B24*'rotation(W501D5A)'!T58)</f>
        <v xml:space="preserve"> </v>
      </c>
      <c r="V24" s="642" t="str">
        <f>IF('rotation(W501D5A)'!U58=0," ",$B24*'rotation(W501D5A)'!U58)</f>
        <v xml:space="preserve"> </v>
      </c>
      <c r="W24" s="642" t="str">
        <f>IF('rotation(W501D5A)'!V58=0," ",$B24*'rotation(W501D5A)'!V58)</f>
        <v xml:space="preserve"> </v>
      </c>
      <c r="X24" s="21">
        <f t="shared" si="0"/>
        <v>0</v>
      </c>
    </row>
    <row r="25" spans="1:24" s="21" customFormat="1">
      <c r="A25" s="641" t="str">
        <f>'GTDB(W501D5A)'!A28</f>
        <v>Row 3 Vanes</v>
      </c>
      <c r="B25" s="641">
        <f>'GTDB(W501D5A)'!E28</f>
        <v>660.00199999999995</v>
      </c>
      <c r="C25" s="641" t="str">
        <f>IF('rotation(W501D5A)'!AA61=0," ",B25*'rotation(W501D5A)'!AA61)</f>
        <v xml:space="preserve"> </v>
      </c>
      <c r="D25" s="642" t="str">
        <f>IF('rotation(W501D5A)'!C62=0," ",$B25*'rotation(W501D5A)'!C62)</f>
        <v xml:space="preserve"> </v>
      </c>
      <c r="E25" s="642" t="str">
        <f>IF('rotation(W501D5A)'!D62=0," ",$B25*'rotation(W501D5A)'!D62)</f>
        <v xml:space="preserve"> </v>
      </c>
      <c r="F25" s="642" t="str">
        <f>IF('rotation(W501D5A)'!E62=0," ",$B25*'rotation(W501D5A)'!E62)</f>
        <v xml:space="preserve"> </v>
      </c>
      <c r="G25" s="642" t="str">
        <f>IF('rotation(W501D5A)'!F62=0," ",$B25*'rotation(W501D5A)'!F62)</f>
        <v xml:space="preserve"> </v>
      </c>
      <c r="H25" s="642" t="str">
        <f>IF('rotation(W501D5A)'!G62=0," ",$B25*'rotation(W501D5A)'!G62)</f>
        <v xml:space="preserve"> </v>
      </c>
      <c r="I25" s="642" t="str">
        <f>IF('rotation(W501D5A)'!H62=0," ",$B25*'rotation(W501D5A)'!H62)</f>
        <v xml:space="preserve"> </v>
      </c>
      <c r="J25" s="642" t="str">
        <f>IF('rotation(W501D5A)'!I62=0," ",$B25*'rotation(W501D5A)'!I62)</f>
        <v xml:space="preserve"> </v>
      </c>
      <c r="K25" s="642" t="str">
        <f>IF('rotation(W501D5A)'!J62=0," ",$B25*'rotation(W501D5A)'!J62)</f>
        <v xml:space="preserve"> </v>
      </c>
      <c r="L25" s="642" t="str">
        <f>IF('rotation(W501D5A)'!K62=0," ",$B25*'rotation(W501D5A)'!K62)</f>
        <v xml:space="preserve"> </v>
      </c>
      <c r="M25" s="642" t="str">
        <f>IF('rotation(W501D5A)'!L62=0," ",$B25*'rotation(W501D5A)'!L62)</f>
        <v xml:space="preserve"> </v>
      </c>
      <c r="N25" s="642" t="str">
        <f>IF('rotation(W501D5A)'!M62=0," ",$B25*'rotation(W501D5A)'!M62)</f>
        <v xml:space="preserve"> </v>
      </c>
      <c r="O25" s="642" t="str">
        <f>IF('rotation(W501D5A)'!N62=0," ",$B25*'rotation(W501D5A)'!N62)</f>
        <v xml:space="preserve"> </v>
      </c>
      <c r="P25" s="642" t="str">
        <f>IF('rotation(W501D5A)'!O62=0," ",$B25*'rotation(W501D5A)'!O62)</f>
        <v xml:space="preserve"> </v>
      </c>
      <c r="Q25" s="642" t="str">
        <f>IF('rotation(W501D5A)'!P62=0," ",$B25*'rotation(W501D5A)'!P62)</f>
        <v xml:space="preserve"> </v>
      </c>
      <c r="R25" s="642" t="str">
        <f>IF('rotation(W501D5A)'!Q62=0," ",$B25*'rotation(W501D5A)'!Q62)</f>
        <v xml:space="preserve"> </v>
      </c>
      <c r="S25" s="642" t="str">
        <f>IF('rotation(W501D5A)'!R62=0," ",$B25*'rotation(W501D5A)'!R62)</f>
        <v xml:space="preserve"> </v>
      </c>
      <c r="T25" s="642" t="str">
        <f>IF('rotation(W501D5A)'!S62=0," ",$B25*'rotation(W501D5A)'!S62)</f>
        <v xml:space="preserve"> </v>
      </c>
      <c r="U25" s="642" t="str">
        <f>IF('rotation(W501D5A)'!T62=0," ",$B25*'rotation(W501D5A)'!T62)</f>
        <v xml:space="preserve"> </v>
      </c>
      <c r="V25" s="642" t="str">
        <f>IF('rotation(W501D5A)'!U62=0," ",$B25*'rotation(W501D5A)'!U62)</f>
        <v xml:space="preserve"> </v>
      </c>
      <c r="W25" s="642" t="str">
        <f>IF('rotation(W501D5A)'!V62=0," ",$B25*'rotation(W501D5A)'!V62)</f>
        <v xml:space="preserve"> </v>
      </c>
      <c r="X25" s="21">
        <f t="shared" si="0"/>
        <v>0</v>
      </c>
    </row>
    <row r="26" spans="1:24" s="21" customFormat="1">
      <c r="A26" s="641" t="str">
        <f>'GTDB(W501D5A)'!A29</f>
        <v>Row 4 Vanes</v>
      </c>
      <c r="B26" s="641">
        <f>'GTDB(W501D5A)'!E29</f>
        <v>709.60400000000004</v>
      </c>
      <c r="C26" s="641" t="str">
        <f>IF('rotation(W501D5A)'!AA65=0," ",B26*'rotation(W501D5A)'!AA65)</f>
        <v xml:space="preserve"> </v>
      </c>
      <c r="D26" s="642" t="str">
        <f>IF('rotation(W501D5A)'!C66=0," ",$B26*'rotation(W501D5A)'!C66)</f>
        <v xml:space="preserve"> </v>
      </c>
      <c r="E26" s="642" t="str">
        <f>IF('rotation(W501D5A)'!D66=0," ",$B26*'rotation(W501D5A)'!D66)</f>
        <v xml:space="preserve"> </v>
      </c>
      <c r="F26" s="642" t="str">
        <f>IF('rotation(W501D5A)'!E66=0," ",$B26*'rotation(W501D5A)'!E66)</f>
        <v xml:space="preserve"> </v>
      </c>
      <c r="G26" s="642" t="str">
        <f>IF('rotation(W501D5A)'!F66=0," ",$B26*'rotation(W501D5A)'!F66)</f>
        <v xml:space="preserve"> </v>
      </c>
      <c r="H26" s="642" t="str">
        <f>IF('rotation(W501D5A)'!G66=0," ",$B26*'rotation(W501D5A)'!G66)</f>
        <v xml:space="preserve"> </v>
      </c>
      <c r="I26" s="642" t="str">
        <f>IF('rotation(W501D5A)'!H66=0," ",$B26*'rotation(W501D5A)'!H66)</f>
        <v xml:space="preserve"> </v>
      </c>
      <c r="J26" s="642" t="str">
        <f>IF('rotation(W501D5A)'!I66=0," ",$B26*'rotation(W501D5A)'!I66)</f>
        <v xml:space="preserve"> </v>
      </c>
      <c r="K26" s="642" t="str">
        <f>IF('rotation(W501D5A)'!J66=0," ",$B26*'rotation(W501D5A)'!J66)</f>
        <v xml:space="preserve"> </v>
      </c>
      <c r="L26" s="642" t="str">
        <f>IF('rotation(W501D5A)'!K66=0," ",$B26*'rotation(W501D5A)'!K66)</f>
        <v xml:space="preserve"> </v>
      </c>
      <c r="M26" s="642" t="str">
        <f>IF('rotation(W501D5A)'!L66=0," ",$B26*'rotation(W501D5A)'!L66)</f>
        <v xml:space="preserve"> </v>
      </c>
      <c r="N26" s="642" t="str">
        <f>IF('rotation(W501D5A)'!M66=0," ",$B26*'rotation(W501D5A)'!M66)</f>
        <v xml:space="preserve"> </v>
      </c>
      <c r="O26" s="642" t="str">
        <f>IF('rotation(W501D5A)'!N66=0," ",$B26*'rotation(W501D5A)'!N66)</f>
        <v xml:space="preserve"> </v>
      </c>
      <c r="P26" s="642" t="str">
        <f>IF('rotation(W501D5A)'!O66=0," ",$B26*'rotation(W501D5A)'!O66)</f>
        <v xml:space="preserve"> </v>
      </c>
      <c r="Q26" s="642" t="str">
        <f>IF('rotation(W501D5A)'!P66=0," ",$B26*'rotation(W501D5A)'!P66)</f>
        <v xml:space="preserve"> </v>
      </c>
      <c r="R26" s="642" t="str">
        <f>IF('rotation(W501D5A)'!Q66=0," ",$B26*'rotation(W501D5A)'!Q66)</f>
        <v xml:space="preserve"> </v>
      </c>
      <c r="S26" s="642" t="str">
        <f>IF('rotation(W501D5A)'!R66=0," ",$B26*'rotation(W501D5A)'!R66)</f>
        <v xml:space="preserve"> </v>
      </c>
      <c r="T26" s="642" t="str">
        <f>IF('rotation(W501D5A)'!S66=0," ",$B26*'rotation(W501D5A)'!S66)</f>
        <v xml:space="preserve"> </v>
      </c>
      <c r="U26" s="642" t="str">
        <f>IF('rotation(W501D5A)'!T66=0," ",$B26*'rotation(W501D5A)'!T66)</f>
        <v xml:space="preserve"> </v>
      </c>
      <c r="V26" s="642" t="str">
        <f>IF('rotation(W501D5A)'!U66=0," ",$B26*'rotation(W501D5A)'!U66)</f>
        <v xml:space="preserve"> </v>
      </c>
      <c r="W26" s="642" t="str">
        <f>IF('rotation(W501D5A)'!V66=0," ",$B26*'rotation(W501D5A)'!V66)</f>
        <v xml:space="preserve"> </v>
      </c>
      <c r="X26" s="21">
        <f t="shared" si="0"/>
        <v>0</v>
      </c>
    </row>
    <row r="27" spans="1:24" s="21" customFormat="1">
      <c r="A27" s="641" t="str">
        <f>'GTDB(W501D5A)'!A30</f>
        <v>Row 1 ring segments</v>
      </c>
      <c r="B27" s="641">
        <f>'GTDB(W501D5A)'!E30</f>
        <v>128.88</v>
      </c>
      <c r="C27" s="641" t="str">
        <f>IF('rotation(W501D5A)'!AA69=0," ",B27*'rotation(W501D5A)'!AA69)</f>
        <v xml:space="preserve"> </v>
      </c>
      <c r="D27" s="642" t="str">
        <f>IF('rotation(W501D5A)'!C70=0," ",$B27*'rotation(W501D5A)'!C70)</f>
        <v xml:space="preserve"> </v>
      </c>
      <c r="E27" s="642" t="str">
        <f>IF('rotation(W501D5A)'!D70=0," ",$B27*'rotation(W501D5A)'!D70)</f>
        <v xml:space="preserve"> </v>
      </c>
      <c r="F27" s="642" t="str">
        <f>IF('rotation(W501D5A)'!E70=0," ",$B27*'rotation(W501D5A)'!E70)</f>
        <v xml:space="preserve"> </v>
      </c>
      <c r="G27" s="642" t="str">
        <f>IF('rotation(W501D5A)'!F70=0," ",$B27*'rotation(W501D5A)'!F70)</f>
        <v xml:space="preserve"> </v>
      </c>
      <c r="H27" s="642" t="str">
        <f>IF('rotation(W501D5A)'!G70=0," ",$B27*'rotation(W501D5A)'!G70)</f>
        <v xml:space="preserve"> </v>
      </c>
      <c r="I27" s="642" t="str">
        <f>IF('rotation(W501D5A)'!H70=0," ",$B27*'rotation(W501D5A)'!H70)</f>
        <v xml:space="preserve"> </v>
      </c>
      <c r="J27" s="642" t="str">
        <f>IF('rotation(W501D5A)'!I70=0," ",$B27*'rotation(W501D5A)'!I70)</f>
        <v xml:space="preserve"> </v>
      </c>
      <c r="K27" s="642" t="str">
        <f>IF('rotation(W501D5A)'!J70=0," ",$B27*'rotation(W501D5A)'!J70)</f>
        <v xml:space="preserve"> </v>
      </c>
      <c r="L27" s="642" t="str">
        <f>IF('rotation(W501D5A)'!K70=0," ",$B27*'rotation(W501D5A)'!K70)</f>
        <v xml:space="preserve"> </v>
      </c>
      <c r="M27" s="642" t="str">
        <f>IF('rotation(W501D5A)'!L70=0," ",$B27*'rotation(W501D5A)'!L70)</f>
        <v xml:space="preserve"> </v>
      </c>
      <c r="N27" s="642" t="str">
        <f>IF('rotation(W501D5A)'!M70=0," ",$B27*'rotation(W501D5A)'!M70)</f>
        <v xml:space="preserve"> </v>
      </c>
      <c r="O27" s="642" t="str">
        <f>IF('rotation(W501D5A)'!N70=0," ",$B27*'rotation(W501D5A)'!N70)</f>
        <v xml:space="preserve"> </v>
      </c>
      <c r="P27" s="642" t="str">
        <f>IF('rotation(W501D5A)'!O70=0," ",$B27*'rotation(W501D5A)'!O70)</f>
        <v xml:space="preserve"> </v>
      </c>
      <c r="Q27" s="642" t="str">
        <f>IF('rotation(W501D5A)'!P70=0," ",$B27*'rotation(W501D5A)'!P70)</f>
        <v xml:space="preserve"> </v>
      </c>
      <c r="R27" s="642" t="str">
        <f>IF('rotation(W501D5A)'!Q70=0," ",$B27*'rotation(W501D5A)'!Q70)</f>
        <v xml:space="preserve"> </v>
      </c>
      <c r="S27" s="642" t="str">
        <f>IF('rotation(W501D5A)'!R70=0," ",$B27*'rotation(W501D5A)'!R70)</f>
        <v xml:space="preserve"> </v>
      </c>
      <c r="T27" s="642" t="str">
        <f>IF('rotation(W501D5A)'!S70=0," ",$B27*'rotation(W501D5A)'!S70)</f>
        <v xml:space="preserve"> </v>
      </c>
      <c r="U27" s="642" t="str">
        <f>IF('rotation(W501D5A)'!T70=0," ",$B27*'rotation(W501D5A)'!T70)</f>
        <v xml:space="preserve"> </v>
      </c>
      <c r="V27" s="642" t="str">
        <f>IF('rotation(W501D5A)'!U70=0," ",$B27*'rotation(W501D5A)'!U70)</f>
        <v xml:space="preserve"> </v>
      </c>
      <c r="W27" s="642" t="str">
        <f>IF('rotation(W501D5A)'!V70=0," ",$B27*'rotation(W501D5A)'!V70)</f>
        <v xml:space="preserve"> </v>
      </c>
      <c r="X27" s="21">
        <f t="shared" si="0"/>
        <v>0</v>
      </c>
    </row>
    <row r="28" spans="1:24" s="21" customFormat="1">
      <c r="A28" s="641" t="str">
        <f>'GTDB(W501D5A)'!A31</f>
        <v>Row 2 ring segments</v>
      </c>
      <c r="B28" s="641">
        <f>'GTDB(W501D5A)'!E31</f>
        <v>117.504</v>
      </c>
      <c r="C28" s="641" t="str">
        <f>IF('rotation(W501D5A)'!AA73=0," ",B28*'rotation(W501D5A)'!AA73)</f>
        <v xml:space="preserve"> </v>
      </c>
      <c r="D28" s="642" t="str">
        <f>IF('rotation(W501D5A)'!C74=0," ",$B28*'rotation(W501D5A)'!C74)</f>
        <v xml:space="preserve"> </v>
      </c>
      <c r="E28" s="642" t="str">
        <f>IF('rotation(W501D5A)'!D74=0," ",$B28*'rotation(W501D5A)'!D74)</f>
        <v xml:space="preserve"> </v>
      </c>
      <c r="F28" s="642" t="str">
        <f>IF('rotation(W501D5A)'!E74=0," ",$B28*'rotation(W501D5A)'!E74)</f>
        <v xml:space="preserve"> </v>
      </c>
      <c r="G28" s="642" t="str">
        <f>IF('rotation(W501D5A)'!F74=0," ",$B28*'rotation(W501D5A)'!F74)</f>
        <v xml:space="preserve"> </v>
      </c>
      <c r="H28" s="642" t="str">
        <f>IF('rotation(W501D5A)'!G74=0," ",$B28*'rotation(W501D5A)'!G74)</f>
        <v xml:space="preserve"> </v>
      </c>
      <c r="I28" s="642" t="str">
        <f>IF('rotation(W501D5A)'!H74=0," ",$B28*'rotation(W501D5A)'!H74)</f>
        <v xml:space="preserve"> </v>
      </c>
      <c r="J28" s="642" t="str">
        <f>IF('rotation(W501D5A)'!I74=0," ",$B28*'rotation(W501D5A)'!I74)</f>
        <v xml:space="preserve"> </v>
      </c>
      <c r="K28" s="642" t="str">
        <f>IF('rotation(W501D5A)'!J74=0," ",$B28*'rotation(W501D5A)'!J74)</f>
        <v xml:space="preserve"> </v>
      </c>
      <c r="L28" s="642" t="str">
        <f>IF('rotation(W501D5A)'!K74=0," ",$B28*'rotation(W501D5A)'!K74)</f>
        <v xml:space="preserve"> </v>
      </c>
      <c r="M28" s="642" t="str">
        <f>IF('rotation(W501D5A)'!L74=0," ",$B28*'rotation(W501D5A)'!L74)</f>
        <v xml:space="preserve"> </v>
      </c>
      <c r="N28" s="642" t="str">
        <f>IF('rotation(W501D5A)'!M74=0," ",$B28*'rotation(W501D5A)'!M74)</f>
        <v xml:space="preserve"> </v>
      </c>
      <c r="O28" s="642" t="str">
        <f>IF('rotation(W501D5A)'!N74=0," ",$B28*'rotation(W501D5A)'!N74)</f>
        <v xml:space="preserve"> </v>
      </c>
      <c r="P28" s="642" t="str">
        <f>IF('rotation(W501D5A)'!O74=0," ",$B28*'rotation(W501D5A)'!O74)</f>
        <v xml:space="preserve"> </v>
      </c>
      <c r="Q28" s="642" t="str">
        <f>IF('rotation(W501D5A)'!P74=0," ",$B28*'rotation(W501D5A)'!P74)</f>
        <v xml:space="preserve"> </v>
      </c>
      <c r="R28" s="642" t="str">
        <f>IF('rotation(W501D5A)'!Q74=0," ",$B28*'rotation(W501D5A)'!Q74)</f>
        <v xml:space="preserve"> </v>
      </c>
      <c r="S28" s="642" t="str">
        <f>IF('rotation(W501D5A)'!R74=0," ",$B28*'rotation(W501D5A)'!R74)</f>
        <v xml:space="preserve"> </v>
      </c>
      <c r="T28" s="642" t="str">
        <f>IF('rotation(W501D5A)'!S74=0," ",$B28*'rotation(W501D5A)'!S74)</f>
        <v xml:space="preserve"> </v>
      </c>
      <c r="U28" s="642" t="str">
        <f>IF('rotation(W501D5A)'!T74=0," ",$B28*'rotation(W501D5A)'!T74)</f>
        <v xml:space="preserve"> </v>
      </c>
      <c r="V28" s="642" t="str">
        <f>IF('rotation(W501D5A)'!U74=0," ",$B28*'rotation(W501D5A)'!U74)</f>
        <v xml:space="preserve"> </v>
      </c>
      <c r="W28" s="642" t="str">
        <f>IF('rotation(W501D5A)'!V74=0," ",$B28*'rotation(W501D5A)'!V74)</f>
        <v xml:space="preserve"> </v>
      </c>
      <c r="X28" s="21">
        <f t="shared" si="0"/>
        <v>0</v>
      </c>
    </row>
    <row r="29" spans="1:24" s="21" customFormat="1">
      <c r="A29" s="641" t="str">
        <f>'GTDB(W501D5A)'!A32</f>
        <v>Row 3 rings segments</v>
      </c>
      <c r="B29" s="641">
        <f>'GTDB(W501D5A)'!E32</f>
        <v>64.739999999999995</v>
      </c>
      <c r="C29" s="641" t="str">
        <f>IF('rotation(W501D5A)'!AA77=0," ",B29*'rotation(W501D5A)'!AA77)</f>
        <v xml:space="preserve"> </v>
      </c>
      <c r="D29" s="642" t="str">
        <f>IF('rotation(W501D5A)'!C78=0," ",$B29*'rotation(W501D5A)'!C78)</f>
        <v xml:space="preserve"> </v>
      </c>
      <c r="E29" s="642" t="str">
        <f>IF('rotation(W501D5A)'!D78=0," ",$B29*'rotation(W501D5A)'!D78)</f>
        <v xml:space="preserve"> </v>
      </c>
      <c r="F29" s="642" t="str">
        <f>IF('rotation(W501D5A)'!E78=0," ",$B29*'rotation(W501D5A)'!E78)</f>
        <v xml:space="preserve"> </v>
      </c>
      <c r="G29" s="642" t="str">
        <f>IF('rotation(W501D5A)'!F78=0," ",$B29*'rotation(W501D5A)'!F78)</f>
        <v xml:space="preserve"> </v>
      </c>
      <c r="H29" s="642" t="str">
        <f>IF('rotation(W501D5A)'!G78=0," ",$B29*'rotation(W501D5A)'!G78)</f>
        <v xml:space="preserve"> </v>
      </c>
      <c r="I29" s="642" t="str">
        <f>IF('rotation(W501D5A)'!H78=0," ",$B29*'rotation(W501D5A)'!H78)</f>
        <v xml:space="preserve"> </v>
      </c>
      <c r="J29" s="642" t="str">
        <f>IF('rotation(W501D5A)'!I78=0," ",$B29*'rotation(W501D5A)'!I78)</f>
        <v xml:space="preserve"> </v>
      </c>
      <c r="K29" s="642" t="str">
        <f>IF('rotation(W501D5A)'!J78=0," ",$B29*'rotation(W501D5A)'!J78)</f>
        <v xml:space="preserve"> </v>
      </c>
      <c r="L29" s="642" t="str">
        <f>IF('rotation(W501D5A)'!K78=0," ",$B29*'rotation(W501D5A)'!K78)</f>
        <v xml:space="preserve"> </v>
      </c>
      <c r="M29" s="642" t="str">
        <f>IF('rotation(W501D5A)'!L78=0," ",$B29*'rotation(W501D5A)'!L78)</f>
        <v xml:space="preserve"> </v>
      </c>
      <c r="N29" s="642" t="str">
        <f>IF('rotation(W501D5A)'!M78=0," ",$B29*'rotation(W501D5A)'!M78)</f>
        <v xml:space="preserve"> </v>
      </c>
      <c r="O29" s="642" t="str">
        <f>IF('rotation(W501D5A)'!N78=0," ",$B29*'rotation(W501D5A)'!N78)</f>
        <v xml:space="preserve"> </v>
      </c>
      <c r="P29" s="642" t="str">
        <f>IF('rotation(W501D5A)'!O78=0," ",$B29*'rotation(W501D5A)'!O78)</f>
        <v xml:space="preserve"> </v>
      </c>
      <c r="Q29" s="642" t="str">
        <f>IF('rotation(W501D5A)'!P78=0," ",$B29*'rotation(W501D5A)'!P78)</f>
        <v xml:space="preserve"> </v>
      </c>
      <c r="R29" s="642" t="str">
        <f>IF('rotation(W501D5A)'!Q78=0," ",$B29*'rotation(W501D5A)'!Q78)</f>
        <v xml:space="preserve"> </v>
      </c>
      <c r="S29" s="642" t="str">
        <f>IF('rotation(W501D5A)'!R78=0," ",$B29*'rotation(W501D5A)'!R78)</f>
        <v xml:space="preserve"> </v>
      </c>
      <c r="T29" s="642" t="str">
        <f>IF('rotation(W501D5A)'!S78=0," ",$B29*'rotation(W501D5A)'!S78)</f>
        <v xml:space="preserve"> </v>
      </c>
      <c r="U29" s="642" t="str">
        <f>IF('rotation(W501D5A)'!T78=0," ",$B29*'rotation(W501D5A)'!T78)</f>
        <v xml:space="preserve"> </v>
      </c>
      <c r="V29" s="642" t="str">
        <f>IF('rotation(W501D5A)'!U78=0," ",$B29*'rotation(W501D5A)'!U78)</f>
        <v xml:space="preserve"> </v>
      </c>
      <c r="W29" s="642" t="str">
        <f>IF('rotation(W501D5A)'!V78=0," ",$B29*'rotation(W501D5A)'!V78)</f>
        <v xml:space="preserve"> </v>
      </c>
      <c r="X29" s="21">
        <f t="shared" si="0"/>
        <v>0</v>
      </c>
    </row>
    <row r="30" spans="1:24" s="21" customFormat="1">
      <c r="A30" s="641" t="str">
        <f>'GTDB(W501D5A)'!A33</f>
        <v>Row 4 rings segments</v>
      </c>
      <c r="B30" s="641">
        <f>'GTDB(W501D5A)'!E33</f>
        <v>125.075</v>
      </c>
      <c r="C30" s="641" t="str">
        <f>IF('rotation(W501D5A)'!AA81=0," ",B30*'rotation(W501D5A)'!AA81)</f>
        <v xml:space="preserve"> </v>
      </c>
      <c r="D30" s="642" t="str">
        <f>IF('rotation(W501D5A)'!C82=0," ",$B30*'rotation(W501D5A)'!C82)</f>
        <v xml:space="preserve"> </v>
      </c>
      <c r="E30" s="642" t="str">
        <f>IF('rotation(W501D5A)'!D82=0," ",$B30*'rotation(W501D5A)'!D82)</f>
        <v xml:space="preserve"> </v>
      </c>
      <c r="F30" s="642" t="str">
        <f>IF('rotation(W501D5A)'!E82=0," ",$B30*'rotation(W501D5A)'!E82)</f>
        <v xml:space="preserve"> </v>
      </c>
      <c r="G30" s="642" t="str">
        <f>IF('rotation(W501D5A)'!F82=0," ",$B30*'rotation(W501D5A)'!F82)</f>
        <v xml:space="preserve"> </v>
      </c>
      <c r="H30" s="642" t="str">
        <f>IF('rotation(W501D5A)'!G82=0," ",$B30*'rotation(W501D5A)'!G82)</f>
        <v xml:space="preserve"> </v>
      </c>
      <c r="I30" s="642" t="str">
        <f>IF('rotation(W501D5A)'!H82=0," ",$B30*'rotation(W501D5A)'!H82)</f>
        <v xml:space="preserve"> </v>
      </c>
      <c r="J30" s="642" t="str">
        <f>IF('rotation(W501D5A)'!I82=0," ",$B30*'rotation(W501D5A)'!I82)</f>
        <v xml:space="preserve"> </v>
      </c>
      <c r="K30" s="642" t="str">
        <f>IF('rotation(W501D5A)'!J82=0," ",$B30*'rotation(W501D5A)'!J82)</f>
        <v xml:space="preserve"> </v>
      </c>
      <c r="L30" s="642" t="str">
        <f>IF('rotation(W501D5A)'!K82=0," ",$B30*'rotation(W501D5A)'!K82)</f>
        <v xml:space="preserve"> </v>
      </c>
      <c r="M30" s="642" t="str">
        <f>IF('rotation(W501D5A)'!L82=0," ",$B30*'rotation(W501D5A)'!L82)</f>
        <v xml:space="preserve"> </v>
      </c>
      <c r="N30" s="642" t="str">
        <f>IF('rotation(W501D5A)'!M82=0," ",$B30*'rotation(W501D5A)'!M82)</f>
        <v xml:space="preserve"> </v>
      </c>
      <c r="O30" s="642" t="str">
        <f>IF('rotation(W501D5A)'!N82=0," ",$B30*'rotation(W501D5A)'!N82)</f>
        <v xml:space="preserve"> </v>
      </c>
      <c r="P30" s="642" t="str">
        <f>IF('rotation(W501D5A)'!O82=0," ",$B30*'rotation(W501D5A)'!O82)</f>
        <v xml:space="preserve"> </v>
      </c>
      <c r="Q30" s="642" t="str">
        <f>IF('rotation(W501D5A)'!P82=0," ",$B30*'rotation(W501D5A)'!P82)</f>
        <v xml:space="preserve"> </v>
      </c>
      <c r="R30" s="642" t="str">
        <f>IF('rotation(W501D5A)'!Q82=0," ",$B30*'rotation(W501D5A)'!Q82)</f>
        <v xml:space="preserve"> </v>
      </c>
      <c r="S30" s="642" t="str">
        <f>IF('rotation(W501D5A)'!R82=0," ",$B30*'rotation(W501D5A)'!R82)</f>
        <v xml:space="preserve"> </v>
      </c>
      <c r="T30" s="642" t="str">
        <f>IF('rotation(W501D5A)'!S82=0," ",$B30*'rotation(W501D5A)'!S82)</f>
        <v xml:space="preserve"> </v>
      </c>
      <c r="U30" s="642" t="str">
        <f>IF('rotation(W501D5A)'!T82=0," ",$B30*'rotation(W501D5A)'!T82)</f>
        <v xml:space="preserve"> </v>
      </c>
      <c r="V30" s="642" t="str">
        <f>IF('rotation(W501D5A)'!U82=0," ",$B30*'rotation(W501D5A)'!U82)</f>
        <v xml:space="preserve"> </v>
      </c>
      <c r="W30" s="642" t="str">
        <f>IF('rotation(W501D5A)'!V82=0," ",$B30*'rotation(W501D5A)'!V82)</f>
        <v xml:space="preserve"> </v>
      </c>
      <c r="X30" s="21">
        <f t="shared" si="0"/>
        <v>0</v>
      </c>
    </row>
    <row r="31" spans="1:24" s="21" customFormat="1">
      <c r="A31" s="641" t="str">
        <f>'GTDB(W501D5A)'!A34</f>
        <v>Comp Rotor Blades</v>
      </c>
      <c r="B31" s="641">
        <f>'GTDB(W501D5A)'!E34</f>
        <v>654.33500000000004</v>
      </c>
      <c r="C31" s="641" t="str">
        <f>IF('rotation(W501D5A)'!AA85=0," ",B31*'rotation(W501D5A)'!AA85)</f>
        <v xml:space="preserve"> </v>
      </c>
      <c r="D31" s="642" t="str">
        <f>IF('rotation(W501D5A)'!C86=0," ",$B31*'rotation(W501D5A)'!C86)</f>
        <v xml:space="preserve"> </v>
      </c>
      <c r="E31" s="642" t="str">
        <f>IF('rotation(W501D5A)'!D86=0," ",$B31*'rotation(W501D5A)'!D86)</f>
        <v xml:space="preserve"> </v>
      </c>
      <c r="F31" s="642" t="str">
        <f>IF('rotation(W501D5A)'!E86=0," ",$B31*'rotation(W501D5A)'!E86)</f>
        <v xml:space="preserve"> </v>
      </c>
      <c r="G31" s="642" t="str">
        <f>IF('rotation(W501D5A)'!F86=0," ",$B31*'rotation(W501D5A)'!F86)</f>
        <v xml:space="preserve"> </v>
      </c>
      <c r="H31" s="642" t="str">
        <f>IF('rotation(W501D5A)'!G86=0," ",$B31*'rotation(W501D5A)'!G86)</f>
        <v xml:space="preserve"> </v>
      </c>
      <c r="I31" s="642" t="str">
        <f>IF('rotation(W501D5A)'!H86=0," ",$B31*'rotation(W501D5A)'!H86)</f>
        <v xml:space="preserve"> </v>
      </c>
      <c r="J31" s="642" t="str">
        <f>IF('rotation(W501D5A)'!I86=0," ",$B31*'rotation(W501D5A)'!I86)</f>
        <v xml:space="preserve"> </v>
      </c>
      <c r="K31" s="642" t="str">
        <f>IF('rotation(W501D5A)'!J86=0," ",$B31*'rotation(W501D5A)'!J86)</f>
        <v xml:space="preserve"> </v>
      </c>
      <c r="L31" s="642" t="str">
        <f>IF('rotation(W501D5A)'!K86=0," ",$B31*'rotation(W501D5A)'!K86)</f>
        <v xml:space="preserve"> </v>
      </c>
      <c r="M31" s="642" t="str">
        <f>IF('rotation(W501D5A)'!L86=0," ",$B31*'rotation(W501D5A)'!L86)</f>
        <v xml:space="preserve"> </v>
      </c>
      <c r="N31" s="642" t="str">
        <f>IF('rotation(W501D5A)'!M86=0," ",$B31*'rotation(W501D5A)'!M86)</f>
        <v xml:space="preserve"> </v>
      </c>
      <c r="O31" s="642" t="str">
        <f>IF('rotation(W501D5A)'!N86=0," ",$B31*'rotation(W501D5A)'!N86)</f>
        <v xml:space="preserve"> </v>
      </c>
      <c r="P31" s="642" t="str">
        <f>IF('rotation(W501D5A)'!O86=0," ",$B31*'rotation(W501D5A)'!O86)</f>
        <v xml:space="preserve"> </v>
      </c>
      <c r="Q31" s="642" t="str">
        <f>IF('rotation(W501D5A)'!P86=0," ",$B31*'rotation(W501D5A)'!P86)</f>
        <v xml:space="preserve"> </v>
      </c>
      <c r="R31" s="642" t="str">
        <f>IF('rotation(W501D5A)'!Q86=0," ",$B31*'rotation(W501D5A)'!Q86)</f>
        <v xml:space="preserve"> </v>
      </c>
      <c r="S31" s="642" t="str">
        <f>IF('rotation(W501D5A)'!R86=0," ",$B31*'rotation(W501D5A)'!R86)</f>
        <v xml:space="preserve"> </v>
      </c>
      <c r="T31" s="642" t="str">
        <f>IF('rotation(W501D5A)'!S86=0," ",$B31*'rotation(W501D5A)'!S86)</f>
        <v xml:space="preserve"> </v>
      </c>
      <c r="U31" s="642" t="str">
        <f>IF('rotation(W501D5A)'!T86=0," ",$B31*'rotation(W501D5A)'!T86)</f>
        <v xml:space="preserve"> </v>
      </c>
      <c r="V31" s="642" t="str">
        <f>IF('rotation(W501D5A)'!U86=0," ",$B31*'rotation(W501D5A)'!U86)</f>
        <v xml:space="preserve"> </v>
      </c>
      <c r="W31" s="642" t="str">
        <f>IF('rotation(W501D5A)'!V86=0," ",$B31*'rotation(W501D5A)'!V86)</f>
        <v xml:space="preserve"> </v>
      </c>
      <c r="X31" s="21">
        <f t="shared" si="0"/>
        <v>0</v>
      </c>
    </row>
    <row r="32" spans="1:24" s="21" customFormat="1">
      <c r="A32" s="641" t="str">
        <f>'GTDB(W501D5A)'!A35</f>
        <v>Comp Diaphragms</v>
      </c>
      <c r="B32" s="641">
        <f>'GTDB(W501D5A)'!E35</f>
        <v>1817.5319999999999</v>
      </c>
      <c r="C32" s="641" t="str">
        <f>IF('rotation(W501D5A)'!AA89=0," ",B32*'rotation(W501D5A)'!AA89)</f>
        <v xml:space="preserve"> </v>
      </c>
      <c r="D32" s="642" t="str">
        <f>IF('rotation(W501D5A)'!C90=0," ",$B32*'rotation(W501D5A)'!C90)</f>
        <v xml:space="preserve"> </v>
      </c>
      <c r="E32" s="642" t="str">
        <f>IF('rotation(W501D5A)'!D90=0," ",$B32*'rotation(W501D5A)'!D90)</f>
        <v xml:space="preserve"> </v>
      </c>
      <c r="F32" s="642" t="str">
        <f>IF('rotation(W501D5A)'!E90=0," ",$B32*'rotation(W501D5A)'!E90)</f>
        <v xml:space="preserve"> </v>
      </c>
      <c r="G32" s="642" t="str">
        <f>IF('rotation(W501D5A)'!F90=0," ",$B32*'rotation(W501D5A)'!F90)</f>
        <v xml:space="preserve"> </v>
      </c>
      <c r="H32" s="642" t="str">
        <f>IF('rotation(W501D5A)'!G90=0," ",$B32*'rotation(W501D5A)'!G90)</f>
        <v xml:space="preserve"> </v>
      </c>
      <c r="I32" s="642" t="str">
        <f>IF('rotation(W501D5A)'!H90=0," ",$B32*'rotation(W501D5A)'!H90)</f>
        <v xml:space="preserve"> </v>
      </c>
      <c r="J32" s="642" t="str">
        <f>IF('rotation(W501D5A)'!I90=0," ",$B32*'rotation(W501D5A)'!I90)</f>
        <v xml:space="preserve"> </v>
      </c>
      <c r="K32" s="642" t="str">
        <f>IF('rotation(W501D5A)'!J90=0," ",$B32*'rotation(W501D5A)'!J90)</f>
        <v xml:space="preserve"> </v>
      </c>
      <c r="L32" s="642" t="str">
        <f>IF('rotation(W501D5A)'!K90=0," ",$B32*'rotation(W501D5A)'!K90)</f>
        <v xml:space="preserve"> </v>
      </c>
      <c r="M32" s="642" t="str">
        <f>IF('rotation(W501D5A)'!L90=0," ",$B32*'rotation(W501D5A)'!L90)</f>
        <v xml:space="preserve"> </v>
      </c>
      <c r="N32" s="642" t="str">
        <f>IF('rotation(W501D5A)'!M90=0," ",$B32*'rotation(W501D5A)'!M90)</f>
        <v xml:space="preserve"> </v>
      </c>
      <c r="O32" s="642" t="str">
        <f>IF('rotation(W501D5A)'!N90=0," ",$B32*'rotation(W501D5A)'!N90)</f>
        <v xml:space="preserve"> </v>
      </c>
      <c r="P32" s="642" t="str">
        <f>IF('rotation(W501D5A)'!O90=0," ",$B32*'rotation(W501D5A)'!O90)</f>
        <v xml:space="preserve"> </v>
      </c>
      <c r="Q32" s="642" t="str">
        <f>IF('rotation(W501D5A)'!P90=0," ",$B32*'rotation(W501D5A)'!P90)</f>
        <v xml:space="preserve"> </v>
      </c>
      <c r="R32" s="642" t="str">
        <f>IF('rotation(W501D5A)'!Q90=0," ",$B32*'rotation(W501D5A)'!Q90)</f>
        <v xml:space="preserve"> </v>
      </c>
      <c r="S32" s="642" t="str">
        <f>IF('rotation(W501D5A)'!R90=0," ",$B32*'rotation(W501D5A)'!R90)</f>
        <v xml:space="preserve"> </v>
      </c>
      <c r="T32" s="642" t="str">
        <f>IF('rotation(W501D5A)'!S90=0," ",$B32*'rotation(W501D5A)'!S90)</f>
        <v xml:space="preserve"> </v>
      </c>
      <c r="U32" s="642" t="str">
        <f>IF('rotation(W501D5A)'!T90=0," ",$B32*'rotation(W501D5A)'!T90)</f>
        <v xml:space="preserve"> </v>
      </c>
      <c r="V32" s="642" t="str">
        <f>IF('rotation(W501D5A)'!U90=0," ",$B32*'rotation(W501D5A)'!U90)</f>
        <v xml:space="preserve"> </v>
      </c>
      <c r="W32" s="642" t="str">
        <f>IF('rotation(W501D5A)'!V90=0," ",$B32*'rotation(W501D5A)'!V90)</f>
        <v xml:space="preserve"> </v>
      </c>
      <c r="X32" s="21">
        <f t="shared" si="0"/>
        <v>0</v>
      </c>
    </row>
    <row r="33" spans="1:24" s="21" customFormat="1" ht="15.75" customHeight="1">
      <c r="A33" s="640" t="s">
        <v>907</v>
      </c>
      <c r="C33" s="21">
        <f t="shared" ref="C33:W33" si="1">SUM(C14:C32)</f>
        <v>0</v>
      </c>
      <c r="D33" s="21">
        <f t="shared" si="1"/>
        <v>0</v>
      </c>
      <c r="E33" s="21">
        <f t="shared" si="1"/>
        <v>0</v>
      </c>
      <c r="F33" s="21">
        <f t="shared" si="1"/>
        <v>0</v>
      </c>
      <c r="G33" s="21">
        <f t="shared" si="1"/>
        <v>0</v>
      </c>
      <c r="H33" s="21">
        <f t="shared" si="1"/>
        <v>0</v>
      </c>
      <c r="I33" s="21">
        <f t="shared" si="1"/>
        <v>0</v>
      </c>
      <c r="J33" s="21">
        <f t="shared" si="1"/>
        <v>0</v>
      </c>
      <c r="K33" s="21">
        <f t="shared" si="1"/>
        <v>0</v>
      </c>
      <c r="L33" s="21">
        <f t="shared" si="1"/>
        <v>0</v>
      </c>
      <c r="M33" s="21">
        <f t="shared" si="1"/>
        <v>0</v>
      </c>
      <c r="N33" s="21">
        <f t="shared" si="1"/>
        <v>0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1">
        <f t="shared" si="0"/>
        <v>0</v>
      </c>
    </row>
    <row r="34" spans="1:24" s="21" customFormat="1" ht="16.5" customHeight="1">
      <c r="A34" s="640" t="s">
        <v>326</v>
      </c>
      <c r="B34" s="643">
        <v>0.1</v>
      </c>
      <c r="C34" s="21">
        <f t="shared" ref="C34:W34" si="2">C33*(1-$B34)</f>
        <v>0</v>
      </c>
      <c r="D34" s="21">
        <f t="shared" si="2"/>
        <v>0</v>
      </c>
      <c r="E34" s="21">
        <f t="shared" si="2"/>
        <v>0</v>
      </c>
      <c r="F34" s="21">
        <f t="shared" si="2"/>
        <v>0</v>
      </c>
      <c r="G34" s="21">
        <f t="shared" si="2"/>
        <v>0</v>
      </c>
      <c r="H34" s="21">
        <f t="shared" si="2"/>
        <v>0</v>
      </c>
      <c r="I34" s="21">
        <f t="shared" si="2"/>
        <v>0</v>
      </c>
      <c r="J34" s="21">
        <f t="shared" si="2"/>
        <v>0</v>
      </c>
      <c r="K34" s="21">
        <f t="shared" si="2"/>
        <v>0</v>
      </c>
      <c r="L34" s="21">
        <f t="shared" si="2"/>
        <v>0</v>
      </c>
      <c r="M34" s="21">
        <f t="shared" si="2"/>
        <v>0</v>
      </c>
      <c r="N34" s="21">
        <f t="shared" si="2"/>
        <v>0</v>
      </c>
      <c r="O34" s="21">
        <f t="shared" si="2"/>
        <v>0</v>
      </c>
      <c r="P34" s="21">
        <f t="shared" si="2"/>
        <v>0</v>
      </c>
      <c r="Q34" s="21">
        <f t="shared" si="2"/>
        <v>0</v>
      </c>
      <c r="R34" s="21">
        <f t="shared" si="2"/>
        <v>0</v>
      </c>
      <c r="S34" s="21">
        <f t="shared" si="2"/>
        <v>0</v>
      </c>
      <c r="T34" s="21">
        <f t="shared" si="2"/>
        <v>0</v>
      </c>
      <c r="U34" s="21">
        <f t="shared" si="2"/>
        <v>0</v>
      </c>
      <c r="V34" s="21">
        <f t="shared" si="2"/>
        <v>0</v>
      </c>
      <c r="W34" s="21">
        <f t="shared" si="2"/>
        <v>0</v>
      </c>
      <c r="X34" s="21">
        <f t="shared" si="0"/>
        <v>0</v>
      </c>
    </row>
    <row r="35" spans="1:24" s="21" customFormat="1" ht="12.75" customHeight="1">
      <c r="A35" s="640" t="s">
        <v>908</v>
      </c>
      <c r="B35" s="643">
        <v>0.03</v>
      </c>
      <c r="C35" s="21">
        <f t="shared" ref="C35:W35" si="3">C34*(1+$B35)</f>
        <v>0</v>
      </c>
      <c r="D35" s="21">
        <f t="shared" si="3"/>
        <v>0</v>
      </c>
      <c r="E35" s="21">
        <f t="shared" si="3"/>
        <v>0</v>
      </c>
      <c r="F35" s="21">
        <f t="shared" si="3"/>
        <v>0</v>
      </c>
      <c r="G35" s="21">
        <f t="shared" si="3"/>
        <v>0</v>
      </c>
      <c r="H35" s="21">
        <f t="shared" si="3"/>
        <v>0</v>
      </c>
      <c r="I35" s="21">
        <f t="shared" si="3"/>
        <v>0</v>
      </c>
      <c r="J35" s="21">
        <f t="shared" si="3"/>
        <v>0</v>
      </c>
      <c r="K35" s="21">
        <f t="shared" si="3"/>
        <v>0</v>
      </c>
      <c r="L35" s="21">
        <f t="shared" si="3"/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644">
        <f t="shared" si="0"/>
        <v>0</v>
      </c>
    </row>
    <row r="36" spans="1:24" s="21" customFormat="1">
      <c r="A36" s="640"/>
    </row>
    <row r="37" spans="1:24" s="21" customFormat="1">
      <c r="A37" s="640"/>
    </row>
    <row r="38" spans="1:24" s="21" customFormat="1">
      <c r="A38" s="645" t="s">
        <v>909</v>
      </c>
      <c r="D38" s="21">
        <v>1</v>
      </c>
      <c r="E38" s="21">
        <v>2</v>
      </c>
      <c r="F38" s="21">
        <v>3</v>
      </c>
      <c r="G38" s="21">
        <v>4</v>
      </c>
      <c r="H38" s="21">
        <v>5</v>
      </c>
      <c r="I38" s="21">
        <v>6</v>
      </c>
      <c r="J38" s="21">
        <v>7</v>
      </c>
      <c r="K38" s="21">
        <v>8</v>
      </c>
      <c r="L38" s="21">
        <v>9</v>
      </c>
      <c r="M38" s="21">
        <v>10</v>
      </c>
      <c r="N38" s="21">
        <v>11</v>
      </c>
      <c r="O38" s="21">
        <v>12</v>
      </c>
      <c r="P38" s="21">
        <v>13</v>
      </c>
      <c r="Q38" s="21">
        <v>14</v>
      </c>
      <c r="R38" s="21">
        <v>15</v>
      </c>
      <c r="S38" s="21">
        <v>16</v>
      </c>
      <c r="T38" s="21">
        <v>17</v>
      </c>
      <c r="U38" s="21">
        <v>18</v>
      </c>
      <c r="V38" s="21">
        <v>19</v>
      </c>
      <c r="W38" s="21">
        <v>20</v>
      </c>
    </row>
    <row r="39" spans="1:24" s="21" customFormat="1">
      <c r="A39" s="646" t="s">
        <v>901</v>
      </c>
      <c r="B39" s="647" t="s">
        <v>910</v>
      </c>
      <c r="C39" s="642"/>
      <c r="D39" s="642"/>
      <c r="E39" s="642"/>
      <c r="F39" s="642"/>
      <c r="G39" s="642"/>
      <c r="H39" s="642"/>
      <c r="I39" s="642"/>
      <c r="J39" s="642"/>
      <c r="K39" s="642"/>
      <c r="L39" s="642"/>
      <c r="M39" s="642"/>
      <c r="N39" s="642"/>
      <c r="O39" s="642"/>
      <c r="P39" s="642"/>
      <c r="Q39" s="642"/>
      <c r="R39" s="642"/>
      <c r="S39" s="642"/>
      <c r="T39" s="642"/>
      <c r="U39" s="642"/>
      <c r="V39" s="642"/>
      <c r="W39" s="642"/>
    </row>
    <row r="40" spans="1:24" s="21" customFormat="1">
      <c r="A40" s="648" t="str">
        <f>'GTDB(W501D5A)'!A17</f>
        <v>Baskets</v>
      </c>
      <c r="B40" s="641">
        <f>'GTDB(W501D5A)'!D17</f>
        <v>117.6</v>
      </c>
      <c r="C40" s="642">
        <v>0</v>
      </c>
      <c r="D40" s="642" t="str">
        <f>IF('rotation(W501D5A)'!C17=0," ",$B40*'rotation(W501D5A)'!C17)</f>
        <v xml:space="preserve"> </v>
      </c>
      <c r="E40" s="642" t="str">
        <f>IF('rotation(W501D5A)'!D17=0," ",$B40*'rotation(W501D5A)'!D17)</f>
        <v xml:space="preserve"> </v>
      </c>
      <c r="F40" s="642" t="str">
        <f>IF('rotation(W501D5A)'!E17=0," ",$B40*'rotation(W501D5A)'!E17)</f>
        <v xml:space="preserve"> </v>
      </c>
      <c r="G40" s="642" t="str">
        <f>IF('rotation(W501D5A)'!F17=0," ",$B40*'rotation(W501D5A)'!F17)</f>
        <v xml:space="preserve"> </v>
      </c>
      <c r="H40" s="642" t="str">
        <f>IF('rotation(W501D5A)'!G17=0," ",$B40*'rotation(W501D5A)'!G17)</f>
        <v xml:space="preserve"> </v>
      </c>
      <c r="I40" s="642" t="str">
        <f>IF('rotation(W501D5A)'!H17=0," ",$B40*'rotation(W501D5A)'!H17)</f>
        <v xml:space="preserve"> </v>
      </c>
      <c r="J40" s="642" t="str">
        <f>IF('rotation(W501D5A)'!I17=0," ",$B40*'rotation(W501D5A)'!I17)</f>
        <v xml:space="preserve"> </v>
      </c>
      <c r="K40" s="642" t="str">
        <f>IF('rotation(W501D5A)'!J17=0," ",$B40*'rotation(W501D5A)'!J17)</f>
        <v xml:space="preserve"> </v>
      </c>
      <c r="L40" s="642" t="str">
        <f>IF('rotation(W501D5A)'!K17=0," ",$B40*'rotation(W501D5A)'!K17)</f>
        <v xml:space="preserve"> </v>
      </c>
      <c r="M40" s="642" t="str">
        <f>IF('rotation(W501D5A)'!L17=0," ",$B40*'rotation(W501D5A)'!L17)</f>
        <v xml:space="preserve"> </v>
      </c>
      <c r="N40" s="642" t="str">
        <f>IF('rotation(W501D5A)'!M17=0," ",$B40*'rotation(W501D5A)'!M17)</f>
        <v xml:space="preserve"> </v>
      </c>
      <c r="O40" s="642" t="str">
        <f>IF('rotation(W501D5A)'!N17=0," ",$B40*'rotation(W501D5A)'!N17)</f>
        <v xml:space="preserve"> </v>
      </c>
      <c r="P40" s="642" t="str">
        <f>IF('rotation(W501D5A)'!O17=0," ",$B40*'rotation(W501D5A)'!O17)</f>
        <v xml:space="preserve"> </v>
      </c>
      <c r="Q40" s="642" t="str">
        <f>IF('rotation(W501D5A)'!P17=0," ",$B40*'rotation(W501D5A)'!P17)</f>
        <v xml:space="preserve"> </v>
      </c>
      <c r="R40" s="642" t="str">
        <f>IF('rotation(W501D5A)'!Q17=0," ",$B40*'rotation(W501D5A)'!Q17)</f>
        <v xml:space="preserve"> </v>
      </c>
      <c r="S40" s="642" t="str">
        <f>IF('rotation(W501D5A)'!R17=0," ",$B40*'rotation(W501D5A)'!R17)</f>
        <v xml:space="preserve"> </v>
      </c>
      <c r="T40" s="642" t="str">
        <f>IF('rotation(W501D5A)'!S17=0," ",$B40*'rotation(W501D5A)'!S17)</f>
        <v xml:space="preserve"> </v>
      </c>
      <c r="U40" s="642" t="str">
        <f>IF('rotation(W501D5A)'!T17=0," ",$B40*'rotation(W501D5A)'!T17)</f>
        <v xml:space="preserve"> </v>
      </c>
      <c r="V40" s="642" t="str">
        <f>IF('rotation(W501D5A)'!U17=0," ",$B40*'rotation(W501D5A)'!U17)</f>
        <v xml:space="preserve"> </v>
      </c>
      <c r="W40" s="642" t="str">
        <f>IF('rotation(W501D5A)'!V17=0," ",$B40*'rotation(W501D5A)'!V17)</f>
        <v xml:space="preserve"> </v>
      </c>
      <c r="X40" s="21">
        <f t="shared" ref="X40:X58" si="4">SUM(D40:W40)</f>
        <v>0</v>
      </c>
    </row>
    <row r="41" spans="1:24" s="21" customFormat="1">
      <c r="A41" s="648" t="str">
        <f>'GTDB(W501D5A)'!A18</f>
        <v>Transition Pieces</v>
      </c>
      <c r="B41" s="641">
        <f>'GTDB(W501D5A)'!D18</f>
        <v>98.2</v>
      </c>
      <c r="C41" s="642"/>
      <c r="D41" s="642" t="str">
        <f>IF('rotation(W501D5A)'!C21=0," ",$B41*'rotation(W501D5A)'!C21)</f>
        <v xml:space="preserve"> </v>
      </c>
      <c r="E41" s="642" t="str">
        <f>IF('rotation(W501D5A)'!D21=0," ",$B41*'rotation(W501D5A)'!D21)</f>
        <v xml:space="preserve"> </v>
      </c>
      <c r="F41" s="642" t="str">
        <f>IF('rotation(W501D5A)'!E21=0," ",$B41*'rotation(W501D5A)'!E21)</f>
        <v xml:space="preserve"> </v>
      </c>
      <c r="G41" s="642" t="str">
        <f>IF('rotation(W501D5A)'!F21=0," ",$B41*'rotation(W501D5A)'!F21)</f>
        <v xml:space="preserve"> </v>
      </c>
      <c r="H41" s="642" t="str">
        <f>IF('rotation(W501D5A)'!G21=0," ",$B41*'rotation(W501D5A)'!G21)</f>
        <v xml:space="preserve"> </v>
      </c>
      <c r="I41" s="642" t="str">
        <f>IF('rotation(W501D5A)'!H21=0," ",$B41*'rotation(W501D5A)'!H21)</f>
        <v xml:space="preserve"> </v>
      </c>
      <c r="J41" s="642" t="str">
        <f>IF('rotation(W501D5A)'!I21=0," ",$B41*'rotation(W501D5A)'!I21)</f>
        <v xml:space="preserve"> </v>
      </c>
      <c r="K41" s="642" t="str">
        <f>IF('rotation(W501D5A)'!J21=0," ",$B41*'rotation(W501D5A)'!J21)</f>
        <v xml:space="preserve"> </v>
      </c>
      <c r="L41" s="642" t="str">
        <f>IF('rotation(W501D5A)'!K21=0," ",$B41*'rotation(W501D5A)'!K21)</f>
        <v xml:space="preserve"> </v>
      </c>
      <c r="M41" s="642" t="str">
        <f>IF('rotation(W501D5A)'!L21=0," ",$B41*'rotation(W501D5A)'!L21)</f>
        <v xml:space="preserve"> </v>
      </c>
      <c r="N41" s="642" t="str">
        <f>IF('rotation(W501D5A)'!M21=0," ",$B41*'rotation(W501D5A)'!M21)</f>
        <v xml:space="preserve"> </v>
      </c>
      <c r="O41" s="642" t="str">
        <f>IF('rotation(W501D5A)'!N21=0," ",$B41*'rotation(W501D5A)'!N21)</f>
        <v xml:space="preserve"> </v>
      </c>
      <c r="P41" s="642" t="str">
        <f>IF('rotation(W501D5A)'!O21=0," ",$B41*'rotation(W501D5A)'!O21)</f>
        <v xml:space="preserve"> </v>
      </c>
      <c r="Q41" s="642" t="str">
        <f>IF('rotation(W501D5A)'!P21=0," ",$B41*'rotation(W501D5A)'!P21)</f>
        <v xml:space="preserve"> </v>
      </c>
      <c r="R41" s="642" t="str">
        <f>IF('rotation(W501D5A)'!Q21=0," ",$B41*'rotation(W501D5A)'!Q21)</f>
        <v xml:space="preserve"> </v>
      </c>
      <c r="S41" s="642" t="str">
        <f>IF('rotation(W501D5A)'!R21=0," ",$B41*'rotation(W501D5A)'!R21)</f>
        <v xml:space="preserve"> </v>
      </c>
      <c r="T41" s="642" t="str">
        <f>IF('rotation(W501D5A)'!S21=0," ",$B41*'rotation(W501D5A)'!S21)</f>
        <v xml:space="preserve"> </v>
      </c>
      <c r="U41" s="642" t="str">
        <f>IF('rotation(W501D5A)'!T21=0," ",$B41*'rotation(W501D5A)'!T21)</f>
        <v xml:space="preserve"> </v>
      </c>
      <c r="V41" s="642" t="str">
        <f>IF('rotation(W501D5A)'!U21=0," ",$B41*'rotation(W501D5A)'!U21)</f>
        <v xml:space="preserve"> </v>
      </c>
      <c r="W41" s="642" t="str">
        <f>IF('rotation(W501D5A)'!V21=0," ",$B41*'rotation(W501D5A)'!V21)</f>
        <v xml:space="preserve"> </v>
      </c>
      <c r="X41" s="21">
        <f t="shared" si="4"/>
        <v>0</v>
      </c>
    </row>
    <row r="42" spans="1:24" s="21" customFormat="1">
      <c r="A42" s="648" t="str">
        <f>'GTDB(W501D5A)'!A19</f>
        <v>Transition Seals</v>
      </c>
      <c r="B42" s="641">
        <f>'GTDB(W501D5A)'!D19</f>
        <v>15</v>
      </c>
      <c r="C42" s="642"/>
      <c r="D42" s="642" t="str">
        <f>IF('rotation(W501D5A)'!C25=0," ",$B42*'rotation(W501D5A)'!C25)</f>
        <v xml:space="preserve"> </v>
      </c>
      <c r="E42" s="642" t="str">
        <f>IF('rotation(W501D5A)'!D25=0," ",$B42*'rotation(W501D5A)'!D25)</f>
        <v xml:space="preserve"> </v>
      </c>
      <c r="F42" s="642" t="str">
        <f>IF('rotation(W501D5A)'!E25=0," ",$B42*'rotation(W501D5A)'!E25)</f>
        <v xml:space="preserve"> </v>
      </c>
      <c r="G42" s="642" t="str">
        <f>IF('rotation(W501D5A)'!F25=0," ",$B42*'rotation(W501D5A)'!F25)</f>
        <v xml:space="preserve"> </v>
      </c>
      <c r="H42" s="642" t="str">
        <f>IF('rotation(W501D5A)'!G25=0," ",$B42*'rotation(W501D5A)'!G25)</f>
        <v xml:space="preserve"> </v>
      </c>
      <c r="I42" s="642" t="str">
        <f>IF('rotation(W501D5A)'!H25=0," ",$B42*'rotation(W501D5A)'!H25)</f>
        <v xml:space="preserve"> </v>
      </c>
      <c r="J42" s="642" t="str">
        <f>IF('rotation(W501D5A)'!I25=0," ",$B42*'rotation(W501D5A)'!I25)</f>
        <v xml:space="preserve"> </v>
      </c>
      <c r="K42" s="642" t="str">
        <f>IF('rotation(W501D5A)'!J25=0," ",$B42*'rotation(W501D5A)'!J25)</f>
        <v xml:space="preserve"> </v>
      </c>
      <c r="L42" s="642" t="str">
        <f>IF('rotation(W501D5A)'!K25=0," ",$B42*'rotation(W501D5A)'!K25)</f>
        <v xml:space="preserve"> </v>
      </c>
      <c r="M42" s="642" t="str">
        <f>IF('rotation(W501D5A)'!L25=0," ",$B42*'rotation(W501D5A)'!L25)</f>
        <v xml:space="preserve"> </v>
      </c>
      <c r="N42" s="642" t="str">
        <f>IF('rotation(W501D5A)'!M25=0," ",$B42*'rotation(W501D5A)'!M25)</f>
        <v xml:space="preserve"> </v>
      </c>
      <c r="O42" s="642" t="str">
        <f>IF('rotation(W501D5A)'!N25=0," ",$B42*'rotation(W501D5A)'!N25)</f>
        <v xml:space="preserve"> </v>
      </c>
      <c r="P42" s="642" t="str">
        <f>IF('rotation(W501D5A)'!O25=0," ",$B42*'rotation(W501D5A)'!O25)</f>
        <v xml:space="preserve"> </v>
      </c>
      <c r="Q42" s="642" t="str">
        <f>IF('rotation(W501D5A)'!P25=0," ",$B42*'rotation(W501D5A)'!P25)</f>
        <v xml:space="preserve"> </v>
      </c>
      <c r="R42" s="642" t="str">
        <f>IF('rotation(W501D5A)'!Q25=0," ",$B42*'rotation(W501D5A)'!Q25)</f>
        <v xml:space="preserve"> </v>
      </c>
      <c r="S42" s="642" t="str">
        <f>IF('rotation(W501D5A)'!R25=0," ",$B42*'rotation(W501D5A)'!R25)</f>
        <v xml:space="preserve"> </v>
      </c>
      <c r="T42" s="642" t="str">
        <f>IF('rotation(W501D5A)'!S25=0," ",$B42*'rotation(W501D5A)'!S25)</f>
        <v xml:space="preserve"> </v>
      </c>
      <c r="U42" s="642" t="str">
        <f>IF('rotation(W501D5A)'!T25=0," ",$B42*'rotation(W501D5A)'!T25)</f>
        <v xml:space="preserve"> </v>
      </c>
      <c r="V42" s="642" t="str">
        <f>IF('rotation(W501D5A)'!U25=0," ",$B42*'rotation(W501D5A)'!U25)</f>
        <v xml:space="preserve"> </v>
      </c>
      <c r="W42" s="642" t="str">
        <f>IF('rotation(W501D5A)'!V25=0," ",$B42*'rotation(W501D5A)'!V25)</f>
        <v xml:space="preserve"> </v>
      </c>
      <c r="X42" s="21">
        <f t="shared" si="4"/>
        <v>0</v>
      </c>
    </row>
    <row r="43" spans="1:24" s="21" customFormat="1">
      <c r="A43" s="648" t="str">
        <f>'GTDB(W501D5A)'!A20</f>
        <v>Fuel Nozzles</v>
      </c>
      <c r="B43" s="641">
        <f>'GTDB(W501D5A)'!D20</f>
        <v>96.75</v>
      </c>
      <c r="C43" s="642"/>
      <c r="D43" s="642" t="str">
        <f>IF('rotation(W501D5A)'!C29=0," ",$B43*'rotation(W501D5A)'!C29)</f>
        <v xml:space="preserve"> </v>
      </c>
      <c r="E43" s="642" t="str">
        <f>IF('rotation(W501D5A)'!D29=0," ",$B43*'rotation(W501D5A)'!D29)</f>
        <v xml:space="preserve"> </v>
      </c>
      <c r="F43" s="642" t="str">
        <f>IF('rotation(W501D5A)'!E29=0," ",$B43*'rotation(W501D5A)'!E29)</f>
        <v xml:space="preserve"> </v>
      </c>
      <c r="G43" s="642" t="str">
        <f>IF('rotation(W501D5A)'!F29=0," ",$B43*'rotation(W501D5A)'!F29)</f>
        <v xml:space="preserve"> </v>
      </c>
      <c r="H43" s="642" t="str">
        <f>IF('rotation(W501D5A)'!G29=0," ",$B43*'rotation(W501D5A)'!G29)</f>
        <v xml:space="preserve"> </v>
      </c>
      <c r="I43" s="642" t="str">
        <f>IF('rotation(W501D5A)'!H29=0," ",$B43*'rotation(W501D5A)'!H29)</f>
        <v xml:space="preserve"> </v>
      </c>
      <c r="J43" s="642" t="str">
        <f>IF('rotation(W501D5A)'!I29=0," ",$B43*'rotation(W501D5A)'!I29)</f>
        <v xml:space="preserve"> </v>
      </c>
      <c r="K43" s="642" t="str">
        <f>IF('rotation(W501D5A)'!J29=0," ",$B43*'rotation(W501D5A)'!J29)</f>
        <v xml:space="preserve"> </v>
      </c>
      <c r="L43" s="642" t="str">
        <f>IF('rotation(W501D5A)'!K29=0," ",$B43*'rotation(W501D5A)'!K29)</f>
        <v xml:space="preserve"> </v>
      </c>
      <c r="M43" s="642" t="str">
        <f>IF('rotation(W501D5A)'!L29=0," ",$B43*'rotation(W501D5A)'!L29)</f>
        <v xml:space="preserve"> </v>
      </c>
      <c r="N43" s="642" t="str">
        <f>IF('rotation(W501D5A)'!M29=0," ",$B43*'rotation(W501D5A)'!M29)</f>
        <v xml:space="preserve"> </v>
      </c>
      <c r="O43" s="642" t="str">
        <f>IF('rotation(W501D5A)'!N29=0," ",$B43*'rotation(W501D5A)'!N29)</f>
        <v xml:space="preserve"> </v>
      </c>
      <c r="P43" s="642" t="str">
        <f>IF('rotation(W501D5A)'!O29=0," ",$B43*'rotation(W501D5A)'!O29)</f>
        <v xml:space="preserve"> </v>
      </c>
      <c r="Q43" s="642" t="str">
        <f>IF('rotation(W501D5A)'!P29=0," ",$B43*'rotation(W501D5A)'!P29)</f>
        <v xml:space="preserve"> </v>
      </c>
      <c r="R43" s="642" t="str">
        <f>IF('rotation(W501D5A)'!Q29=0," ",$B43*'rotation(W501D5A)'!Q29)</f>
        <v xml:space="preserve"> </v>
      </c>
      <c r="S43" s="642" t="str">
        <f>IF('rotation(W501D5A)'!R29=0," ",$B43*'rotation(W501D5A)'!R29)</f>
        <v xml:space="preserve"> </v>
      </c>
      <c r="T43" s="642" t="str">
        <f>IF('rotation(W501D5A)'!S29=0," ",$B43*'rotation(W501D5A)'!S29)</f>
        <v xml:space="preserve"> </v>
      </c>
      <c r="U43" s="642" t="str">
        <f>IF('rotation(W501D5A)'!T29=0," ",$B43*'rotation(W501D5A)'!T29)</f>
        <v xml:space="preserve"> </v>
      </c>
      <c r="V43" s="642" t="str">
        <f>IF('rotation(W501D5A)'!U29=0," ",$B43*'rotation(W501D5A)'!U29)</f>
        <v xml:space="preserve"> </v>
      </c>
      <c r="W43" s="642" t="str">
        <f>IF('rotation(W501D5A)'!V29=0," ",$B43*'rotation(W501D5A)'!V29)</f>
        <v xml:space="preserve"> </v>
      </c>
      <c r="X43" s="21">
        <f t="shared" si="4"/>
        <v>0</v>
      </c>
    </row>
    <row r="44" spans="1:24" s="21" customFormat="1">
      <c r="A44" s="648" t="str">
        <f>'GTDB(W501D5A)'!A21</f>
        <v>Clamshells</v>
      </c>
      <c r="B44" s="641">
        <f>'GTDB(W501D5A)'!D21</f>
        <v>14.7</v>
      </c>
      <c r="C44" s="642"/>
      <c r="D44" s="642" t="str">
        <f>IF('rotation(W501D5A)'!C33=0," ",$B44*'rotation(W501D5A)'!C33)</f>
        <v xml:space="preserve"> </v>
      </c>
      <c r="E44" s="642" t="str">
        <f>IF('rotation(W501D5A)'!D33=0," ",$B44*'rotation(W501D5A)'!D33)</f>
        <v xml:space="preserve"> </v>
      </c>
      <c r="F44" s="642" t="str">
        <f>IF('rotation(W501D5A)'!E33=0," ",$B44*'rotation(W501D5A)'!E33)</f>
        <v xml:space="preserve"> </v>
      </c>
      <c r="G44" s="642" t="str">
        <f>IF('rotation(W501D5A)'!F33=0," ",$B44*'rotation(W501D5A)'!F33)</f>
        <v xml:space="preserve"> </v>
      </c>
      <c r="H44" s="642" t="str">
        <f>IF('rotation(W501D5A)'!G33=0," ",$B44*'rotation(W501D5A)'!G33)</f>
        <v xml:space="preserve"> </v>
      </c>
      <c r="I44" s="642" t="str">
        <f>IF('rotation(W501D5A)'!H33=0," ",$B44*'rotation(W501D5A)'!H33)</f>
        <v xml:space="preserve"> </v>
      </c>
      <c r="J44" s="642" t="str">
        <f>IF('rotation(W501D5A)'!I33=0," ",$B44*'rotation(W501D5A)'!I33)</f>
        <v xml:space="preserve"> </v>
      </c>
      <c r="K44" s="642" t="str">
        <f>IF('rotation(W501D5A)'!J33=0," ",$B44*'rotation(W501D5A)'!J33)</f>
        <v xml:space="preserve"> </v>
      </c>
      <c r="L44" s="642" t="str">
        <f>IF('rotation(W501D5A)'!K33=0," ",$B44*'rotation(W501D5A)'!K33)</f>
        <v xml:space="preserve"> </v>
      </c>
      <c r="M44" s="642" t="str">
        <f>IF('rotation(W501D5A)'!L33=0," ",$B44*'rotation(W501D5A)'!L33)</f>
        <v xml:space="preserve"> </v>
      </c>
      <c r="N44" s="642" t="str">
        <f>IF('rotation(W501D5A)'!M33=0," ",$B44*'rotation(W501D5A)'!M33)</f>
        <v xml:space="preserve"> </v>
      </c>
      <c r="O44" s="642" t="str">
        <f>IF('rotation(W501D5A)'!N33=0," ",$B44*'rotation(W501D5A)'!N33)</f>
        <v xml:space="preserve"> </v>
      </c>
      <c r="P44" s="642" t="str">
        <f>IF('rotation(W501D5A)'!O33=0," ",$B44*'rotation(W501D5A)'!O33)</f>
        <v xml:space="preserve"> </v>
      </c>
      <c r="Q44" s="642" t="str">
        <f>IF('rotation(W501D5A)'!P33=0," ",$B44*'rotation(W501D5A)'!P33)</f>
        <v xml:space="preserve"> </v>
      </c>
      <c r="R44" s="642" t="str">
        <f>IF('rotation(W501D5A)'!Q33=0," ",$B44*'rotation(W501D5A)'!Q33)</f>
        <v xml:space="preserve"> </v>
      </c>
      <c r="S44" s="642" t="str">
        <f>IF('rotation(W501D5A)'!R33=0," ",$B44*'rotation(W501D5A)'!R33)</f>
        <v xml:space="preserve"> </v>
      </c>
      <c r="T44" s="642" t="str">
        <f>IF('rotation(W501D5A)'!S33=0," ",$B44*'rotation(W501D5A)'!S33)</f>
        <v xml:space="preserve"> </v>
      </c>
      <c r="U44" s="642" t="str">
        <f>IF('rotation(W501D5A)'!T33=0," ",$B44*'rotation(W501D5A)'!T33)</f>
        <v xml:space="preserve"> </v>
      </c>
      <c r="V44" s="642" t="str">
        <f>IF('rotation(W501D5A)'!U33=0," ",$B44*'rotation(W501D5A)'!U33)</f>
        <v xml:space="preserve"> </v>
      </c>
      <c r="W44" s="642" t="str">
        <f>IF('rotation(W501D5A)'!V33=0," ",$B44*'rotation(W501D5A)'!V33)</f>
        <v xml:space="preserve"> </v>
      </c>
      <c r="X44" s="21">
        <f t="shared" si="4"/>
        <v>0</v>
      </c>
    </row>
    <row r="45" spans="1:24" s="21" customFormat="1">
      <c r="A45" s="648" t="str">
        <f>'GTDB(W501D5A)'!A22</f>
        <v>Row 1 Blades</v>
      </c>
      <c r="B45" s="641">
        <f>'GTDB(W501D5A)'!D22</f>
        <v>137.19999999999999</v>
      </c>
      <c r="C45" s="642"/>
      <c r="D45" s="642" t="str">
        <f>IF('rotation(W501D5A)'!C37=0," ",$B45*'rotation(W501D5A)'!C37)</f>
        <v xml:space="preserve"> </v>
      </c>
      <c r="E45" s="642" t="str">
        <f>IF('rotation(W501D5A)'!D37=0," ",$B45*'rotation(W501D5A)'!D37)</f>
        <v xml:space="preserve"> </v>
      </c>
      <c r="F45" s="642" t="str">
        <f>IF('rotation(W501D5A)'!E37=0," ",$B45*'rotation(W501D5A)'!E37)</f>
        <v xml:space="preserve"> </v>
      </c>
      <c r="G45" s="642" t="str">
        <f>IF('rotation(W501D5A)'!F37=0," ",$B45*'rotation(W501D5A)'!F37)</f>
        <v xml:space="preserve"> </v>
      </c>
      <c r="H45" s="642" t="str">
        <f>IF('rotation(W501D5A)'!G37=0," ",$B45*'rotation(W501D5A)'!G37)</f>
        <v xml:space="preserve"> </v>
      </c>
      <c r="I45" s="642" t="str">
        <f>IF('rotation(W501D5A)'!H37=0," ",$B45*'rotation(W501D5A)'!H37)</f>
        <v xml:space="preserve"> </v>
      </c>
      <c r="J45" s="642" t="str">
        <f>IF('rotation(W501D5A)'!I37=0," ",$B45*'rotation(W501D5A)'!I37)</f>
        <v xml:space="preserve"> </v>
      </c>
      <c r="K45" s="642" t="str">
        <f>IF('rotation(W501D5A)'!J37=0," ",$B45*'rotation(W501D5A)'!J37)</f>
        <v xml:space="preserve"> </v>
      </c>
      <c r="L45" s="642" t="str">
        <f>IF('rotation(W501D5A)'!K37=0," ",$B45*'rotation(W501D5A)'!K37)</f>
        <v xml:space="preserve"> </v>
      </c>
      <c r="M45" s="642" t="str">
        <f>IF('rotation(W501D5A)'!L37=0," ",$B45*'rotation(W501D5A)'!L37)</f>
        <v xml:space="preserve"> </v>
      </c>
      <c r="N45" s="642" t="str">
        <f>IF('rotation(W501D5A)'!M37=0," ",$B45*'rotation(W501D5A)'!M37)</f>
        <v xml:space="preserve"> </v>
      </c>
      <c r="O45" s="642" t="str">
        <f>IF('rotation(W501D5A)'!N37=0," ",$B45*'rotation(W501D5A)'!N37)</f>
        <v xml:space="preserve"> </v>
      </c>
      <c r="P45" s="642" t="str">
        <f>IF('rotation(W501D5A)'!O37=0," ",$B45*'rotation(W501D5A)'!O37)</f>
        <v xml:space="preserve"> </v>
      </c>
      <c r="Q45" s="642" t="str">
        <f>IF('rotation(W501D5A)'!P37=0," ",$B45*'rotation(W501D5A)'!P37)</f>
        <v xml:space="preserve"> </v>
      </c>
      <c r="R45" s="642" t="str">
        <f>IF('rotation(W501D5A)'!Q37=0," ",$B45*'rotation(W501D5A)'!Q37)</f>
        <v xml:space="preserve"> </v>
      </c>
      <c r="S45" s="642" t="str">
        <f>IF('rotation(W501D5A)'!R37=0," ",$B45*'rotation(W501D5A)'!R37)</f>
        <v xml:space="preserve"> </v>
      </c>
      <c r="T45" s="642" t="str">
        <f>IF('rotation(W501D5A)'!S37=0," ",$B45*'rotation(W501D5A)'!S37)</f>
        <v xml:space="preserve"> </v>
      </c>
      <c r="U45" s="642" t="str">
        <f>IF('rotation(W501D5A)'!T37=0," ",$B45*'rotation(W501D5A)'!T37)</f>
        <v xml:space="preserve"> </v>
      </c>
      <c r="V45" s="642" t="str">
        <f>IF('rotation(W501D5A)'!U37=0," ",$B45*'rotation(W501D5A)'!U37)</f>
        <v xml:space="preserve"> </v>
      </c>
      <c r="W45" s="642" t="str">
        <f>IF('rotation(W501D5A)'!V37=0," ",$B45*'rotation(W501D5A)'!V37)</f>
        <v xml:space="preserve"> </v>
      </c>
      <c r="X45" s="21">
        <f t="shared" si="4"/>
        <v>0</v>
      </c>
    </row>
    <row r="46" spans="1:24" s="21" customFormat="1">
      <c r="A46" s="648" t="str">
        <f>'GTDB(W501D5A)'!A23</f>
        <v>Row 2 Blades</v>
      </c>
      <c r="B46" s="641">
        <f>'GTDB(W501D5A)'!D23</f>
        <v>115</v>
      </c>
      <c r="C46" s="642"/>
      <c r="D46" s="642" t="str">
        <f>IF('rotation(W501D5A)'!C41=0," ",$B46*'rotation(W501D5A)'!C41)</f>
        <v xml:space="preserve"> </v>
      </c>
      <c r="E46" s="642" t="str">
        <f>IF('rotation(W501D5A)'!D41=0," ",$B46*'rotation(W501D5A)'!D41)</f>
        <v xml:space="preserve"> </v>
      </c>
      <c r="F46" s="642" t="str">
        <f>IF('rotation(W501D5A)'!E41=0," ",$B46*'rotation(W501D5A)'!E41)</f>
        <v xml:space="preserve"> </v>
      </c>
      <c r="G46" s="642" t="str">
        <f>IF('rotation(W501D5A)'!F41=0," ",$B46*'rotation(W501D5A)'!F41)</f>
        <v xml:space="preserve"> </v>
      </c>
      <c r="H46" s="642" t="str">
        <f>IF('rotation(W501D5A)'!G41=0," ",$B46*'rotation(W501D5A)'!G41)</f>
        <v xml:space="preserve"> </v>
      </c>
      <c r="I46" s="642" t="str">
        <f>IF('rotation(W501D5A)'!H41=0," ",$B46*'rotation(W501D5A)'!H41)</f>
        <v xml:space="preserve"> </v>
      </c>
      <c r="J46" s="642" t="str">
        <f>IF('rotation(W501D5A)'!I41=0," ",$B46*'rotation(W501D5A)'!I41)</f>
        <v xml:space="preserve"> </v>
      </c>
      <c r="K46" s="642" t="str">
        <f>IF('rotation(W501D5A)'!J41=0," ",$B46*'rotation(W501D5A)'!J41)</f>
        <v xml:space="preserve"> </v>
      </c>
      <c r="L46" s="642" t="str">
        <f>IF('rotation(W501D5A)'!K41=0," ",$B46*'rotation(W501D5A)'!K41)</f>
        <v xml:space="preserve"> </v>
      </c>
      <c r="M46" s="642" t="str">
        <f>IF('rotation(W501D5A)'!L41=0," ",$B46*'rotation(W501D5A)'!L41)</f>
        <v xml:space="preserve"> </v>
      </c>
      <c r="N46" s="642" t="str">
        <f>IF('rotation(W501D5A)'!M41=0," ",$B46*'rotation(W501D5A)'!M41)</f>
        <v xml:space="preserve"> </v>
      </c>
      <c r="O46" s="642" t="str">
        <f>IF('rotation(W501D5A)'!N41=0," ",$B46*'rotation(W501D5A)'!N41)</f>
        <v xml:space="preserve"> </v>
      </c>
      <c r="P46" s="642" t="str">
        <f>IF('rotation(W501D5A)'!O41=0," ",$B46*'rotation(W501D5A)'!O41)</f>
        <v xml:space="preserve"> </v>
      </c>
      <c r="Q46" s="642" t="str">
        <f>IF('rotation(W501D5A)'!P41=0," ",$B46*'rotation(W501D5A)'!P41)</f>
        <v xml:space="preserve"> </v>
      </c>
      <c r="R46" s="642" t="str">
        <f>IF('rotation(W501D5A)'!Q41=0," ",$B46*'rotation(W501D5A)'!Q41)</f>
        <v xml:space="preserve"> </v>
      </c>
      <c r="S46" s="642" t="str">
        <f>IF('rotation(W501D5A)'!R41=0," ",$B46*'rotation(W501D5A)'!R41)</f>
        <v xml:space="preserve"> </v>
      </c>
      <c r="T46" s="642" t="str">
        <f>IF('rotation(W501D5A)'!S41=0," ",$B46*'rotation(W501D5A)'!S41)</f>
        <v xml:space="preserve"> </v>
      </c>
      <c r="U46" s="642" t="str">
        <f>IF('rotation(W501D5A)'!T41=0," ",$B46*'rotation(W501D5A)'!T41)</f>
        <v xml:space="preserve"> </v>
      </c>
      <c r="V46" s="642" t="str">
        <f>IF('rotation(W501D5A)'!U41=0," ",$B46*'rotation(W501D5A)'!U41)</f>
        <v xml:space="preserve"> </v>
      </c>
      <c r="W46" s="642" t="str">
        <f>IF('rotation(W501D5A)'!V41=0," ",$B46*'rotation(W501D5A)'!V41)</f>
        <v xml:space="preserve"> </v>
      </c>
      <c r="X46" s="21">
        <f t="shared" si="4"/>
        <v>0</v>
      </c>
    </row>
    <row r="47" spans="1:24" s="21" customFormat="1">
      <c r="A47" s="648" t="str">
        <f>'GTDB(W501D5A)'!A24</f>
        <v>Row 3 Blades</v>
      </c>
      <c r="B47" s="641">
        <f>'GTDB(W501D5A)'!D24</f>
        <v>111.13</v>
      </c>
      <c r="C47" s="642"/>
      <c r="D47" s="642" t="str">
        <f>IF('rotation(W501D5A)'!C45=0," ",$B47*'rotation(W501D5A)'!C45)</f>
        <v xml:space="preserve"> </v>
      </c>
      <c r="E47" s="642" t="str">
        <f>IF('rotation(W501D5A)'!D45=0," ",$B47*'rotation(W501D5A)'!D45)</f>
        <v xml:space="preserve"> </v>
      </c>
      <c r="F47" s="642" t="str">
        <f>IF('rotation(W501D5A)'!E45=0," ",$B47*'rotation(W501D5A)'!E45)</f>
        <v xml:space="preserve"> </v>
      </c>
      <c r="G47" s="642" t="str">
        <f>IF('rotation(W501D5A)'!F45=0," ",$B47*'rotation(W501D5A)'!F45)</f>
        <v xml:space="preserve"> </v>
      </c>
      <c r="H47" s="642" t="str">
        <f>IF('rotation(W501D5A)'!G45=0," ",$B47*'rotation(W501D5A)'!G45)</f>
        <v xml:space="preserve"> </v>
      </c>
      <c r="I47" s="642" t="str">
        <f>IF('rotation(W501D5A)'!H45=0," ",$B47*'rotation(W501D5A)'!H45)</f>
        <v xml:space="preserve"> </v>
      </c>
      <c r="J47" s="642" t="str">
        <f>IF('rotation(W501D5A)'!I45=0," ",$B47*'rotation(W501D5A)'!I45)</f>
        <v xml:space="preserve"> </v>
      </c>
      <c r="K47" s="642" t="str">
        <f>IF('rotation(W501D5A)'!J45=0," ",$B47*'rotation(W501D5A)'!J45)</f>
        <v xml:space="preserve"> </v>
      </c>
      <c r="L47" s="642" t="str">
        <f>IF('rotation(W501D5A)'!K45=0," ",$B47*'rotation(W501D5A)'!K45)</f>
        <v xml:space="preserve"> </v>
      </c>
      <c r="M47" s="642" t="str">
        <f>IF('rotation(W501D5A)'!L45=0," ",$B47*'rotation(W501D5A)'!L45)</f>
        <v xml:space="preserve"> </v>
      </c>
      <c r="N47" s="642" t="str">
        <f>IF('rotation(W501D5A)'!M45=0," ",$B47*'rotation(W501D5A)'!M45)</f>
        <v xml:space="preserve"> </v>
      </c>
      <c r="O47" s="642" t="str">
        <f>IF('rotation(W501D5A)'!N45=0," ",$B47*'rotation(W501D5A)'!N45)</f>
        <v xml:space="preserve"> </v>
      </c>
      <c r="P47" s="642" t="str">
        <f>IF('rotation(W501D5A)'!O45=0," ",$B47*'rotation(W501D5A)'!O45)</f>
        <v xml:space="preserve"> </v>
      </c>
      <c r="Q47" s="642" t="str">
        <f>IF('rotation(W501D5A)'!P45=0," ",$B47*'rotation(W501D5A)'!P45)</f>
        <v xml:space="preserve"> </v>
      </c>
      <c r="R47" s="642" t="str">
        <f>IF('rotation(W501D5A)'!Q45=0," ",$B47*'rotation(W501D5A)'!Q45)</f>
        <v xml:space="preserve"> </v>
      </c>
      <c r="S47" s="642" t="str">
        <f>IF('rotation(W501D5A)'!R45=0," ",$B47*'rotation(W501D5A)'!R45)</f>
        <v xml:space="preserve"> </v>
      </c>
      <c r="T47" s="642" t="str">
        <f>IF('rotation(W501D5A)'!S45=0," ",$B47*'rotation(W501D5A)'!S45)</f>
        <v xml:space="preserve"> </v>
      </c>
      <c r="U47" s="642" t="str">
        <f>IF('rotation(W501D5A)'!T45=0," ",$B47*'rotation(W501D5A)'!T45)</f>
        <v xml:space="preserve"> </v>
      </c>
      <c r="V47" s="642" t="str">
        <f>IF('rotation(W501D5A)'!U45=0," ",$B47*'rotation(W501D5A)'!U45)</f>
        <v xml:space="preserve"> </v>
      </c>
      <c r="W47" s="642" t="str">
        <f>IF('rotation(W501D5A)'!V45=0," ",$B47*'rotation(W501D5A)'!V45)</f>
        <v xml:space="preserve"> </v>
      </c>
      <c r="X47" s="21">
        <f t="shared" si="4"/>
        <v>0</v>
      </c>
    </row>
    <row r="48" spans="1:24" s="21" customFormat="1">
      <c r="A48" s="648" t="str">
        <f>'GTDB(W501D5A)'!A25</f>
        <v>Row 4 Blades</v>
      </c>
      <c r="B48" s="641">
        <f>'GTDB(W501D5A)'!D25</f>
        <v>113.93</v>
      </c>
      <c r="C48" s="642"/>
      <c r="D48" s="642" t="str">
        <f>IF('rotation(W501D5A)'!C49=0," ",$B48*'rotation(W501D5A)'!C49)</f>
        <v xml:space="preserve"> </v>
      </c>
      <c r="E48" s="642" t="str">
        <f>IF('rotation(W501D5A)'!D49=0," ",$B48*'rotation(W501D5A)'!D49)</f>
        <v xml:space="preserve"> </v>
      </c>
      <c r="F48" s="642" t="str">
        <f>IF('rotation(W501D5A)'!E49=0," ",$B48*'rotation(W501D5A)'!E49)</f>
        <v xml:space="preserve"> </v>
      </c>
      <c r="G48" s="642" t="str">
        <f>IF('rotation(W501D5A)'!F49=0," ",$B48*'rotation(W501D5A)'!F49)</f>
        <v xml:space="preserve"> </v>
      </c>
      <c r="H48" s="642" t="str">
        <f>IF('rotation(W501D5A)'!G49=0," ",$B48*'rotation(W501D5A)'!G49)</f>
        <v xml:space="preserve"> </v>
      </c>
      <c r="I48" s="642" t="str">
        <f>IF('rotation(W501D5A)'!H49=0," ",$B48*'rotation(W501D5A)'!H49)</f>
        <v xml:space="preserve"> </v>
      </c>
      <c r="J48" s="642" t="str">
        <f>IF('rotation(W501D5A)'!I49=0," ",$B48*'rotation(W501D5A)'!I49)</f>
        <v xml:space="preserve"> </v>
      </c>
      <c r="K48" s="642" t="str">
        <f>IF('rotation(W501D5A)'!J49=0," ",$B48*'rotation(W501D5A)'!J49)</f>
        <v xml:space="preserve"> </v>
      </c>
      <c r="L48" s="642" t="str">
        <f>IF('rotation(W501D5A)'!K49=0," ",$B48*'rotation(W501D5A)'!K49)</f>
        <v xml:space="preserve"> </v>
      </c>
      <c r="M48" s="642" t="str">
        <f>IF('rotation(W501D5A)'!L49=0," ",$B48*'rotation(W501D5A)'!L49)</f>
        <v xml:space="preserve"> </v>
      </c>
      <c r="N48" s="642" t="str">
        <f>IF('rotation(W501D5A)'!M49=0," ",$B48*'rotation(W501D5A)'!M49)</f>
        <v xml:space="preserve"> </v>
      </c>
      <c r="O48" s="642" t="str">
        <f>IF('rotation(W501D5A)'!N49=0," ",$B48*'rotation(W501D5A)'!N49)</f>
        <v xml:space="preserve"> </v>
      </c>
      <c r="P48" s="642" t="str">
        <f>IF('rotation(W501D5A)'!O49=0," ",$B48*'rotation(W501D5A)'!O49)</f>
        <v xml:space="preserve"> </v>
      </c>
      <c r="Q48" s="642" t="str">
        <f>IF('rotation(W501D5A)'!P49=0," ",$B48*'rotation(W501D5A)'!P49)</f>
        <v xml:space="preserve"> </v>
      </c>
      <c r="R48" s="642" t="str">
        <f>IF('rotation(W501D5A)'!Q49=0," ",$B48*'rotation(W501D5A)'!Q49)</f>
        <v xml:space="preserve"> </v>
      </c>
      <c r="S48" s="642" t="str">
        <f>IF('rotation(W501D5A)'!R49=0," ",$B48*'rotation(W501D5A)'!R49)</f>
        <v xml:space="preserve"> </v>
      </c>
      <c r="T48" s="642" t="str">
        <f>IF('rotation(W501D5A)'!S49=0," ",$B48*'rotation(W501D5A)'!S49)</f>
        <v xml:space="preserve"> </v>
      </c>
      <c r="U48" s="642" t="str">
        <f>IF('rotation(W501D5A)'!T49=0," ",$B48*'rotation(W501D5A)'!T49)</f>
        <v xml:space="preserve"> </v>
      </c>
      <c r="V48" s="642" t="str">
        <f>IF('rotation(W501D5A)'!U49=0," ",$B48*'rotation(W501D5A)'!U49)</f>
        <v xml:space="preserve"> </v>
      </c>
      <c r="W48" s="642" t="str">
        <f>IF('rotation(W501D5A)'!V49=0," ",$B48*'rotation(W501D5A)'!V49)</f>
        <v xml:space="preserve"> </v>
      </c>
      <c r="X48" s="21">
        <f t="shared" si="4"/>
        <v>0</v>
      </c>
    </row>
    <row r="49" spans="1:24" s="21" customFormat="1">
      <c r="A49" s="648" t="str">
        <f>'GTDB(W501D5A)'!A26</f>
        <v xml:space="preserve">Row 1 Vanes </v>
      </c>
      <c r="B49" s="641">
        <f>'GTDB(W501D5A)'!D26</f>
        <v>177.5</v>
      </c>
      <c r="C49" s="642"/>
      <c r="D49" s="642" t="str">
        <f>IF('rotation(W501D5A)'!C53=0," ",$B49*'rotation(W501D5A)'!C53)</f>
        <v xml:space="preserve"> </v>
      </c>
      <c r="E49" s="642" t="str">
        <f>IF('rotation(W501D5A)'!D53=0," ",$B49*'rotation(W501D5A)'!D53)</f>
        <v xml:space="preserve"> </v>
      </c>
      <c r="F49" s="642" t="str">
        <f>IF('rotation(W501D5A)'!E53=0," ",$B49*'rotation(W501D5A)'!E53)</f>
        <v xml:space="preserve"> </v>
      </c>
      <c r="G49" s="642" t="str">
        <f>IF('rotation(W501D5A)'!F53=0," ",$B49*'rotation(W501D5A)'!F53)</f>
        <v xml:space="preserve"> </v>
      </c>
      <c r="H49" s="642" t="str">
        <f>IF('rotation(W501D5A)'!G53=0," ",$B49*'rotation(W501D5A)'!G53)</f>
        <v xml:space="preserve"> </v>
      </c>
      <c r="I49" s="642" t="str">
        <f>IF('rotation(W501D5A)'!H53=0," ",$B49*'rotation(W501D5A)'!H53)</f>
        <v xml:space="preserve"> </v>
      </c>
      <c r="J49" s="642" t="str">
        <f>IF('rotation(W501D5A)'!I53=0," ",$B49*'rotation(W501D5A)'!I53)</f>
        <v xml:space="preserve"> </v>
      </c>
      <c r="K49" s="642" t="str">
        <f>IF('rotation(W501D5A)'!J53=0," ",$B49*'rotation(W501D5A)'!J53)</f>
        <v xml:space="preserve"> </v>
      </c>
      <c r="L49" s="642" t="str">
        <f>IF('rotation(W501D5A)'!K53=0," ",$B49*'rotation(W501D5A)'!K53)</f>
        <v xml:space="preserve"> </v>
      </c>
      <c r="M49" s="642" t="str">
        <f>IF('rotation(W501D5A)'!L53=0," ",$B49*'rotation(W501D5A)'!L53)</f>
        <v xml:space="preserve"> </v>
      </c>
      <c r="N49" s="642" t="str">
        <f>IF('rotation(W501D5A)'!M53=0," ",$B49*'rotation(W501D5A)'!M53)</f>
        <v xml:space="preserve"> </v>
      </c>
      <c r="O49" s="642" t="str">
        <f>IF('rotation(W501D5A)'!N53=0," ",$B49*'rotation(W501D5A)'!N53)</f>
        <v xml:space="preserve"> </v>
      </c>
      <c r="P49" s="642" t="str">
        <f>IF('rotation(W501D5A)'!O53=0," ",$B49*'rotation(W501D5A)'!O53)</f>
        <v xml:space="preserve"> </v>
      </c>
      <c r="Q49" s="642" t="str">
        <f>IF('rotation(W501D5A)'!P53=0," ",$B49*'rotation(W501D5A)'!P53)</f>
        <v xml:space="preserve"> </v>
      </c>
      <c r="R49" s="642" t="str">
        <f>IF('rotation(W501D5A)'!Q53=0," ",$B49*'rotation(W501D5A)'!Q53)</f>
        <v xml:space="preserve"> </v>
      </c>
      <c r="S49" s="642" t="str">
        <f>IF('rotation(W501D5A)'!R53=0," ",$B49*'rotation(W501D5A)'!R53)</f>
        <v xml:space="preserve"> </v>
      </c>
      <c r="T49" s="642" t="str">
        <f>IF('rotation(W501D5A)'!S53=0," ",$B49*'rotation(W501D5A)'!S53)</f>
        <v xml:space="preserve"> </v>
      </c>
      <c r="U49" s="642" t="str">
        <f>IF('rotation(W501D5A)'!T53=0," ",$B49*'rotation(W501D5A)'!T53)</f>
        <v xml:space="preserve"> </v>
      </c>
      <c r="V49" s="642" t="str">
        <f>IF('rotation(W501D5A)'!U53=0," ",$B49*'rotation(W501D5A)'!U53)</f>
        <v xml:space="preserve"> </v>
      </c>
      <c r="W49" s="642" t="str">
        <f>IF('rotation(W501D5A)'!V53=0," ",$B49*'rotation(W501D5A)'!V53)</f>
        <v xml:space="preserve"> </v>
      </c>
      <c r="X49" s="21">
        <f t="shared" si="4"/>
        <v>0</v>
      </c>
    </row>
    <row r="50" spans="1:24" s="21" customFormat="1">
      <c r="A50" s="648" t="str">
        <f>'GTDB(W501D5A)'!A27</f>
        <v>Row 2 Vanes</v>
      </c>
      <c r="B50" s="641">
        <f>'GTDB(W501D5A)'!D27</f>
        <v>132.30000000000001</v>
      </c>
      <c r="C50" s="642"/>
      <c r="D50" s="642" t="str">
        <f>IF('rotation(W501D5A)'!C57=0," ",$B50*'rotation(W501D5A)'!C57)</f>
        <v xml:space="preserve"> </v>
      </c>
      <c r="E50" s="642" t="str">
        <f>IF('rotation(W501D5A)'!D57=0," ",$B50*'rotation(W501D5A)'!D57)</f>
        <v xml:space="preserve"> </v>
      </c>
      <c r="F50" s="642" t="str">
        <f>IF('rotation(W501D5A)'!E57=0," ",$B50*'rotation(W501D5A)'!E57)</f>
        <v xml:space="preserve"> </v>
      </c>
      <c r="G50" s="642" t="str">
        <f>IF('rotation(W501D5A)'!F57=0," ",$B50*'rotation(W501D5A)'!F57)</f>
        <v xml:space="preserve"> </v>
      </c>
      <c r="H50" s="642" t="str">
        <f>IF('rotation(W501D5A)'!G57=0," ",$B50*'rotation(W501D5A)'!G57)</f>
        <v xml:space="preserve"> </v>
      </c>
      <c r="I50" s="642" t="str">
        <f>IF('rotation(W501D5A)'!H57=0," ",$B50*'rotation(W501D5A)'!H57)</f>
        <v xml:space="preserve"> </v>
      </c>
      <c r="J50" s="642" t="str">
        <f>IF('rotation(W501D5A)'!I57=0," ",$B50*'rotation(W501D5A)'!I57)</f>
        <v xml:space="preserve"> </v>
      </c>
      <c r="K50" s="642" t="str">
        <f>IF('rotation(W501D5A)'!J57=0," ",$B50*'rotation(W501D5A)'!J57)</f>
        <v xml:space="preserve"> </v>
      </c>
      <c r="L50" s="642" t="str">
        <f>IF('rotation(W501D5A)'!K57=0," ",$B50*'rotation(W501D5A)'!K57)</f>
        <v xml:space="preserve"> </v>
      </c>
      <c r="M50" s="642" t="str">
        <f>IF('rotation(W501D5A)'!L57=0," ",$B50*'rotation(W501D5A)'!L57)</f>
        <v xml:space="preserve"> </v>
      </c>
      <c r="N50" s="642" t="str">
        <f>IF('rotation(W501D5A)'!M57=0," ",$B50*'rotation(W501D5A)'!M57)</f>
        <v xml:space="preserve"> </v>
      </c>
      <c r="O50" s="642" t="str">
        <f>IF('rotation(W501D5A)'!N57=0," ",$B50*'rotation(W501D5A)'!N57)</f>
        <v xml:space="preserve"> </v>
      </c>
      <c r="P50" s="642" t="str">
        <f>IF('rotation(W501D5A)'!O57=0," ",$B50*'rotation(W501D5A)'!O57)</f>
        <v xml:space="preserve"> </v>
      </c>
      <c r="Q50" s="642" t="str">
        <f>IF('rotation(W501D5A)'!P57=0," ",$B50*'rotation(W501D5A)'!P57)</f>
        <v xml:space="preserve"> </v>
      </c>
      <c r="R50" s="642" t="str">
        <f>IF('rotation(W501D5A)'!Q57=0," ",$B50*'rotation(W501D5A)'!Q57)</f>
        <v xml:space="preserve"> </v>
      </c>
      <c r="S50" s="642" t="str">
        <f>IF('rotation(W501D5A)'!R57=0," ",$B50*'rotation(W501D5A)'!R57)</f>
        <v xml:space="preserve"> </v>
      </c>
      <c r="T50" s="642" t="str">
        <f>IF('rotation(W501D5A)'!S57=0," ",$B50*'rotation(W501D5A)'!S57)</f>
        <v xml:space="preserve"> </v>
      </c>
      <c r="U50" s="642" t="str">
        <f>IF('rotation(W501D5A)'!T57=0," ",$B50*'rotation(W501D5A)'!T57)</f>
        <v xml:space="preserve"> </v>
      </c>
      <c r="V50" s="642" t="str">
        <f>IF('rotation(W501D5A)'!U57=0," ",$B50*'rotation(W501D5A)'!U57)</f>
        <v xml:space="preserve"> </v>
      </c>
      <c r="W50" s="642" t="str">
        <f>IF('rotation(W501D5A)'!V57=0," ",$B50*'rotation(W501D5A)'!V57)</f>
        <v xml:space="preserve"> </v>
      </c>
      <c r="X50" s="21">
        <f t="shared" si="4"/>
        <v>0</v>
      </c>
    </row>
    <row r="51" spans="1:24" s="21" customFormat="1">
      <c r="A51" s="648" t="str">
        <f>'GTDB(W501D5A)'!A28</f>
        <v>Row 3 Vanes</v>
      </c>
      <c r="B51" s="641">
        <f>'GTDB(W501D5A)'!D28</f>
        <v>77.400000000000006</v>
      </c>
      <c r="C51" s="642"/>
      <c r="D51" s="642" t="str">
        <f>IF('rotation(W501D5A)'!C61=0," ",$B51*'rotation(W501D5A)'!C61)</f>
        <v xml:space="preserve"> </v>
      </c>
      <c r="E51" s="642" t="str">
        <f>IF('rotation(W501D5A)'!D61=0," ",$B51*'rotation(W501D5A)'!D61)</f>
        <v xml:space="preserve"> </v>
      </c>
      <c r="F51" s="642" t="str">
        <f>IF('rotation(W501D5A)'!E61=0," ",$B51*'rotation(W501D5A)'!E61)</f>
        <v xml:space="preserve"> </v>
      </c>
      <c r="G51" s="642" t="str">
        <f>IF('rotation(W501D5A)'!F61=0," ",$B51*'rotation(W501D5A)'!F61)</f>
        <v xml:space="preserve"> </v>
      </c>
      <c r="H51" s="642" t="str">
        <f>IF('rotation(W501D5A)'!G61=0," ",$B51*'rotation(W501D5A)'!G61)</f>
        <v xml:space="preserve"> </v>
      </c>
      <c r="I51" s="642" t="str">
        <f>IF('rotation(W501D5A)'!H61=0," ",$B51*'rotation(W501D5A)'!H61)</f>
        <v xml:space="preserve"> </v>
      </c>
      <c r="J51" s="642" t="str">
        <f>IF('rotation(W501D5A)'!I61=0," ",$B51*'rotation(W501D5A)'!I61)</f>
        <v xml:space="preserve"> </v>
      </c>
      <c r="K51" s="642" t="str">
        <f>IF('rotation(W501D5A)'!J61=0," ",$B51*'rotation(W501D5A)'!J61)</f>
        <v xml:space="preserve"> </v>
      </c>
      <c r="L51" s="642" t="str">
        <f>IF('rotation(W501D5A)'!K61=0," ",$B51*'rotation(W501D5A)'!K61)</f>
        <v xml:space="preserve"> </v>
      </c>
      <c r="M51" s="642" t="str">
        <f>IF('rotation(W501D5A)'!L61=0," ",$B51*'rotation(W501D5A)'!L61)</f>
        <v xml:space="preserve"> </v>
      </c>
      <c r="N51" s="642" t="str">
        <f>IF('rotation(W501D5A)'!M61=0," ",$B51*'rotation(W501D5A)'!M61)</f>
        <v xml:space="preserve"> </v>
      </c>
      <c r="O51" s="642" t="str">
        <f>IF('rotation(W501D5A)'!N61=0," ",$B51*'rotation(W501D5A)'!N61)</f>
        <v xml:space="preserve"> </v>
      </c>
      <c r="P51" s="642" t="str">
        <f>IF('rotation(W501D5A)'!O61=0," ",$B51*'rotation(W501D5A)'!O61)</f>
        <v xml:space="preserve"> </v>
      </c>
      <c r="Q51" s="642" t="str">
        <f>IF('rotation(W501D5A)'!P61=0," ",$B51*'rotation(W501D5A)'!P61)</f>
        <v xml:space="preserve"> </v>
      </c>
      <c r="R51" s="642" t="str">
        <f>IF('rotation(W501D5A)'!Q61=0," ",$B51*'rotation(W501D5A)'!Q61)</f>
        <v xml:space="preserve"> </v>
      </c>
      <c r="S51" s="642" t="str">
        <f>IF('rotation(W501D5A)'!R61=0," ",$B51*'rotation(W501D5A)'!R61)</f>
        <v xml:space="preserve"> </v>
      </c>
      <c r="T51" s="642" t="str">
        <f>IF('rotation(W501D5A)'!S61=0," ",$B51*'rotation(W501D5A)'!S61)</f>
        <v xml:space="preserve"> </v>
      </c>
      <c r="U51" s="642" t="str">
        <f>IF('rotation(W501D5A)'!T61=0," ",$B51*'rotation(W501D5A)'!T61)</f>
        <v xml:space="preserve"> </v>
      </c>
      <c r="V51" s="642" t="str">
        <f>IF('rotation(W501D5A)'!U61=0," ",$B51*'rotation(W501D5A)'!U61)</f>
        <v xml:space="preserve"> </v>
      </c>
      <c r="W51" s="642" t="str">
        <f>IF('rotation(W501D5A)'!V61=0," ",$B51*'rotation(W501D5A)'!V61)</f>
        <v xml:space="preserve"> </v>
      </c>
      <c r="X51" s="21">
        <f t="shared" si="4"/>
        <v>0</v>
      </c>
    </row>
    <row r="52" spans="1:24" s="21" customFormat="1">
      <c r="A52" s="648" t="str">
        <f>'GTDB(W501D5A)'!A29</f>
        <v>Row 4 Vanes</v>
      </c>
      <c r="B52" s="641">
        <f>'GTDB(W501D5A)'!D29</f>
        <v>90.405000000000001</v>
      </c>
      <c r="C52" s="642"/>
      <c r="D52" s="642" t="str">
        <f>IF('rotation(W501D5A)'!C65=0," ",$B52*'rotation(W501D5A)'!C65)</f>
        <v xml:space="preserve"> </v>
      </c>
      <c r="E52" s="642" t="str">
        <f>IF('rotation(W501D5A)'!D65=0," ",$B52*'rotation(W501D5A)'!D65)</f>
        <v xml:space="preserve"> </v>
      </c>
      <c r="F52" s="642" t="str">
        <f>IF('rotation(W501D5A)'!E65=0," ",$B52*'rotation(W501D5A)'!E65)</f>
        <v xml:space="preserve"> </v>
      </c>
      <c r="G52" s="642" t="str">
        <f>IF('rotation(W501D5A)'!F65=0," ",$B52*'rotation(W501D5A)'!F65)</f>
        <v xml:space="preserve"> </v>
      </c>
      <c r="H52" s="642" t="str">
        <f>IF('rotation(W501D5A)'!G65=0," ",$B52*'rotation(W501D5A)'!G65)</f>
        <v xml:space="preserve"> </v>
      </c>
      <c r="I52" s="642" t="str">
        <f>IF('rotation(W501D5A)'!H65=0," ",$B52*'rotation(W501D5A)'!H65)</f>
        <v xml:space="preserve"> </v>
      </c>
      <c r="J52" s="642" t="str">
        <f>IF('rotation(W501D5A)'!I65=0," ",$B52*'rotation(W501D5A)'!I65)</f>
        <v xml:space="preserve"> </v>
      </c>
      <c r="K52" s="642" t="str">
        <f>IF('rotation(W501D5A)'!J65=0," ",$B52*'rotation(W501D5A)'!J65)</f>
        <v xml:space="preserve"> </v>
      </c>
      <c r="L52" s="642" t="str">
        <f>IF('rotation(W501D5A)'!K65=0," ",$B52*'rotation(W501D5A)'!K65)</f>
        <v xml:space="preserve"> </v>
      </c>
      <c r="M52" s="642" t="str">
        <f>IF('rotation(W501D5A)'!L65=0," ",$B52*'rotation(W501D5A)'!L65)</f>
        <v xml:space="preserve"> </v>
      </c>
      <c r="N52" s="642" t="str">
        <f>IF('rotation(W501D5A)'!M65=0," ",$B52*'rotation(W501D5A)'!M65)</f>
        <v xml:space="preserve"> </v>
      </c>
      <c r="O52" s="642" t="str">
        <f>IF('rotation(W501D5A)'!N65=0," ",$B52*'rotation(W501D5A)'!N65)</f>
        <v xml:space="preserve"> </v>
      </c>
      <c r="P52" s="642" t="str">
        <f>IF('rotation(W501D5A)'!O65=0," ",$B52*'rotation(W501D5A)'!O65)</f>
        <v xml:space="preserve"> </v>
      </c>
      <c r="Q52" s="642" t="str">
        <f>IF('rotation(W501D5A)'!P65=0," ",$B52*'rotation(W501D5A)'!P65)</f>
        <v xml:space="preserve"> </v>
      </c>
      <c r="R52" s="642" t="str">
        <f>IF('rotation(W501D5A)'!Q65=0," ",$B52*'rotation(W501D5A)'!Q65)</f>
        <v xml:space="preserve"> </v>
      </c>
      <c r="S52" s="642" t="str">
        <f>IF('rotation(W501D5A)'!R65=0," ",$B52*'rotation(W501D5A)'!R65)</f>
        <v xml:space="preserve"> </v>
      </c>
      <c r="T52" s="642" t="str">
        <f>IF('rotation(W501D5A)'!S65=0," ",$B52*'rotation(W501D5A)'!S65)</f>
        <v xml:space="preserve"> </v>
      </c>
      <c r="U52" s="642" t="str">
        <f>IF('rotation(W501D5A)'!T65=0," ",$B52*'rotation(W501D5A)'!T65)</f>
        <v xml:space="preserve"> </v>
      </c>
      <c r="V52" s="642" t="str">
        <f>IF('rotation(W501D5A)'!U65=0," ",$B52*'rotation(W501D5A)'!U65)</f>
        <v xml:space="preserve"> </v>
      </c>
      <c r="W52" s="642" t="str">
        <f>IF('rotation(W501D5A)'!V65=0," ",$B52*'rotation(W501D5A)'!V65)</f>
        <v xml:space="preserve"> </v>
      </c>
      <c r="X52" s="21">
        <f t="shared" si="4"/>
        <v>0</v>
      </c>
    </row>
    <row r="53" spans="1:24" s="21" customFormat="1">
      <c r="A53" s="648" t="str">
        <f>'GTDB(W501D5A)'!A30</f>
        <v>Row 1 ring segments</v>
      </c>
      <c r="B53" s="641">
        <f>'GTDB(W501D5A)'!D30</f>
        <v>14.5</v>
      </c>
      <c r="C53" s="642"/>
      <c r="D53" s="642" t="str">
        <f>IF('rotation(W501D5A)'!C69=0," ",$B53*'rotation(W501D5A)'!C69)</f>
        <v xml:space="preserve"> </v>
      </c>
      <c r="E53" s="642" t="str">
        <f>IF('rotation(W501D5A)'!D69=0," ",$B53*'rotation(W501D5A)'!D69)</f>
        <v xml:space="preserve"> </v>
      </c>
      <c r="F53" s="642" t="str">
        <f>IF('rotation(W501D5A)'!E69=0," ",$B53*'rotation(W501D5A)'!E69)</f>
        <v xml:space="preserve"> </v>
      </c>
      <c r="G53" s="642" t="str">
        <f>IF('rotation(W501D5A)'!F69=0," ",$B53*'rotation(W501D5A)'!F69)</f>
        <v xml:space="preserve"> </v>
      </c>
      <c r="H53" s="642" t="str">
        <f>IF('rotation(W501D5A)'!G69=0," ",$B53*'rotation(W501D5A)'!G69)</f>
        <v xml:space="preserve"> </v>
      </c>
      <c r="I53" s="642" t="str">
        <f>IF('rotation(W501D5A)'!H69=0," ",$B53*'rotation(W501D5A)'!H69)</f>
        <v xml:space="preserve"> </v>
      </c>
      <c r="J53" s="642" t="str">
        <f>IF('rotation(W501D5A)'!I69=0," ",$B53*'rotation(W501D5A)'!I69)</f>
        <v xml:space="preserve"> </v>
      </c>
      <c r="K53" s="642" t="str">
        <f>IF('rotation(W501D5A)'!J69=0," ",$B53*'rotation(W501D5A)'!J69)</f>
        <v xml:space="preserve"> </v>
      </c>
      <c r="L53" s="642" t="str">
        <f>IF('rotation(W501D5A)'!K69=0," ",$B53*'rotation(W501D5A)'!K69)</f>
        <v xml:space="preserve"> </v>
      </c>
      <c r="M53" s="642" t="str">
        <f>IF('rotation(W501D5A)'!L69=0," ",$B53*'rotation(W501D5A)'!L69)</f>
        <v xml:space="preserve"> </v>
      </c>
      <c r="N53" s="642" t="str">
        <f>IF('rotation(W501D5A)'!M69=0," ",$B53*'rotation(W501D5A)'!M69)</f>
        <v xml:space="preserve"> </v>
      </c>
      <c r="O53" s="642" t="str">
        <f>IF('rotation(W501D5A)'!N69=0," ",$B53*'rotation(W501D5A)'!N69)</f>
        <v xml:space="preserve"> </v>
      </c>
      <c r="P53" s="642" t="str">
        <f>IF('rotation(W501D5A)'!O69=0," ",$B53*'rotation(W501D5A)'!O69)</f>
        <v xml:space="preserve"> </v>
      </c>
      <c r="Q53" s="642" t="str">
        <f>IF('rotation(W501D5A)'!P69=0," ",$B53*'rotation(W501D5A)'!P69)</f>
        <v xml:space="preserve"> </v>
      </c>
      <c r="R53" s="642" t="str">
        <f>IF('rotation(W501D5A)'!Q69=0," ",$B53*'rotation(W501D5A)'!Q69)</f>
        <v xml:space="preserve"> </v>
      </c>
      <c r="S53" s="642" t="str">
        <f>IF('rotation(W501D5A)'!R69=0," ",$B53*'rotation(W501D5A)'!R69)</f>
        <v xml:space="preserve"> </v>
      </c>
      <c r="T53" s="642" t="str">
        <f>IF('rotation(W501D5A)'!S69=0," ",$B53*'rotation(W501D5A)'!S69)</f>
        <v xml:space="preserve"> </v>
      </c>
      <c r="U53" s="642" t="str">
        <f>IF('rotation(W501D5A)'!T69=0," ",$B53*'rotation(W501D5A)'!T69)</f>
        <v xml:space="preserve"> </v>
      </c>
      <c r="V53" s="642" t="str">
        <f>IF('rotation(W501D5A)'!U69=0," ",$B53*'rotation(W501D5A)'!U69)</f>
        <v xml:space="preserve"> </v>
      </c>
      <c r="W53" s="642" t="str">
        <f>IF('rotation(W501D5A)'!V69=0," ",$B53*'rotation(W501D5A)'!V69)</f>
        <v xml:space="preserve"> </v>
      </c>
      <c r="X53" s="21">
        <f t="shared" si="4"/>
        <v>0</v>
      </c>
    </row>
    <row r="54" spans="1:24" s="21" customFormat="1">
      <c r="A54" s="648" t="str">
        <f>'GTDB(W501D5A)'!A31</f>
        <v>Row 2 ring segments</v>
      </c>
      <c r="B54" s="641">
        <f>'GTDB(W501D5A)'!D31</f>
        <v>14.5</v>
      </c>
      <c r="C54" s="642"/>
      <c r="D54" s="642" t="str">
        <f>IF('rotation(W501D5A)'!C73=0," ",$B54*'rotation(W501D5A)'!C73)</f>
        <v xml:space="preserve"> </v>
      </c>
      <c r="E54" s="642" t="str">
        <f>IF('rotation(W501D5A)'!D73=0," ",$B54*'rotation(W501D5A)'!D73)</f>
        <v xml:space="preserve"> </v>
      </c>
      <c r="F54" s="642" t="str">
        <f>IF('rotation(W501D5A)'!E73=0," ",$B54*'rotation(W501D5A)'!E73)</f>
        <v xml:space="preserve"> </v>
      </c>
      <c r="G54" s="642" t="str">
        <f>IF('rotation(W501D5A)'!F73=0," ",$B54*'rotation(W501D5A)'!F73)</f>
        <v xml:space="preserve"> </v>
      </c>
      <c r="H54" s="642" t="str">
        <f>IF('rotation(W501D5A)'!G73=0," ",$B54*'rotation(W501D5A)'!G73)</f>
        <v xml:space="preserve"> </v>
      </c>
      <c r="I54" s="642" t="str">
        <f>IF('rotation(W501D5A)'!H73=0," ",$B54*'rotation(W501D5A)'!H73)</f>
        <v xml:space="preserve"> </v>
      </c>
      <c r="J54" s="642" t="str">
        <f>IF('rotation(W501D5A)'!I73=0," ",$B54*'rotation(W501D5A)'!I73)</f>
        <v xml:space="preserve"> </v>
      </c>
      <c r="K54" s="642" t="str">
        <f>IF('rotation(W501D5A)'!J73=0," ",$B54*'rotation(W501D5A)'!J73)</f>
        <v xml:space="preserve"> </v>
      </c>
      <c r="L54" s="642" t="str">
        <f>IF('rotation(W501D5A)'!K73=0," ",$B54*'rotation(W501D5A)'!K73)</f>
        <v xml:space="preserve"> </v>
      </c>
      <c r="M54" s="642" t="str">
        <f>IF('rotation(W501D5A)'!L73=0," ",$B54*'rotation(W501D5A)'!L73)</f>
        <v xml:space="preserve"> </v>
      </c>
      <c r="N54" s="642" t="str">
        <f>IF('rotation(W501D5A)'!M73=0," ",$B54*'rotation(W501D5A)'!M73)</f>
        <v xml:space="preserve"> </v>
      </c>
      <c r="O54" s="642" t="str">
        <f>IF('rotation(W501D5A)'!N73=0," ",$B54*'rotation(W501D5A)'!N73)</f>
        <v xml:space="preserve"> </v>
      </c>
      <c r="P54" s="642" t="str">
        <f>IF('rotation(W501D5A)'!O73=0," ",$B54*'rotation(W501D5A)'!O73)</f>
        <v xml:space="preserve"> </v>
      </c>
      <c r="Q54" s="642" t="str">
        <f>IF('rotation(W501D5A)'!P73=0," ",$B54*'rotation(W501D5A)'!P73)</f>
        <v xml:space="preserve"> </v>
      </c>
      <c r="R54" s="642" t="str">
        <f>IF('rotation(W501D5A)'!Q73=0," ",$B54*'rotation(W501D5A)'!Q73)</f>
        <v xml:space="preserve"> </v>
      </c>
      <c r="S54" s="642" t="str">
        <f>IF('rotation(W501D5A)'!R73=0," ",$B54*'rotation(W501D5A)'!R73)</f>
        <v xml:space="preserve"> </v>
      </c>
      <c r="T54" s="642" t="str">
        <f>IF('rotation(W501D5A)'!S73=0," ",$B54*'rotation(W501D5A)'!S73)</f>
        <v xml:space="preserve"> </v>
      </c>
      <c r="U54" s="642" t="str">
        <f>IF('rotation(W501D5A)'!T73=0," ",$B54*'rotation(W501D5A)'!T73)</f>
        <v xml:space="preserve"> </v>
      </c>
      <c r="V54" s="642" t="str">
        <f>IF('rotation(W501D5A)'!U73=0," ",$B54*'rotation(W501D5A)'!U73)</f>
        <v xml:space="preserve"> </v>
      </c>
      <c r="W54" s="642" t="str">
        <f>IF('rotation(W501D5A)'!V73=0," ",$B54*'rotation(W501D5A)'!V73)</f>
        <v xml:space="preserve"> </v>
      </c>
      <c r="X54" s="21">
        <f t="shared" si="4"/>
        <v>0</v>
      </c>
    </row>
    <row r="55" spans="1:24" s="21" customFormat="1">
      <c r="A55" s="648" t="str">
        <f>'GTDB(W501D5A)'!A32</f>
        <v>Row 3 rings segments</v>
      </c>
      <c r="B55" s="641">
        <f>'GTDB(W501D5A)'!D32</f>
        <v>13</v>
      </c>
      <c r="C55" s="642"/>
      <c r="D55" s="642" t="str">
        <f>IF('rotation(W501D5A)'!C77=0," ",$B55*'rotation(W501D5A)'!C77)</f>
        <v xml:space="preserve"> </v>
      </c>
      <c r="E55" s="642" t="str">
        <f>IF('rotation(W501D5A)'!D77=0," ",$B55*'rotation(W501D5A)'!D77)</f>
        <v xml:space="preserve"> </v>
      </c>
      <c r="F55" s="642" t="str">
        <f>IF('rotation(W501D5A)'!E77=0," ",$B55*'rotation(W501D5A)'!E77)</f>
        <v xml:space="preserve"> </v>
      </c>
      <c r="G55" s="642" t="str">
        <f>IF('rotation(W501D5A)'!F77=0," ",$B55*'rotation(W501D5A)'!F77)</f>
        <v xml:space="preserve"> </v>
      </c>
      <c r="H55" s="642" t="str">
        <f>IF('rotation(W501D5A)'!G77=0," ",$B55*'rotation(W501D5A)'!G77)</f>
        <v xml:space="preserve"> </v>
      </c>
      <c r="I55" s="642" t="str">
        <f>IF('rotation(W501D5A)'!H77=0," ",$B55*'rotation(W501D5A)'!H77)</f>
        <v xml:space="preserve"> </v>
      </c>
      <c r="J55" s="642" t="str">
        <f>IF('rotation(W501D5A)'!I77=0," ",$B55*'rotation(W501D5A)'!I77)</f>
        <v xml:space="preserve"> </v>
      </c>
      <c r="K55" s="642" t="str">
        <f>IF('rotation(W501D5A)'!J77=0," ",$B55*'rotation(W501D5A)'!J77)</f>
        <v xml:space="preserve"> </v>
      </c>
      <c r="L55" s="642" t="str">
        <f>IF('rotation(W501D5A)'!K77=0," ",$B55*'rotation(W501D5A)'!K77)</f>
        <v xml:space="preserve"> </v>
      </c>
      <c r="M55" s="642" t="str">
        <f>IF('rotation(W501D5A)'!L77=0," ",$B55*'rotation(W501D5A)'!L77)</f>
        <v xml:space="preserve"> </v>
      </c>
      <c r="N55" s="642" t="str">
        <f>IF('rotation(W501D5A)'!M77=0," ",$B55*'rotation(W501D5A)'!M77)</f>
        <v xml:space="preserve"> </v>
      </c>
      <c r="O55" s="642" t="str">
        <f>IF('rotation(W501D5A)'!N77=0," ",$B55*'rotation(W501D5A)'!N77)</f>
        <v xml:space="preserve"> </v>
      </c>
      <c r="P55" s="642" t="str">
        <f>IF('rotation(W501D5A)'!O77=0," ",$B55*'rotation(W501D5A)'!O77)</f>
        <v xml:space="preserve"> </v>
      </c>
      <c r="Q55" s="642" t="str">
        <f>IF('rotation(W501D5A)'!P77=0," ",$B55*'rotation(W501D5A)'!P77)</f>
        <v xml:space="preserve"> </v>
      </c>
      <c r="R55" s="642" t="str">
        <f>IF('rotation(W501D5A)'!Q77=0," ",$B55*'rotation(W501D5A)'!Q77)</f>
        <v xml:space="preserve"> </v>
      </c>
      <c r="S55" s="642" t="str">
        <f>IF('rotation(W501D5A)'!R77=0," ",$B55*'rotation(W501D5A)'!R77)</f>
        <v xml:space="preserve"> </v>
      </c>
      <c r="T55" s="642" t="str">
        <f>IF('rotation(W501D5A)'!S77=0," ",$B55*'rotation(W501D5A)'!S77)</f>
        <v xml:space="preserve"> </v>
      </c>
      <c r="U55" s="642" t="str">
        <f>IF('rotation(W501D5A)'!T77=0," ",$B55*'rotation(W501D5A)'!T77)</f>
        <v xml:space="preserve"> </v>
      </c>
      <c r="V55" s="642" t="str">
        <f>IF('rotation(W501D5A)'!U77=0," ",$B55*'rotation(W501D5A)'!U77)</f>
        <v xml:space="preserve"> </v>
      </c>
      <c r="W55" s="642" t="str">
        <f>IF('rotation(W501D5A)'!V77=0," ",$B55*'rotation(W501D5A)'!V77)</f>
        <v xml:space="preserve"> </v>
      </c>
      <c r="X55" s="21">
        <f t="shared" si="4"/>
        <v>0</v>
      </c>
    </row>
    <row r="56" spans="1:24" s="21" customFormat="1">
      <c r="A56" s="648" t="str">
        <f>'GTDB(W501D5A)'!A33</f>
        <v>Row 4 rings segments</v>
      </c>
      <c r="B56" s="641">
        <f>'GTDB(W501D5A)'!D33</f>
        <v>13</v>
      </c>
      <c r="C56" s="642"/>
      <c r="D56" s="642" t="str">
        <f>IF('rotation(W501D5A)'!C81=0," ",$B56*'rotation(W501D5A)'!C81)</f>
        <v xml:space="preserve"> </v>
      </c>
      <c r="E56" s="642" t="str">
        <f>IF('rotation(W501D5A)'!D81=0," ",$B56*'rotation(W501D5A)'!D81)</f>
        <v xml:space="preserve"> </v>
      </c>
      <c r="F56" s="642" t="str">
        <f>IF('rotation(W501D5A)'!E81=0," ",$B56*'rotation(W501D5A)'!E81)</f>
        <v xml:space="preserve"> </v>
      </c>
      <c r="G56" s="642" t="str">
        <f>IF('rotation(W501D5A)'!F81=0," ",$B56*'rotation(W501D5A)'!F81)</f>
        <v xml:space="preserve"> </v>
      </c>
      <c r="H56" s="642" t="str">
        <f>IF('rotation(W501D5A)'!G81=0," ",$B56*'rotation(W501D5A)'!G81)</f>
        <v xml:space="preserve"> </v>
      </c>
      <c r="I56" s="642" t="str">
        <f>IF('rotation(W501D5A)'!H81=0," ",$B56*'rotation(W501D5A)'!H81)</f>
        <v xml:space="preserve"> </v>
      </c>
      <c r="J56" s="642" t="str">
        <f>IF('rotation(W501D5A)'!I81=0," ",$B56*'rotation(W501D5A)'!I81)</f>
        <v xml:space="preserve"> </v>
      </c>
      <c r="K56" s="642" t="str">
        <f>IF('rotation(W501D5A)'!J81=0," ",$B56*'rotation(W501D5A)'!J81)</f>
        <v xml:space="preserve"> </v>
      </c>
      <c r="L56" s="642" t="str">
        <f>IF('rotation(W501D5A)'!K81=0," ",$B56*'rotation(W501D5A)'!K81)</f>
        <v xml:space="preserve"> </v>
      </c>
      <c r="M56" s="642" t="str">
        <f>IF('rotation(W501D5A)'!L81=0," ",$B56*'rotation(W501D5A)'!L81)</f>
        <v xml:space="preserve"> </v>
      </c>
      <c r="N56" s="642" t="str">
        <f>IF('rotation(W501D5A)'!M81=0," ",$B56*'rotation(W501D5A)'!M81)</f>
        <v xml:space="preserve"> </v>
      </c>
      <c r="O56" s="642" t="str">
        <f>IF('rotation(W501D5A)'!N81=0," ",$B56*'rotation(W501D5A)'!N81)</f>
        <v xml:space="preserve"> </v>
      </c>
      <c r="P56" s="642" t="str">
        <f>IF('rotation(W501D5A)'!O81=0," ",$B56*'rotation(W501D5A)'!O81)</f>
        <v xml:space="preserve"> </v>
      </c>
      <c r="Q56" s="642" t="str">
        <f>IF('rotation(W501D5A)'!P81=0," ",$B56*'rotation(W501D5A)'!P81)</f>
        <v xml:space="preserve"> </v>
      </c>
      <c r="R56" s="642" t="str">
        <f>IF('rotation(W501D5A)'!Q81=0," ",$B56*'rotation(W501D5A)'!Q81)</f>
        <v xml:space="preserve"> </v>
      </c>
      <c r="S56" s="642" t="str">
        <f>IF('rotation(W501D5A)'!R81=0," ",$B56*'rotation(W501D5A)'!R81)</f>
        <v xml:space="preserve"> </v>
      </c>
      <c r="T56" s="642" t="str">
        <f>IF('rotation(W501D5A)'!S81=0," ",$B56*'rotation(W501D5A)'!S81)</f>
        <v xml:space="preserve"> </v>
      </c>
      <c r="U56" s="642" t="str">
        <f>IF('rotation(W501D5A)'!T81=0," ",$B56*'rotation(W501D5A)'!T81)</f>
        <v xml:space="preserve"> </v>
      </c>
      <c r="V56" s="642" t="str">
        <f>IF('rotation(W501D5A)'!U81=0," ",$B56*'rotation(W501D5A)'!U81)</f>
        <v xml:space="preserve"> </v>
      </c>
      <c r="W56" s="642" t="str">
        <f>IF('rotation(W501D5A)'!V81=0," ",$B56*'rotation(W501D5A)'!V81)</f>
        <v xml:space="preserve"> </v>
      </c>
      <c r="X56" s="21">
        <f t="shared" si="4"/>
        <v>0</v>
      </c>
    </row>
    <row r="57" spans="1:24" s="21" customFormat="1">
      <c r="A57" s="648" t="str">
        <f>'GTDB(W501D5A)'!A34</f>
        <v>Comp Rotor Blades</v>
      </c>
      <c r="B57" s="641">
        <f>'GTDB(W501D5A)'!D34</f>
        <v>63</v>
      </c>
      <c r="C57" s="642"/>
      <c r="D57" s="642" t="str">
        <f>IF('rotation(W501D5A)'!C85=0," ",$B57*'rotation(W501D5A)'!C85)</f>
        <v xml:space="preserve"> </v>
      </c>
      <c r="E57" s="642" t="str">
        <f>IF('rotation(W501D5A)'!D85=0," ",$B57*'rotation(W501D5A)'!D85)</f>
        <v xml:space="preserve"> </v>
      </c>
      <c r="F57" s="642" t="str">
        <f>IF('rotation(W501D5A)'!E85=0," ",$B57*'rotation(W501D5A)'!E85)</f>
        <v xml:space="preserve"> </v>
      </c>
      <c r="G57" s="642" t="str">
        <f>IF('rotation(W501D5A)'!F85=0," ",$B57*'rotation(W501D5A)'!F85)</f>
        <v xml:space="preserve"> </v>
      </c>
      <c r="H57" s="642" t="str">
        <f>IF('rotation(W501D5A)'!G85=0," ",$B57*'rotation(W501D5A)'!G85)</f>
        <v xml:space="preserve"> </v>
      </c>
      <c r="I57" s="642" t="str">
        <f>IF('rotation(W501D5A)'!H85=0," ",$B57*'rotation(W501D5A)'!H85)</f>
        <v xml:space="preserve"> </v>
      </c>
      <c r="J57" s="642" t="str">
        <f>IF('rotation(W501D5A)'!I85=0," ",$B57*'rotation(W501D5A)'!I85)</f>
        <v xml:space="preserve"> </v>
      </c>
      <c r="K57" s="642" t="str">
        <f>IF('rotation(W501D5A)'!J85=0," ",$B57*'rotation(W501D5A)'!J85)</f>
        <v xml:space="preserve"> </v>
      </c>
      <c r="L57" s="642" t="str">
        <f>IF('rotation(W501D5A)'!K85=0," ",$B57*'rotation(W501D5A)'!K85)</f>
        <v xml:space="preserve"> </v>
      </c>
      <c r="M57" s="642" t="str">
        <f>IF('rotation(W501D5A)'!L85=0," ",$B57*'rotation(W501D5A)'!L85)</f>
        <v xml:space="preserve"> </v>
      </c>
      <c r="N57" s="642" t="str">
        <f>IF('rotation(W501D5A)'!M85=0," ",$B57*'rotation(W501D5A)'!M85)</f>
        <v xml:space="preserve"> </v>
      </c>
      <c r="O57" s="642" t="str">
        <f>IF('rotation(W501D5A)'!N85=0," ",$B57*'rotation(W501D5A)'!N85)</f>
        <v xml:space="preserve"> </v>
      </c>
      <c r="P57" s="642" t="str">
        <f>IF('rotation(W501D5A)'!O85=0," ",$B57*'rotation(W501D5A)'!O85)</f>
        <v xml:space="preserve"> </v>
      </c>
      <c r="Q57" s="642" t="str">
        <f>IF('rotation(W501D5A)'!P85=0," ",$B57*'rotation(W501D5A)'!P85)</f>
        <v xml:space="preserve"> </v>
      </c>
      <c r="R57" s="642" t="str">
        <f>IF('rotation(W501D5A)'!Q85=0," ",$B57*'rotation(W501D5A)'!Q85)</f>
        <v xml:space="preserve"> </v>
      </c>
      <c r="S57" s="642" t="str">
        <f>IF('rotation(W501D5A)'!R85=0," ",$B57*'rotation(W501D5A)'!R85)</f>
        <v xml:space="preserve"> </v>
      </c>
      <c r="T57" s="642" t="str">
        <f>IF('rotation(W501D5A)'!S85=0," ",$B57*'rotation(W501D5A)'!S85)</f>
        <v xml:space="preserve"> </v>
      </c>
      <c r="U57" s="642" t="str">
        <f>IF('rotation(W501D5A)'!T85=0," ",$B57*'rotation(W501D5A)'!T85)</f>
        <v xml:space="preserve"> </v>
      </c>
      <c r="V57" s="642" t="str">
        <f>IF('rotation(W501D5A)'!U85=0," ",$B57*'rotation(W501D5A)'!U85)</f>
        <v xml:space="preserve"> </v>
      </c>
      <c r="W57" s="642" t="str">
        <f>IF('rotation(W501D5A)'!V85=0," ",$B57*'rotation(W501D5A)'!V85)</f>
        <v xml:space="preserve"> </v>
      </c>
      <c r="X57" s="21">
        <f t="shared" si="4"/>
        <v>0</v>
      </c>
    </row>
    <row r="58" spans="1:24" s="21" customFormat="1">
      <c r="A58" s="648" t="str">
        <f>'GTDB(W501D5A)'!A35</f>
        <v>Comp Diaphragms</v>
      </c>
      <c r="B58" s="641">
        <f>'GTDB(W501D5A)'!D35</f>
        <v>63</v>
      </c>
      <c r="C58" s="642"/>
      <c r="D58" s="642" t="str">
        <f>IF('rotation(W501D5A)'!C89=0," ",$B58*'rotation(W501D5A)'!C89)</f>
        <v xml:space="preserve"> </v>
      </c>
      <c r="E58" s="642" t="str">
        <f>IF('rotation(W501D5A)'!D89=0," ",$B58*'rotation(W501D5A)'!D89)</f>
        <v xml:space="preserve"> </v>
      </c>
      <c r="F58" s="642" t="str">
        <f>IF('rotation(W501D5A)'!E89=0," ",$B58*'rotation(W501D5A)'!E89)</f>
        <v xml:space="preserve"> </v>
      </c>
      <c r="G58" s="642" t="str">
        <f>IF('rotation(W501D5A)'!F89=0," ",$B58*'rotation(W501D5A)'!F89)</f>
        <v xml:space="preserve"> </v>
      </c>
      <c r="H58" s="642" t="str">
        <f>IF('rotation(W501D5A)'!G89=0," ",$B58*'rotation(W501D5A)'!G89)</f>
        <v xml:space="preserve"> </v>
      </c>
      <c r="I58" s="642" t="str">
        <f>IF('rotation(W501D5A)'!H89=0," ",$B58*'rotation(W501D5A)'!H89)</f>
        <v xml:space="preserve"> </v>
      </c>
      <c r="J58" s="642" t="str">
        <f>IF('rotation(W501D5A)'!I89=0," ",$B58*'rotation(W501D5A)'!I89)</f>
        <v xml:space="preserve"> </v>
      </c>
      <c r="K58" s="642" t="str">
        <f>IF('rotation(W501D5A)'!J89=0," ",$B58*'rotation(W501D5A)'!J89)</f>
        <v xml:space="preserve"> </v>
      </c>
      <c r="L58" s="642" t="str">
        <f>IF('rotation(W501D5A)'!K89=0," ",$B58*'rotation(W501D5A)'!K89)</f>
        <v xml:space="preserve"> </v>
      </c>
      <c r="M58" s="642" t="str">
        <f>IF('rotation(W501D5A)'!L89=0," ",$B58*'rotation(W501D5A)'!L89)</f>
        <v xml:space="preserve"> </v>
      </c>
      <c r="N58" s="642" t="str">
        <f>IF('rotation(W501D5A)'!M89=0," ",$B58*'rotation(W501D5A)'!M89)</f>
        <v xml:space="preserve"> </v>
      </c>
      <c r="O58" s="642" t="str">
        <f>IF('rotation(W501D5A)'!N89=0," ",$B58*'rotation(W501D5A)'!N89)</f>
        <v xml:space="preserve"> </v>
      </c>
      <c r="P58" s="642" t="str">
        <f>IF('rotation(W501D5A)'!O89=0," ",$B58*'rotation(W501D5A)'!O89)</f>
        <v xml:space="preserve"> </v>
      </c>
      <c r="Q58" s="642" t="str">
        <f>IF('rotation(W501D5A)'!P89=0," ",$B58*'rotation(W501D5A)'!P89)</f>
        <v xml:space="preserve"> </v>
      </c>
      <c r="R58" s="642" t="str">
        <f>IF('rotation(W501D5A)'!Q89=0," ",$B58*'rotation(W501D5A)'!Q89)</f>
        <v xml:space="preserve"> </v>
      </c>
      <c r="S58" s="642" t="str">
        <f>IF('rotation(W501D5A)'!R89=0," ",$B58*'rotation(W501D5A)'!R89)</f>
        <v xml:space="preserve"> </v>
      </c>
      <c r="T58" s="642" t="str">
        <f>IF('rotation(W501D5A)'!S89=0," ",$B58*'rotation(W501D5A)'!S89)</f>
        <v xml:space="preserve"> </v>
      </c>
      <c r="U58" s="642" t="str">
        <f>IF('rotation(W501D5A)'!T89=0," ",$B58*'rotation(W501D5A)'!T89)</f>
        <v xml:space="preserve"> </v>
      </c>
      <c r="V58" s="642" t="str">
        <f>IF('rotation(W501D5A)'!U89=0," ",$B58*'rotation(W501D5A)'!U89)</f>
        <v xml:space="preserve"> </v>
      </c>
      <c r="W58" s="642" t="str">
        <f>IF('rotation(W501D5A)'!V89=0," ",$B58*'rotation(W501D5A)'!V89)</f>
        <v xml:space="preserve"> </v>
      </c>
      <c r="X58" s="21">
        <f t="shared" si="4"/>
        <v>0</v>
      </c>
    </row>
    <row r="59" spans="1:24" s="21" customFormat="1">
      <c r="A59" s="64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 spans="1:24" s="21" customFormat="1">
      <c r="A60" s="651" t="s">
        <v>911</v>
      </c>
      <c r="B60" s="643">
        <v>0.02</v>
      </c>
      <c r="C60" s="79"/>
      <c r="D60" s="79">
        <f t="shared" ref="D60:W60" si="5">SUM(D40:D58)*(1-$B60)</f>
        <v>0</v>
      </c>
      <c r="E60" s="79">
        <f t="shared" si="5"/>
        <v>0</v>
      </c>
      <c r="F60" s="79">
        <f t="shared" si="5"/>
        <v>0</v>
      </c>
      <c r="G60" s="79">
        <f t="shared" si="5"/>
        <v>0</v>
      </c>
      <c r="H60" s="79">
        <f t="shared" si="5"/>
        <v>0</v>
      </c>
      <c r="I60" s="79">
        <f t="shared" si="5"/>
        <v>0</v>
      </c>
      <c r="J60" s="79">
        <f t="shared" si="5"/>
        <v>0</v>
      </c>
      <c r="K60" s="79">
        <f t="shared" si="5"/>
        <v>0</v>
      </c>
      <c r="L60" s="79">
        <f t="shared" si="5"/>
        <v>0</v>
      </c>
      <c r="M60" s="79">
        <f t="shared" si="5"/>
        <v>0</v>
      </c>
      <c r="N60" s="79">
        <f t="shared" si="5"/>
        <v>0</v>
      </c>
      <c r="O60" s="79">
        <f t="shared" si="5"/>
        <v>0</v>
      </c>
      <c r="P60" s="79">
        <f t="shared" si="5"/>
        <v>0</v>
      </c>
      <c r="Q60" s="79">
        <f t="shared" si="5"/>
        <v>0</v>
      </c>
      <c r="R60" s="79">
        <f t="shared" si="5"/>
        <v>0</v>
      </c>
      <c r="S60" s="79">
        <f t="shared" si="5"/>
        <v>0</v>
      </c>
      <c r="T60" s="79">
        <f t="shared" si="5"/>
        <v>0</v>
      </c>
      <c r="U60" s="79">
        <f t="shared" si="5"/>
        <v>0</v>
      </c>
      <c r="V60" s="79">
        <f t="shared" si="5"/>
        <v>0</v>
      </c>
      <c r="W60" s="79">
        <f t="shared" si="5"/>
        <v>0</v>
      </c>
      <c r="X60" s="21">
        <f>SUM(D60:W60)</f>
        <v>0</v>
      </c>
    </row>
    <row r="61" spans="1:24" s="21" customFormat="1">
      <c r="A61" s="651" t="s">
        <v>912</v>
      </c>
      <c r="B61" s="643">
        <v>0.01</v>
      </c>
      <c r="C61" s="79"/>
      <c r="D61" s="79">
        <f t="shared" ref="D61:W61" si="6">D60*(1+$B61)</f>
        <v>0</v>
      </c>
      <c r="E61" s="79">
        <f t="shared" si="6"/>
        <v>0</v>
      </c>
      <c r="F61" s="79">
        <f t="shared" si="6"/>
        <v>0</v>
      </c>
      <c r="G61" s="79">
        <f t="shared" si="6"/>
        <v>0</v>
      </c>
      <c r="H61" s="79">
        <f t="shared" si="6"/>
        <v>0</v>
      </c>
      <c r="I61" s="79">
        <f t="shared" si="6"/>
        <v>0</v>
      </c>
      <c r="J61" s="79">
        <f t="shared" si="6"/>
        <v>0</v>
      </c>
      <c r="K61" s="79">
        <f t="shared" si="6"/>
        <v>0</v>
      </c>
      <c r="L61" s="79">
        <f t="shared" si="6"/>
        <v>0</v>
      </c>
      <c r="M61" s="79">
        <f t="shared" si="6"/>
        <v>0</v>
      </c>
      <c r="N61" s="79">
        <f t="shared" si="6"/>
        <v>0</v>
      </c>
      <c r="O61" s="79">
        <f t="shared" si="6"/>
        <v>0</v>
      </c>
      <c r="P61" s="79">
        <f t="shared" si="6"/>
        <v>0</v>
      </c>
      <c r="Q61" s="79">
        <f t="shared" si="6"/>
        <v>0</v>
      </c>
      <c r="R61" s="79">
        <f t="shared" si="6"/>
        <v>0</v>
      </c>
      <c r="S61" s="79">
        <f t="shared" si="6"/>
        <v>0</v>
      </c>
      <c r="T61" s="79">
        <f t="shared" si="6"/>
        <v>0</v>
      </c>
      <c r="U61" s="79">
        <f t="shared" si="6"/>
        <v>0</v>
      </c>
      <c r="V61" s="79">
        <f t="shared" si="6"/>
        <v>0</v>
      </c>
      <c r="W61" s="79">
        <f t="shared" si="6"/>
        <v>0</v>
      </c>
      <c r="X61" s="644">
        <f>SUM(D61:W61)</f>
        <v>0</v>
      </c>
    </row>
    <row r="62" spans="1:24" s="21" customFormat="1">
      <c r="A62" s="640"/>
    </row>
    <row r="63" spans="1:24" s="21" customFormat="1">
      <c r="A63" s="640" t="s">
        <v>913</v>
      </c>
      <c r="D63" s="21">
        <f t="shared" ref="D63:W63" si="7">D10+D35+D61</f>
        <v>0</v>
      </c>
      <c r="E63" s="21">
        <f t="shared" si="7"/>
        <v>0</v>
      </c>
      <c r="F63" s="21">
        <f t="shared" si="7"/>
        <v>0</v>
      </c>
      <c r="G63" s="21">
        <f t="shared" si="7"/>
        <v>0</v>
      </c>
      <c r="H63" s="21">
        <f t="shared" si="7"/>
        <v>0</v>
      </c>
      <c r="I63" s="21">
        <f t="shared" si="7"/>
        <v>0</v>
      </c>
      <c r="J63" s="21">
        <f t="shared" si="7"/>
        <v>0</v>
      </c>
      <c r="K63" s="21">
        <f t="shared" si="7"/>
        <v>0</v>
      </c>
      <c r="L63" s="21">
        <f t="shared" si="7"/>
        <v>0</v>
      </c>
      <c r="M63" s="21">
        <f t="shared" si="7"/>
        <v>0</v>
      </c>
      <c r="N63" s="21">
        <f t="shared" si="7"/>
        <v>0</v>
      </c>
      <c r="O63" s="21">
        <f t="shared" si="7"/>
        <v>0</v>
      </c>
      <c r="P63" s="21">
        <f t="shared" si="7"/>
        <v>0</v>
      </c>
      <c r="Q63" s="21">
        <f t="shared" si="7"/>
        <v>0</v>
      </c>
      <c r="R63" s="21">
        <f t="shared" si="7"/>
        <v>0</v>
      </c>
      <c r="S63" s="21">
        <f t="shared" si="7"/>
        <v>0</v>
      </c>
      <c r="T63" s="21">
        <f t="shared" si="7"/>
        <v>0</v>
      </c>
      <c r="U63" s="21">
        <f t="shared" si="7"/>
        <v>0</v>
      </c>
      <c r="V63" s="21">
        <f t="shared" si="7"/>
        <v>0</v>
      </c>
      <c r="W63" s="21">
        <f t="shared" si="7"/>
        <v>0</v>
      </c>
      <c r="X63" s="724">
        <f>SUM(D63:W63)</f>
        <v>0</v>
      </c>
    </row>
    <row r="64" spans="1:24" s="21" customFormat="1">
      <c r="A64" s="640"/>
    </row>
    <row r="65" spans="1:1" s="21" customFormat="1">
      <c r="A65" s="640"/>
    </row>
    <row r="66" spans="1:1" s="21" customFormat="1">
      <c r="A66" s="640"/>
    </row>
    <row r="67" spans="1:1" s="21" customFormat="1">
      <c r="A67" s="640"/>
    </row>
    <row r="68" spans="1:1" s="21" customFormat="1">
      <c r="A68" s="640"/>
    </row>
    <row r="69" spans="1:1" s="21" customFormat="1">
      <c r="A69" s="640"/>
    </row>
    <row r="70" spans="1:1" s="21" customFormat="1">
      <c r="A70" s="640"/>
    </row>
    <row r="71" spans="1:1" s="21" customFormat="1">
      <c r="A71" s="640"/>
    </row>
    <row r="72" spans="1:1" s="21" customFormat="1">
      <c r="A72" s="640"/>
    </row>
    <row r="73" spans="1:1" s="21" customFormat="1">
      <c r="A73" s="640"/>
    </row>
    <row r="74" spans="1:1" s="21" customFormat="1">
      <c r="A74" s="640"/>
    </row>
    <row r="75" spans="1:1" s="21" customFormat="1">
      <c r="A75" s="640"/>
    </row>
    <row r="76" spans="1:1" s="21" customFormat="1">
      <c r="A76" s="640"/>
    </row>
  </sheetData>
  <pageMargins left="0.75" right="0.75" top="1" bottom="1" header="0.5" footer="0.5"/>
  <pageSetup scale="53" orientation="landscape" r:id="rId1"/>
  <headerFooter alignWithMargins="0">
    <oddFooter>&amp;LRichard Bickings
&amp;D&amp;CPage &amp;P&amp;R&amp;F
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1"/>
  <dimension ref="A2:AF92"/>
  <sheetViews>
    <sheetView topLeftCell="H1" zoomScale="75" zoomScaleNormal="75" workbookViewId="0">
      <selection activeCell="X7" sqref="X7"/>
    </sheetView>
  </sheetViews>
  <sheetFormatPr defaultRowHeight="12.75"/>
  <cols>
    <col min="1" max="1" width="12.5703125" customWidth="1"/>
    <col min="3" max="3" width="9.28515625" bestFit="1" customWidth="1"/>
    <col min="5" max="5" width="9.28515625" customWidth="1"/>
    <col min="10" max="10" width="7.5703125" customWidth="1"/>
    <col min="11" max="11" width="7.42578125" customWidth="1"/>
    <col min="23" max="23" width="19" customWidth="1"/>
    <col min="24" max="24" width="10.42578125" customWidth="1"/>
    <col min="26" max="26" width="10.7109375" customWidth="1"/>
    <col min="28" max="28" width="10.7109375" customWidth="1"/>
  </cols>
  <sheetData>
    <row r="2" spans="1:32" ht="20.25">
      <c r="W2" s="652" t="s">
        <v>914</v>
      </c>
    </row>
    <row r="4" spans="1:32" ht="20.25">
      <c r="A4" s="652" t="s">
        <v>915</v>
      </c>
      <c r="B4" s="132"/>
      <c r="C4" s="132"/>
      <c r="D4" s="132"/>
      <c r="W4" s="653" t="str">
        <f>'GTDB(W501D5A)'!B4</f>
        <v>W501D5A</v>
      </c>
      <c r="X4" s="140" t="s">
        <v>916</v>
      </c>
      <c r="Y4" s="140" t="s">
        <v>917</v>
      </c>
      <c r="Z4" s="102" t="s">
        <v>278</v>
      </c>
      <c r="AA4" s="140" t="s">
        <v>918</v>
      </c>
    </row>
    <row r="5" spans="1:32">
      <c r="A5" s="140" t="s">
        <v>919</v>
      </c>
      <c r="B5" s="140" t="s">
        <v>278</v>
      </c>
      <c r="C5" s="140">
        <v>1</v>
      </c>
      <c r="D5" s="140">
        <v>2</v>
      </c>
      <c r="E5" s="140">
        <v>3</v>
      </c>
      <c r="F5" s="140">
        <v>4</v>
      </c>
      <c r="G5" s="140">
        <v>5</v>
      </c>
      <c r="H5" s="140">
        <v>6</v>
      </c>
      <c r="I5" s="140">
        <v>7</v>
      </c>
      <c r="J5" s="140">
        <v>8</v>
      </c>
      <c r="K5" s="140">
        <v>9</v>
      </c>
      <c r="L5" s="140">
        <v>10</v>
      </c>
      <c r="M5" s="140">
        <v>11</v>
      </c>
      <c r="N5" s="140">
        <v>12</v>
      </c>
      <c r="O5" s="140">
        <v>13</v>
      </c>
      <c r="P5" s="140">
        <v>14</v>
      </c>
      <c r="Q5" s="140">
        <v>15</v>
      </c>
      <c r="R5" s="140">
        <v>16</v>
      </c>
      <c r="S5" s="140">
        <v>17</v>
      </c>
      <c r="T5" s="140">
        <v>18</v>
      </c>
      <c r="U5" s="140">
        <v>19</v>
      </c>
      <c r="V5" s="420">
        <v>20</v>
      </c>
      <c r="W5" s="603" t="s">
        <v>920</v>
      </c>
      <c r="X5" s="654">
        <v>20</v>
      </c>
      <c r="Y5" s="654">
        <f>20-X5</f>
        <v>0</v>
      </c>
      <c r="Z5" s="102" t="s">
        <v>278</v>
      </c>
      <c r="AA5" s="655"/>
    </row>
    <row r="6" spans="1:32" ht="13.5" thickBot="1">
      <c r="A6" s="140" t="s">
        <v>921</v>
      </c>
      <c r="B6" s="617"/>
      <c r="C6" s="140">
        <f t="shared" ref="C6:V6" si="0">B6+IF(C5&gt;$X$5,$Y$6,$X$6)</f>
        <v>0</v>
      </c>
      <c r="D6" s="140">
        <f t="shared" si="0"/>
        <v>0</v>
      </c>
      <c r="E6" s="140">
        <f t="shared" si="0"/>
        <v>0</v>
      </c>
      <c r="F6" s="140">
        <f t="shared" si="0"/>
        <v>0</v>
      </c>
      <c r="G6" s="140">
        <f t="shared" si="0"/>
        <v>0</v>
      </c>
      <c r="H6" s="140">
        <f t="shared" si="0"/>
        <v>0</v>
      </c>
      <c r="I6" s="140">
        <f t="shared" si="0"/>
        <v>0</v>
      </c>
      <c r="J6" s="140">
        <f t="shared" si="0"/>
        <v>0</v>
      </c>
      <c r="K6" s="140">
        <f t="shared" si="0"/>
        <v>0</v>
      </c>
      <c r="L6" s="140">
        <f t="shared" si="0"/>
        <v>0</v>
      </c>
      <c r="M6" s="140">
        <f t="shared" si="0"/>
        <v>0</v>
      </c>
      <c r="N6" s="140">
        <f t="shared" si="0"/>
        <v>0</v>
      </c>
      <c r="O6" s="140">
        <f t="shared" si="0"/>
        <v>0</v>
      </c>
      <c r="P6" s="140">
        <f t="shared" si="0"/>
        <v>0</v>
      </c>
      <c r="Q6" s="140">
        <f t="shared" si="0"/>
        <v>0</v>
      </c>
      <c r="R6" s="140">
        <f t="shared" si="0"/>
        <v>0</v>
      </c>
      <c r="S6" s="140">
        <f t="shared" si="0"/>
        <v>0</v>
      </c>
      <c r="T6" s="140">
        <f t="shared" si="0"/>
        <v>0</v>
      </c>
      <c r="U6" s="140">
        <f t="shared" si="0"/>
        <v>0</v>
      </c>
      <c r="V6" s="140">
        <f t="shared" si="0"/>
        <v>0</v>
      </c>
      <c r="W6" s="656" t="s">
        <v>922</v>
      </c>
      <c r="X6" s="657">
        <f>IF(X7=0,0,Scope!F41)</f>
        <v>0</v>
      </c>
      <c r="Y6" s="658">
        <v>8000</v>
      </c>
      <c r="Z6" s="659"/>
      <c r="AA6" s="655"/>
      <c r="AD6" s="660">
        <v>1</v>
      </c>
    </row>
    <row r="7" spans="1:32" ht="13.5" thickBot="1">
      <c r="A7" s="102"/>
      <c r="B7" s="102" t="s">
        <v>278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661" t="s">
        <v>923</v>
      </c>
      <c r="X7" s="662">
        <v>0</v>
      </c>
      <c r="Y7" s="663"/>
      <c r="Z7" s="102"/>
      <c r="AA7" s="664"/>
    </row>
    <row r="8" spans="1:32">
      <c r="A8" s="140" t="s">
        <v>924</v>
      </c>
      <c r="B8" s="140">
        <v>0</v>
      </c>
      <c r="C8" s="140">
        <f t="shared" ref="C8:V8" si="1">( INT(C6/$X8)*$X$7-INT(B6/$X8)*$X$7-C9-C10)</f>
        <v>0</v>
      </c>
      <c r="D8" s="140">
        <f t="shared" si="1"/>
        <v>0</v>
      </c>
      <c r="E8" s="140">
        <f t="shared" si="1"/>
        <v>0</v>
      </c>
      <c r="F8" s="140">
        <f t="shared" si="1"/>
        <v>0</v>
      </c>
      <c r="G8" s="140">
        <f t="shared" si="1"/>
        <v>0</v>
      </c>
      <c r="H8" s="140">
        <f t="shared" si="1"/>
        <v>0</v>
      </c>
      <c r="I8" s="140">
        <f t="shared" si="1"/>
        <v>0</v>
      </c>
      <c r="J8" s="140">
        <f t="shared" si="1"/>
        <v>0</v>
      </c>
      <c r="K8" s="140">
        <f t="shared" si="1"/>
        <v>0</v>
      </c>
      <c r="L8" s="140">
        <f t="shared" si="1"/>
        <v>0</v>
      </c>
      <c r="M8" s="140">
        <f t="shared" si="1"/>
        <v>0</v>
      </c>
      <c r="N8" s="140">
        <f t="shared" si="1"/>
        <v>0</v>
      </c>
      <c r="O8" s="140">
        <f t="shared" si="1"/>
        <v>0</v>
      </c>
      <c r="P8" s="140">
        <f t="shared" si="1"/>
        <v>0</v>
      </c>
      <c r="Q8" s="140">
        <f t="shared" si="1"/>
        <v>0</v>
      </c>
      <c r="R8" s="140">
        <f t="shared" si="1"/>
        <v>0</v>
      </c>
      <c r="S8" s="140">
        <f t="shared" si="1"/>
        <v>0</v>
      </c>
      <c r="T8" s="140">
        <f t="shared" si="1"/>
        <v>0</v>
      </c>
      <c r="U8" s="140">
        <f t="shared" si="1"/>
        <v>0</v>
      </c>
      <c r="V8" s="420">
        <f t="shared" si="1"/>
        <v>0</v>
      </c>
      <c r="W8" s="665" t="s">
        <v>925</v>
      </c>
      <c r="X8" s="666">
        <f>IF($AD$6=1,'GTDB(W501D5A)'!B12,'GTDB(W501D5A)'!G12)</f>
        <v>8000</v>
      </c>
      <c r="Y8" s="663"/>
      <c r="Z8" s="663"/>
    </row>
    <row r="9" spans="1:32">
      <c r="A9" s="140" t="s">
        <v>1223</v>
      </c>
      <c r="B9" s="140">
        <v>0</v>
      </c>
      <c r="C9" s="140">
        <f t="shared" ref="C9:V9" si="2">(INT(C6/$X9)-INT(B6/$X9))*$X$7-C10</f>
        <v>0</v>
      </c>
      <c r="D9" s="140">
        <f t="shared" si="2"/>
        <v>0</v>
      </c>
      <c r="E9" s="140">
        <f t="shared" si="2"/>
        <v>0</v>
      </c>
      <c r="F9" s="140">
        <f t="shared" si="2"/>
        <v>0</v>
      </c>
      <c r="G9" s="140">
        <f t="shared" si="2"/>
        <v>0</v>
      </c>
      <c r="H9" s="140">
        <f t="shared" si="2"/>
        <v>0</v>
      </c>
      <c r="I9" s="140">
        <f t="shared" si="2"/>
        <v>0</v>
      </c>
      <c r="J9" s="140">
        <f t="shared" si="2"/>
        <v>0</v>
      </c>
      <c r="K9" s="140">
        <f t="shared" si="2"/>
        <v>0</v>
      </c>
      <c r="L9" s="140">
        <f t="shared" si="2"/>
        <v>0</v>
      </c>
      <c r="M9" s="140">
        <f t="shared" si="2"/>
        <v>0</v>
      </c>
      <c r="N9" s="140">
        <f t="shared" si="2"/>
        <v>0</v>
      </c>
      <c r="O9" s="140">
        <f t="shared" si="2"/>
        <v>0</v>
      </c>
      <c r="P9" s="140">
        <f t="shared" si="2"/>
        <v>0</v>
      </c>
      <c r="Q9" s="140">
        <f t="shared" si="2"/>
        <v>0</v>
      </c>
      <c r="R9" s="140">
        <f t="shared" si="2"/>
        <v>0</v>
      </c>
      <c r="S9" s="140">
        <f t="shared" si="2"/>
        <v>0</v>
      </c>
      <c r="T9" s="140">
        <f t="shared" si="2"/>
        <v>0</v>
      </c>
      <c r="U9" s="140">
        <f t="shared" si="2"/>
        <v>0</v>
      </c>
      <c r="V9" s="420">
        <f t="shared" si="2"/>
        <v>0</v>
      </c>
      <c r="W9" s="667" t="s">
        <v>926</v>
      </c>
      <c r="X9" s="666">
        <f>IF($AD$6=1,'GTDB(W501D5A)'!B13,'GTDB(W501D5A)'!G13)</f>
        <v>24000</v>
      </c>
      <c r="Y9" s="663"/>
      <c r="Z9" s="663"/>
    </row>
    <row r="10" spans="1:32">
      <c r="A10" s="140" t="s">
        <v>1224</v>
      </c>
      <c r="B10" s="140">
        <v>0</v>
      </c>
      <c r="C10" s="140">
        <f t="shared" ref="C10:V10" si="3">(INT(C6/$X10)-INT(B6/$X10))*$X$7</f>
        <v>0</v>
      </c>
      <c r="D10" s="140">
        <f t="shared" si="3"/>
        <v>0</v>
      </c>
      <c r="E10" s="140">
        <f t="shared" si="3"/>
        <v>0</v>
      </c>
      <c r="F10" s="140">
        <f t="shared" si="3"/>
        <v>0</v>
      </c>
      <c r="G10" s="140">
        <f t="shared" si="3"/>
        <v>0</v>
      </c>
      <c r="H10" s="140">
        <f t="shared" si="3"/>
        <v>0</v>
      </c>
      <c r="I10" s="140">
        <f t="shared" si="3"/>
        <v>0</v>
      </c>
      <c r="J10" s="140">
        <f t="shared" si="3"/>
        <v>0</v>
      </c>
      <c r="K10" s="140">
        <f t="shared" si="3"/>
        <v>0</v>
      </c>
      <c r="L10" s="140">
        <f t="shared" si="3"/>
        <v>0</v>
      </c>
      <c r="M10" s="140">
        <f t="shared" si="3"/>
        <v>0</v>
      </c>
      <c r="N10" s="140">
        <f t="shared" si="3"/>
        <v>0</v>
      </c>
      <c r="O10" s="140">
        <f t="shared" si="3"/>
        <v>0</v>
      </c>
      <c r="P10" s="140">
        <f t="shared" si="3"/>
        <v>0</v>
      </c>
      <c r="Q10" s="140">
        <f t="shared" si="3"/>
        <v>0</v>
      </c>
      <c r="R10" s="140">
        <f t="shared" si="3"/>
        <v>0</v>
      </c>
      <c r="S10" s="140">
        <f t="shared" si="3"/>
        <v>0</v>
      </c>
      <c r="T10" s="140">
        <f t="shared" si="3"/>
        <v>0</v>
      </c>
      <c r="U10" s="140">
        <f t="shared" si="3"/>
        <v>0</v>
      </c>
      <c r="V10" s="420">
        <f t="shared" si="3"/>
        <v>0</v>
      </c>
      <c r="W10" s="667" t="s">
        <v>927</v>
      </c>
      <c r="X10" s="666">
        <f>IF($AD$6=1,'GTDB(W501D5A)'!B14,'GTDB(W501D5A)'!G14)</f>
        <v>48000</v>
      </c>
      <c r="Y10" s="663"/>
      <c r="Z10" s="663"/>
      <c r="AA10" t="s">
        <v>278</v>
      </c>
    </row>
    <row r="11" spans="1:32" ht="11.2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668"/>
      <c r="X11" s="669"/>
      <c r="Y11" s="663"/>
      <c r="Z11" s="663"/>
      <c r="AF11" s="670"/>
    </row>
    <row r="12" spans="1:32" hidden="1">
      <c r="A12" s="140" t="s">
        <v>924</v>
      </c>
      <c r="B12" s="140"/>
      <c r="C12" s="140" t="str">
        <f t="shared" ref="C12:V12" si="4">IF(C8=0," ",IF(C8/$X$7=1,"C",C8/$X$7&amp;"C"))</f>
        <v xml:space="preserve"> </v>
      </c>
      <c r="D12" s="140" t="str">
        <f t="shared" si="4"/>
        <v xml:space="preserve"> </v>
      </c>
      <c r="E12" s="140" t="str">
        <f t="shared" si="4"/>
        <v xml:space="preserve"> </v>
      </c>
      <c r="F12" s="140" t="str">
        <f t="shared" si="4"/>
        <v xml:space="preserve"> </v>
      </c>
      <c r="G12" s="140" t="str">
        <f t="shared" si="4"/>
        <v xml:space="preserve"> </v>
      </c>
      <c r="H12" s="140" t="str">
        <f t="shared" si="4"/>
        <v xml:space="preserve"> </v>
      </c>
      <c r="I12" s="140" t="str">
        <f t="shared" si="4"/>
        <v xml:space="preserve"> </v>
      </c>
      <c r="J12" s="140" t="str">
        <f t="shared" si="4"/>
        <v xml:space="preserve"> </v>
      </c>
      <c r="K12" s="140" t="str">
        <f t="shared" si="4"/>
        <v xml:space="preserve"> </v>
      </c>
      <c r="L12" s="140" t="str">
        <f t="shared" si="4"/>
        <v xml:space="preserve"> </v>
      </c>
      <c r="M12" s="140" t="str">
        <f t="shared" si="4"/>
        <v xml:space="preserve"> </v>
      </c>
      <c r="N12" s="140" t="str">
        <f t="shared" si="4"/>
        <v xml:space="preserve"> </v>
      </c>
      <c r="O12" s="140" t="str">
        <f t="shared" si="4"/>
        <v xml:space="preserve"> </v>
      </c>
      <c r="P12" s="140" t="str">
        <f t="shared" si="4"/>
        <v xml:space="preserve"> </v>
      </c>
      <c r="Q12" s="140" t="str">
        <f t="shared" si="4"/>
        <v xml:space="preserve"> </v>
      </c>
      <c r="R12" s="140" t="str">
        <f t="shared" si="4"/>
        <v xml:space="preserve"> </v>
      </c>
      <c r="S12" s="140" t="str">
        <f t="shared" si="4"/>
        <v xml:space="preserve"> </v>
      </c>
      <c r="T12" s="140" t="str">
        <f t="shared" si="4"/>
        <v xml:space="preserve"> </v>
      </c>
      <c r="U12" s="140" t="str">
        <f t="shared" si="4"/>
        <v xml:space="preserve"> </v>
      </c>
      <c r="V12" s="140" t="str">
        <f t="shared" si="4"/>
        <v xml:space="preserve"> </v>
      </c>
      <c r="W12" s="615"/>
      <c r="X12" s="671"/>
      <c r="Y12" s="672"/>
      <c r="Z12" s="672"/>
    </row>
    <row r="13" spans="1:32" hidden="1">
      <c r="A13" s="140" t="s">
        <v>1223</v>
      </c>
      <c r="B13" s="140"/>
      <c r="C13" s="140" t="str">
        <f t="shared" ref="C13:V13" si="5">IF(C9=0," ",IF(C9/$X$7=1,"H",C9/$X$7&amp;"H"))</f>
        <v xml:space="preserve"> </v>
      </c>
      <c r="D13" s="140" t="str">
        <f t="shared" si="5"/>
        <v xml:space="preserve"> </v>
      </c>
      <c r="E13" s="140" t="str">
        <f t="shared" si="5"/>
        <v xml:space="preserve"> </v>
      </c>
      <c r="F13" s="140" t="str">
        <f t="shared" si="5"/>
        <v xml:space="preserve"> </v>
      </c>
      <c r="G13" s="140" t="str">
        <f t="shared" si="5"/>
        <v xml:space="preserve"> </v>
      </c>
      <c r="H13" s="140" t="str">
        <f t="shared" si="5"/>
        <v xml:space="preserve"> </v>
      </c>
      <c r="I13" s="140" t="str">
        <f t="shared" si="5"/>
        <v xml:space="preserve"> </v>
      </c>
      <c r="J13" s="140" t="str">
        <f t="shared" si="5"/>
        <v xml:space="preserve"> </v>
      </c>
      <c r="K13" s="140" t="str">
        <f t="shared" si="5"/>
        <v xml:space="preserve"> </v>
      </c>
      <c r="L13" s="140" t="str">
        <f t="shared" si="5"/>
        <v xml:space="preserve"> </v>
      </c>
      <c r="M13" s="140" t="str">
        <f t="shared" si="5"/>
        <v xml:space="preserve"> </v>
      </c>
      <c r="N13" s="140" t="str">
        <f t="shared" si="5"/>
        <v xml:space="preserve"> </v>
      </c>
      <c r="O13" s="140" t="str">
        <f t="shared" si="5"/>
        <v xml:space="preserve"> </v>
      </c>
      <c r="P13" s="140" t="str">
        <f t="shared" si="5"/>
        <v xml:space="preserve"> </v>
      </c>
      <c r="Q13" s="140" t="str">
        <f t="shared" si="5"/>
        <v xml:space="preserve"> </v>
      </c>
      <c r="R13" s="140" t="str">
        <f t="shared" si="5"/>
        <v xml:space="preserve"> </v>
      </c>
      <c r="S13" s="140" t="str">
        <f t="shared" si="5"/>
        <v xml:space="preserve"> </v>
      </c>
      <c r="T13" s="140" t="str">
        <f t="shared" si="5"/>
        <v xml:space="preserve"> </v>
      </c>
      <c r="U13" s="140" t="str">
        <f t="shared" si="5"/>
        <v xml:space="preserve"> </v>
      </c>
      <c r="V13" s="140" t="str">
        <f t="shared" si="5"/>
        <v xml:space="preserve"> </v>
      </c>
      <c r="W13" s="615"/>
      <c r="X13" s="671"/>
      <c r="Y13" s="672"/>
      <c r="Z13" s="672"/>
    </row>
    <row r="14" spans="1:32" ht="12.75" hidden="1" customHeight="1">
      <c r="A14" s="140" t="s">
        <v>1224</v>
      </c>
      <c r="B14" s="140"/>
      <c r="C14" s="140" t="str">
        <f t="shared" ref="C14:V14" si="6">IF(C10=0," ",IF(C10/$X$7=1,"M",C10/$X$7&amp;"M"))</f>
        <v xml:space="preserve"> </v>
      </c>
      <c r="D14" s="140" t="str">
        <f t="shared" si="6"/>
        <v xml:space="preserve"> </v>
      </c>
      <c r="E14" s="140" t="str">
        <f t="shared" si="6"/>
        <v xml:space="preserve"> </v>
      </c>
      <c r="F14" s="140" t="str">
        <f t="shared" si="6"/>
        <v xml:space="preserve"> </v>
      </c>
      <c r="G14" s="140" t="str">
        <f t="shared" si="6"/>
        <v xml:space="preserve"> </v>
      </c>
      <c r="H14" s="140" t="str">
        <f t="shared" si="6"/>
        <v xml:space="preserve"> </v>
      </c>
      <c r="I14" s="140" t="str">
        <f t="shared" si="6"/>
        <v xml:space="preserve"> </v>
      </c>
      <c r="J14" s="140" t="str">
        <f t="shared" si="6"/>
        <v xml:space="preserve"> </v>
      </c>
      <c r="K14" s="140" t="str">
        <f t="shared" si="6"/>
        <v xml:space="preserve"> </v>
      </c>
      <c r="L14" s="140" t="str">
        <f t="shared" si="6"/>
        <v xml:space="preserve"> </v>
      </c>
      <c r="M14" s="140" t="str">
        <f t="shared" si="6"/>
        <v xml:space="preserve"> </v>
      </c>
      <c r="N14" s="140" t="str">
        <f t="shared" si="6"/>
        <v xml:space="preserve"> </v>
      </c>
      <c r="O14" s="140" t="str">
        <f t="shared" si="6"/>
        <v xml:space="preserve"> </v>
      </c>
      <c r="P14" s="140" t="str">
        <f t="shared" si="6"/>
        <v xml:space="preserve"> </v>
      </c>
      <c r="Q14" s="140" t="str">
        <f t="shared" si="6"/>
        <v xml:space="preserve"> </v>
      </c>
      <c r="R14" s="140" t="str">
        <f t="shared" si="6"/>
        <v xml:space="preserve"> </v>
      </c>
      <c r="S14" s="140" t="str">
        <f t="shared" si="6"/>
        <v xml:space="preserve"> </v>
      </c>
      <c r="T14" s="140" t="str">
        <f t="shared" si="6"/>
        <v xml:space="preserve"> </v>
      </c>
      <c r="U14" s="140" t="str">
        <f t="shared" si="6"/>
        <v xml:space="preserve"> </v>
      </c>
      <c r="V14" s="140" t="str">
        <f t="shared" si="6"/>
        <v xml:space="preserve"> </v>
      </c>
      <c r="W14" s="78" t="s">
        <v>278</v>
      </c>
    </row>
    <row r="15" spans="1:32" ht="36.7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673"/>
      <c r="W15" s="674" t="s">
        <v>928</v>
      </c>
      <c r="X15" s="675" t="s">
        <v>929</v>
      </c>
      <c r="Y15" s="675" t="s">
        <v>930</v>
      </c>
      <c r="Z15" s="675" t="s">
        <v>931</v>
      </c>
      <c r="AA15" s="676" t="s">
        <v>932</v>
      </c>
      <c r="AB15" s="675" t="s">
        <v>933</v>
      </c>
    </row>
    <row r="16" spans="1:32" hidden="1">
      <c r="A16" s="140" t="s">
        <v>934</v>
      </c>
      <c r="B16" s="603"/>
      <c r="C16" s="140">
        <f t="shared" ref="C16:V16" si="7">INT((INT(C$6/$X17)*$X$7+$X$7+$Z17-1)/($X$7+$Z17)/$Y17)</f>
        <v>0</v>
      </c>
      <c r="D16" s="140">
        <f t="shared" si="7"/>
        <v>0</v>
      </c>
      <c r="E16" s="140">
        <f t="shared" si="7"/>
        <v>0</v>
      </c>
      <c r="F16" s="140">
        <f t="shared" si="7"/>
        <v>0</v>
      </c>
      <c r="G16" s="140">
        <f t="shared" si="7"/>
        <v>0</v>
      </c>
      <c r="H16" s="140">
        <f t="shared" si="7"/>
        <v>0</v>
      </c>
      <c r="I16" s="140">
        <f t="shared" si="7"/>
        <v>0</v>
      </c>
      <c r="J16" s="140">
        <f t="shared" si="7"/>
        <v>0</v>
      </c>
      <c r="K16" s="140">
        <f t="shared" si="7"/>
        <v>0</v>
      </c>
      <c r="L16" s="140">
        <f t="shared" si="7"/>
        <v>0</v>
      </c>
      <c r="M16" s="140">
        <f t="shared" si="7"/>
        <v>0</v>
      </c>
      <c r="N16" s="140">
        <f t="shared" si="7"/>
        <v>0</v>
      </c>
      <c r="O16" s="140">
        <f t="shared" si="7"/>
        <v>0</v>
      </c>
      <c r="P16" s="140">
        <f t="shared" si="7"/>
        <v>0</v>
      </c>
      <c r="Q16" s="140">
        <f t="shared" si="7"/>
        <v>0</v>
      </c>
      <c r="R16" s="140">
        <f t="shared" si="7"/>
        <v>0</v>
      </c>
      <c r="S16" s="140">
        <f t="shared" si="7"/>
        <v>0</v>
      </c>
      <c r="T16" s="140">
        <f t="shared" si="7"/>
        <v>0</v>
      </c>
      <c r="U16" s="140">
        <f t="shared" si="7"/>
        <v>0</v>
      </c>
      <c r="V16" s="140">
        <f t="shared" si="7"/>
        <v>0</v>
      </c>
      <c r="AB16" s="140"/>
    </row>
    <row r="17" spans="1:28">
      <c r="A17" s="140" t="s">
        <v>935</v>
      </c>
      <c r="B17" s="603" t="s">
        <v>278</v>
      </c>
      <c r="C17" s="603">
        <f>IF($Y17=1,0,$X$7*(INT(C$6/$X17)-INT(B$6/$X17))-IF(SUM($B17:B17)&gt;0,C18,0))</f>
        <v>0</v>
      </c>
      <c r="D17" s="603">
        <f>IF($Y17=1,0,$X$7*(INT(D$6/$X17)-INT(C$6/$X17))-IF(SUM($B17:C17)&gt;0,D18,0))</f>
        <v>0</v>
      </c>
      <c r="E17" s="603">
        <f>IF($Y17=1,0,$X$7*(INT(E$6/$X17)-INT(D$6/$X17))-IF(SUM($B17:D17)&gt;0,E18,0))</f>
        <v>0</v>
      </c>
      <c r="F17" s="603">
        <f>IF($Y17=1,0,$X$7*(INT(F$6/$X17)-INT(E$6/$X17))-IF(SUM($B17:E17)&gt;0,F18,0))</f>
        <v>0</v>
      </c>
      <c r="G17" s="603">
        <f>IF($Y17=1,0,$X$7*(INT(G$6/$X17)-INT(F$6/$X17))-IF(SUM($B17:F17)&gt;0,G18,0))</f>
        <v>0</v>
      </c>
      <c r="H17" s="603">
        <f>IF($Y17=1,0,$X$7*(INT(H$6/$X17)-INT(G$6/$X17))-IF(SUM($B17:G17)&gt;0,H18,0))</f>
        <v>0</v>
      </c>
      <c r="I17" s="603">
        <f>IF($Y17=1,0,$X$7*(INT(I$6/$X17)-INT(H$6/$X17))-IF(SUM($B17:H17)&gt;0,I18,0))</f>
        <v>0</v>
      </c>
      <c r="J17" s="603">
        <f>IF($Y17=1,0,$X$7*(INT(J$6/$X17)-INT(I$6/$X17))-IF(SUM($B17:I17)&gt;0,J18,0))</f>
        <v>0</v>
      </c>
      <c r="K17" s="603">
        <f>IF($Y17=1,0,$X$7*(INT(K$6/$X17)-INT(J$6/$X17))-IF(SUM($B17:J17)&gt;0,K18,0))</f>
        <v>0</v>
      </c>
      <c r="L17" s="603">
        <f>IF($Y17=1,0,$X$7*(INT(L$6/$X17)-INT(K$6/$X17))-IF(SUM($B17:K17)&gt;0,L18,0))</f>
        <v>0</v>
      </c>
      <c r="M17" s="603">
        <f>IF($Y17=1,0,$X$7*(INT(M$6/$X17)-INT(L$6/$X17))-IF(SUM($B17:L17)&gt;0,M18,0))</f>
        <v>0</v>
      </c>
      <c r="N17" s="603">
        <f>IF($Y17=1,0,$X$7*(INT(N$6/$X17)-INT(M$6/$X17))-IF(SUM($B17:M17)&gt;0,N18,0))</f>
        <v>0</v>
      </c>
      <c r="O17" s="603">
        <f>IF($Y17=1,0,$X$7*(INT(O$6/$X17)-INT(N$6/$X17))-IF(SUM($B17:N17)&gt;0,O18,0))</f>
        <v>0</v>
      </c>
      <c r="P17" s="603">
        <f>IF($Y17=1,0,$X$7*(INT(P$6/$X17)-INT(O$6/$X17))-IF(SUM($B17:O17)&gt;0,P18,0))</f>
        <v>0</v>
      </c>
      <c r="Q17" s="603">
        <f>IF($Y17=1,0,$X$7*(INT(Q$6/$X17)-INT(P$6/$X17))-IF(SUM($B17:P17)&gt;0,Q18,0))</f>
        <v>0</v>
      </c>
      <c r="R17" s="603">
        <f>IF($Y17=1,0,$X$7*(INT(R$6/$X17)-INT(Q$6/$X17))-IF(SUM($B17:Q17)&gt;0,R18,0))</f>
        <v>0</v>
      </c>
      <c r="S17" s="603">
        <f>IF($Y17=1,0,$X$7*(INT(S$6/$X17)-INT(R$6/$X17))-IF(SUM($B17:R17)&gt;0,S18,0))</f>
        <v>0</v>
      </c>
      <c r="T17" s="603">
        <f>IF($Y17=1,0,$X$7*(INT(T$6/$X17)-INT(S$6/$X17))-IF(SUM($B17:S17)&gt;0,T18,0))</f>
        <v>0</v>
      </c>
      <c r="U17" s="603">
        <f>IF($Y17=1,0,$X$7*(INT(U$6/$X17)-INT(T$6/$X17))-IF(SUM($B17:T17)&gt;0,U18,0))</f>
        <v>0</v>
      </c>
      <c r="V17" s="603">
        <f>IF($Y17=1,0,$X$7*(INT(V$6/$X17)-INT(U$6/$X17))-IF(SUM($B17:U17)&gt;0,V18,0))</f>
        <v>0</v>
      </c>
      <c r="W17" s="677" t="str">
        <f>'GT schd cost(W501D5A)'!A14</f>
        <v>Baskets</v>
      </c>
      <c r="X17" s="678">
        <f>IF($AD$6=1,'GTDB(W501D5A)'!B17,'GTDB(W501D5A)'!G17)</f>
        <v>8000</v>
      </c>
      <c r="Y17" s="678">
        <f>IF($AD$6=1,'GTDB(W501D5A)'!C17,'GTDB(W501D5A)'!H17)</f>
        <v>6</v>
      </c>
      <c r="Z17" s="679">
        <v>2</v>
      </c>
      <c r="AA17" s="832">
        <f>'Initial_Spares(W501D5A)'!$E$11</f>
        <v>0</v>
      </c>
      <c r="AB17" s="642">
        <f>'GT schd cost(W501D5A)'!X14+'GT schd cost(W501D5A)'!X40</f>
        <v>0</v>
      </c>
    </row>
    <row r="18" spans="1:28">
      <c r="A18" s="140" t="s">
        <v>936</v>
      </c>
      <c r="B18" s="603" t="s">
        <v>278</v>
      </c>
      <c r="C18" s="603">
        <f>IF(INT(C$6/$X17)*$X$7&gt;C16*($X$7+$Z17)*$Y17,C16*($X$7+$Z17)-SUM($B18:B18),INT(C$6/$X17)*$X$7-C16*($X$7+$Z17)*($Y17-1)-SUM($B18:B18))+IF($Y17&gt;1,IF(INT(C$6/$X17)&gt;0,$Z17-$AA17,0),-$AA17)</f>
        <v>0</v>
      </c>
      <c r="D18" s="603">
        <f>IF(INT(D$6/$X17)*$X$7&gt;D16*($X$7+$Z17)*$Y17,D16*($X$7+$Z17)-SUM($B18:C18),INT(D$6/$X17)*$X$7-D16*($X$7+$Z17)*($Y17-1)-SUM($B18:C18))+IF($Y17&gt;1,IF(INT(D$6/$X17)&gt;0,$Z17-$AA17,0),-$AA17)</f>
        <v>0</v>
      </c>
      <c r="E18" s="603">
        <f>IF(INT(E$6/$X17)*$X$7&gt;E16*($X$7+$Z17)*$Y17,E16*($X$7+$Z17)-SUM($B18:D18),INT(E$6/$X17)*$X$7-E16*($X$7+$Z17)*($Y17-1)-SUM($B18:D18))+IF($Y17&gt;1,IF(INT(E$6/$X17)&gt;0,$Z17-$AA17,0),-$AA17)</f>
        <v>0</v>
      </c>
      <c r="F18" s="603">
        <f>IF(INT(F$6/$X17)*$X$7&gt;F16*($X$7+$Z17)*$Y17,F16*($X$7+$Z17)-SUM($B18:E18),INT(F$6/$X17)*$X$7-F16*($X$7+$Z17)*($Y17-1)-SUM($B18:E18))+IF($Y17&gt;1,IF(INT(F$6/$X17)&gt;0,$Z17-$AA17,0),-$AA17)</f>
        <v>0</v>
      </c>
      <c r="G18" s="603">
        <f>IF(INT(G$6/$X17)*$X$7&gt;G16*($X$7+$Z17)*$Y17,G16*($X$7+$Z17)-SUM($B18:F18),INT(G$6/$X17)*$X$7-G16*($X$7+$Z17)*($Y17-1)-SUM($B18:F18))+IF($Y17&gt;1,IF(INT(G$6/$X17)&gt;0,$Z17-$AA17,0),-$AA17)</f>
        <v>0</v>
      </c>
      <c r="H18" s="603">
        <f>IF(INT(H$6/$X17)*$X$7&gt;H16*($X$7+$Z17)*$Y17,H16*($X$7+$Z17)-SUM($B18:G18),INT(H$6/$X17)*$X$7-H16*($X$7+$Z17)*($Y17-1)-SUM($B18:G18))+IF($Y17&gt;1,IF(INT(H$6/$X17)&gt;0,$Z17-$AA17,0),-$AA17)</f>
        <v>0</v>
      </c>
      <c r="I18" s="603">
        <f>IF(INT(I$6/$X17)*$X$7&gt;I16*($X$7+$Z17)*$Y17,I16*($X$7+$Z17)-SUM($B18:H18),INT(I$6/$X17)*$X$7-I16*($X$7+$Z17)*($Y17-1)-SUM($B18:H18))+IF($Y17&gt;1,IF(INT(I$6/$X17)&gt;0,$Z17-$AA17,0),-$AA17)</f>
        <v>0</v>
      </c>
      <c r="J18" s="603">
        <f>IF(INT(J$6/$X17)*$X$7&gt;J16*($X$7+$Z17)*$Y17,J16*($X$7+$Z17)-SUM($B18:I18),INT(J$6/$X17)*$X$7-J16*($X$7+$Z17)*($Y17-1)-SUM($B18:I18))+IF($Y17&gt;1,IF(INT(J$6/$X17)&gt;0,$Z17-$AA17,0),-$AA17)</f>
        <v>0</v>
      </c>
      <c r="K18" s="603">
        <f>IF(INT(K$6/$X17)*$X$7&gt;K16*($X$7+$Z17)*$Y17,K16*($X$7+$Z17)-SUM($B18:J18),INT(K$6/$X17)*$X$7-K16*($X$7+$Z17)*($Y17-1)-SUM($B18:J18))+IF($Y17&gt;1,IF(INT(K$6/$X17)&gt;0,$Z17-$AA17,0),-$AA17)</f>
        <v>0</v>
      </c>
      <c r="L18" s="603">
        <f>IF(INT(L$6/$X17)*$X$7&gt;L16*($X$7+$Z17)*$Y17,L16*($X$7+$Z17)-SUM($B18:K18),INT(L$6/$X17)*$X$7-L16*($X$7+$Z17)*($Y17-1)-SUM($B18:K18))+IF($Y17&gt;1,IF(INT(L$6/$X17)&gt;0,$Z17-$AA17,0),-$AA17)</f>
        <v>0</v>
      </c>
      <c r="M18" s="603">
        <f>IF(INT(M$6/$X17)*$X$7&gt;M16*($X$7+$Z17)*$Y17,M16*($X$7+$Z17)-SUM($B18:L18),INT(M$6/$X17)*$X$7-M16*($X$7+$Z17)*($Y17-1)-SUM($B18:L18))+IF($Y17&gt;1,IF(INT(M$6/$X17)&gt;0,$Z17-$AA17,0),-$AA17)</f>
        <v>0</v>
      </c>
      <c r="N18" s="603">
        <f>IF(INT(N$6/$X17)*$X$7&gt;N16*($X$7+$Z17)*$Y17,N16*($X$7+$Z17)-SUM($B18:M18),INT(N$6/$X17)*$X$7-N16*($X$7+$Z17)*($Y17-1)-SUM($B18:M18))+IF($Y17&gt;1,IF(INT(N$6/$X17)&gt;0,$Z17-$AA17,0),-$AA17)</f>
        <v>0</v>
      </c>
      <c r="O18" s="603">
        <f>IF(INT(O$6/$X17)*$X$7&gt;O16*($X$7+$Z17)*$Y17,O16*($X$7+$Z17)-SUM($B18:N18),INT(O$6/$X17)*$X$7-O16*($X$7+$Z17)*($Y17-1)-SUM($B18:N18))+IF($Y17&gt;1,IF(INT(O$6/$X17)&gt;0,$Z17-$AA17,0),-$AA17)</f>
        <v>0</v>
      </c>
      <c r="P18" s="603">
        <f>IF(INT(P$6/$X17)*$X$7&gt;P16*($X$7+$Z17)*$Y17,P16*($X$7+$Z17)-SUM($B18:O18),INT(P$6/$X17)*$X$7-P16*($X$7+$Z17)*($Y17-1)-SUM($B18:O18))+IF($Y17&gt;1,IF(INT(P$6/$X17)&gt;0,$Z17-$AA17,0),-$AA17)</f>
        <v>0</v>
      </c>
      <c r="Q18" s="603">
        <f>IF(INT(Q$6/$X17)*$X$7&gt;Q16*($X$7+$Z17)*$Y17,Q16*($X$7+$Z17)-SUM($B18:P18),INT(Q$6/$X17)*$X$7-Q16*($X$7+$Z17)*($Y17-1)-SUM($B18:P18))+IF($Y17&gt;1,IF(INT(Q$6/$X17)&gt;0,$Z17-$AA17,0),-$AA17)</f>
        <v>0</v>
      </c>
      <c r="R18" s="603">
        <f>IF(INT(R$6/$X17)*$X$7&gt;R16*($X$7+$Z17)*$Y17,R16*($X$7+$Z17)-SUM($B18:Q18),INT(R$6/$X17)*$X$7-R16*($X$7+$Z17)*($Y17-1)-SUM($B18:Q18))+IF($Y17&gt;1,IF(INT(R$6/$X17)&gt;0,$Z17-$AA17,0),-$AA17)</f>
        <v>0</v>
      </c>
      <c r="S18" s="603">
        <f>IF(INT(S$6/$X17)*$X$7&gt;S16*($X$7+$Z17)*$Y17,S16*($X$7+$Z17)-SUM($B18:R18),INT(S$6/$X17)*$X$7-S16*($X$7+$Z17)*($Y17-1)-SUM($B18:R18))+IF($Y17&gt;1,IF(INT(S$6/$X17)&gt;0,$Z17-$AA17,0),-$AA17)</f>
        <v>0</v>
      </c>
      <c r="T18" s="603">
        <f>IF(INT(T$6/$X17)*$X$7&gt;T16*($X$7+$Z17)*$Y17,T16*($X$7+$Z17)-SUM($B18:S18),INT(T$6/$X17)*$X$7-T16*($X$7+$Z17)*($Y17-1)-SUM($B18:S18))+IF($Y17&gt;1,IF(INT(T$6/$X17)&gt;0,$Z17-$AA17,0),-$AA17)</f>
        <v>0</v>
      </c>
      <c r="U18" s="603">
        <f>IF(INT(U$6/$X17)*$X$7&gt;U16*($X$7+$Z17)*$Y17,U16*($X$7+$Z17)-SUM($B18:T18),INT(U$6/$X17)*$X$7-U16*($X$7+$Z17)*($Y17-1)-SUM($B18:T18))+IF($Y17&gt;1,IF(INT(U$6/$X17)&gt;0,$Z17-$AA17,0),-$AA17)</f>
        <v>0</v>
      </c>
      <c r="V18" s="603">
        <f>IF(INT(V$6/$X17)*$X$7&gt;V16*($X$7+$Z17)*$Y17,V16*($X$7+$Z17)-SUM($B18:U18),INT(V$6/$X17)*$X$7-V16*($X$7+$Z17)*($Y17-1)-SUM($B18:U18))+IF($Y17&gt;1,IF(INT(V$6/$X17)&gt;0,$Z17-$AA17,0),-$AA17)</f>
        <v>0</v>
      </c>
      <c r="W18" s="681"/>
    </row>
    <row r="19" spans="1:28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681" t="s">
        <v>278</v>
      </c>
      <c r="X19" t="s">
        <v>278</v>
      </c>
    </row>
    <row r="20" spans="1:28" hidden="1">
      <c r="A20" s="140" t="s">
        <v>934</v>
      </c>
      <c r="B20" s="603"/>
      <c r="C20" s="140">
        <f t="shared" ref="C20:V20" si="8">INT((INT(C$6/$X21)*$X$7+$X$7+$Z21-1)/($X$7+$Z21)/$Y21)</f>
        <v>0</v>
      </c>
      <c r="D20" s="140">
        <f t="shared" si="8"/>
        <v>0</v>
      </c>
      <c r="E20" s="140">
        <f t="shared" si="8"/>
        <v>0</v>
      </c>
      <c r="F20" s="140">
        <f t="shared" si="8"/>
        <v>0</v>
      </c>
      <c r="G20" s="140">
        <f t="shared" si="8"/>
        <v>0</v>
      </c>
      <c r="H20" s="140">
        <f t="shared" si="8"/>
        <v>0</v>
      </c>
      <c r="I20" s="140">
        <f t="shared" si="8"/>
        <v>0</v>
      </c>
      <c r="J20" s="140">
        <f t="shared" si="8"/>
        <v>0</v>
      </c>
      <c r="K20" s="140">
        <f t="shared" si="8"/>
        <v>0</v>
      </c>
      <c r="L20" s="140">
        <f t="shared" si="8"/>
        <v>0</v>
      </c>
      <c r="M20" s="140">
        <f t="shared" si="8"/>
        <v>0</v>
      </c>
      <c r="N20" s="140">
        <f t="shared" si="8"/>
        <v>0</v>
      </c>
      <c r="O20" s="140">
        <f t="shared" si="8"/>
        <v>0</v>
      </c>
      <c r="P20" s="140">
        <f t="shared" si="8"/>
        <v>0</v>
      </c>
      <c r="Q20" s="140">
        <f t="shared" si="8"/>
        <v>0</v>
      </c>
      <c r="R20" s="140">
        <f t="shared" si="8"/>
        <v>0</v>
      </c>
      <c r="S20" s="140">
        <f t="shared" si="8"/>
        <v>0</v>
      </c>
      <c r="T20" s="140">
        <f t="shared" si="8"/>
        <v>0</v>
      </c>
      <c r="U20" s="140">
        <f t="shared" si="8"/>
        <v>0</v>
      </c>
      <c r="V20" s="140">
        <f t="shared" si="8"/>
        <v>0</v>
      </c>
    </row>
    <row r="21" spans="1:28">
      <c r="A21" s="140" t="s">
        <v>935</v>
      </c>
      <c r="B21" s="603" t="s">
        <v>278</v>
      </c>
      <c r="C21" s="603">
        <f>IF($Y21=1,0,$X$7*(INT(C$6/$X21)-INT(B$6/$X21))-IF(SUM($B21:B21)&gt;0,C22,0))</f>
        <v>0</v>
      </c>
      <c r="D21" s="603">
        <f>IF($Y21=1,0,$X$7*(INT(D$6/$X21)-INT(C$6/$X21))-IF(SUM($B21:C21)&gt;0,D22,0))</f>
        <v>0</v>
      </c>
      <c r="E21" s="603">
        <f>IF($Y21=1,0,$X$7*(INT(E$6/$X21)-INT(D$6/$X21))-IF(SUM($B21:D21)&gt;0,E22,0))</f>
        <v>0</v>
      </c>
      <c r="F21" s="603">
        <f>IF($Y21=1,0,$X$7*(INT(F$6/$X21)-INT(E$6/$X21))-IF(SUM($B21:E21)&gt;0,F22,0))</f>
        <v>0</v>
      </c>
      <c r="G21" s="603">
        <f>IF($Y21=1,0,$X$7*(INT(G$6/$X21)-INT(F$6/$X21))-IF(SUM($B21:F21)&gt;0,G22,0))</f>
        <v>0</v>
      </c>
      <c r="H21" s="603">
        <f>IF($Y21=1,0,$X$7*(INT(H$6/$X21)-INT(G$6/$X21))-IF(SUM($B21:G21)&gt;0,H22,0))</f>
        <v>0</v>
      </c>
      <c r="I21" s="603">
        <f>IF($Y21=1,0,$X$7*(INT(I$6/$X21)-INT(H$6/$X21))-IF(SUM($B21:H21)&gt;0,I22,0))</f>
        <v>0</v>
      </c>
      <c r="J21" s="603">
        <f>IF($Y21=1,0,$X$7*(INT(J$6/$X21)-INT(I$6/$X21))-IF(SUM($B21:I21)&gt;0,J22,0))</f>
        <v>0</v>
      </c>
      <c r="K21" s="603">
        <f>IF($Y21=1,0,$X$7*(INT(K$6/$X21)-INT(J$6/$X21))-IF(SUM($B21:J21)&gt;0,K22,0))</f>
        <v>0</v>
      </c>
      <c r="L21" s="603">
        <f>IF($Y21=1,0,$X$7*(INT(L$6/$X21)-INT(K$6/$X21))-IF(SUM($B21:K21)&gt;0,L22,0))</f>
        <v>0</v>
      </c>
      <c r="M21" s="603">
        <f>IF($Y21=1,0,$X$7*(INT(M$6/$X21)-INT(L$6/$X21))-IF(SUM($B21:L21)&gt;0,M22,0))</f>
        <v>0</v>
      </c>
      <c r="N21" s="603">
        <f>IF($Y21=1,0,$X$7*(INT(N$6/$X21)-INT(M$6/$X21))-IF(SUM($B21:M21)&gt;0,N22,0))</f>
        <v>0</v>
      </c>
      <c r="O21" s="603">
        <f>IF($Y21=1,0,$X$7*(INT(O$6/$X21)-INT(N$6/$X21))-IF(SUM($B21:N21)&gt;0,O22,0))</f>
        <v>0</v>
      </c>
      <c r="P21" s="603">
        <f>IF($Y21=1,0,$X$7*(INT(P$6/$X21)-INT(O$6/$X21))-IF(SUM($B21:O21)&gt;0,P22,0))</f>
        <v>0</v>
      </c>
      <c r="Q21" s="603">
        <f>IF($Y21=1,0,$X$7*(INT(Q$6/$X21)-INT(P$6/$X21))-IF(SUM($B21:P21)&gt;0,Q22,0))</f>
        <v>0</v>
      </c>
      <c r="R21" s="603">
        <f>IF($Y21=1,0,$X$7*(INT(R$6/$X21)-INT(Q$6/$X21))-IF(SUM($B21:Q21)&gt;0,R22,0))</f>
        <v>0</v>
      </c>
      <c r="S21" s="603">
        <f>IF($Y21=1,0,$X$7*(INT(S$6/$X21)-INT(R$6/$X21))-IF(SUM($B21:R21)&gt;0,S22,0))</f>
        <v>0</v>
      </c>
      <c r="T21" s="603">
        <f>IF($Y21=1,0,$X$7*(INT(T$6/$X21)-INT(S$6/$X21))-IF(SUM($B21:S21)&gt;0,T22,0))</f>
        <v>0</v>
      </c>
      <c r="U21" s="603">
        <f>IF($Y21=1,0,$X$7*(INT(U$6/$X21)-INT(T$6/$X21))-IF(SUM($B21:T21)&gt;0,U22,0))</f>
        <v>0</v>
      </c>
      <c r="V21" s="603">
        <f>IF($Y21=1,0,$X$7*(INT(V$6/$X21)-INT(U$6/$X21))-IF(SUM($B21:U21)&gt;0,V22,0))</f>
        <v>0</v>
      </c>
      <c r="W21" s="678" t="str">
        <f>'GT schd cost(W501D5A)'!A15</f>
        <v>Transition Pieces</v>
      </c>
      <c r="X21" s="678">
        <f>IF($AD$6=1,'GTDB(W501D5A)'!B18,'GTDB(W501D5A)'!G18)</f>
        <v>8000</v>
      </c>
      <c r="Y21" s="678">
        <f>IF($AD$6=1,'GTDB(W501D5A)'!C18,'GTDB(W501D5A)'!H18)</f>
        <v>6</v>
      </c>
      <c r="Z21" s="679">
        <v>2</v>
      </c>
      <c r="AA21" s="833">
        <f>'Initial_Spares(W501D5A)'!$E$12</f>
        <v>0</v>
      </c>
      <c r="AB21" s="642">
        <f>'GT schd cost(W501D5A)'!X15+'GT schd cost(W501D5A)'!X41</f>
        <v>0</v>
      </c>
    </row>
    <row r="22" spans="1:28">
      <c r="A22" s="140" t="s">
        <v>936</v>
      </c>
      <c r="B22" s="603" t="s">
        <v>278</v>
      </c>
      <c r="C22" s="603">
        <f>IF(INT(C$6/$X21)*$X$7&gt;C20*($X$7+$Z21)*$Y21,C20*($X$7+$Z21)-SUM($B22:B22),INT(C$6/$X21)*$X$7-C20*($X$7+$Z21)*($Y21-1)-SUM($B22:B22))+IF($Y21&gt;1,IF(INT(C$6/$X21)&gt;0,$Z21-$AA21,0),-$AA21)</f>
        <v>0</v>
      </c>
      <c r="D22" s="603">
        <f>IF(INT(D$6/$X21)*$X$7&gt;D20*($X$7+$Z21)*$Y21,D20*($X$7+$Z21)-SUM($B22:C22),INT(D$6/$X21)*$X$7-D20*($X$7+$Z21)*($Y21-1)-SUM($B22:C22))+IF($Y21&gt;1,IF(INT(D$6/$X21)&gt;0,$Z21-$AA21,0),-$AA21)</f>
        <v>0</v>
      </c>
      <c r="E22" s="603">
        <f>IF(INT(E$6/$X21)*$X$7&gt;E20*($X$7+$Z21)*$Y21,E20*($X$7+$Z21)-SUM($B22:D22),INT(E$6/$X21)*$X$7-E20*($X$7+$Z21)*($Y21-1)-SUM($B22:D22))+IF($Y21&gt;1,IF(INT(E$6/$X21)&gt;0,$Z21-$AA21,0),-$AA21)</f>
        <v>0</v>
      </c>
      <c r="F22" s="603">
        <f>IF(INT(F$6/$X21)*$X$7&gt;F20*($X$7+$Z21)*$Y21,F20*($X$7+$Z21)-SUM($B22:E22),INT(F$6/$X21)*$X$7-F20*($X$7+$Z21)*($Y21-1)-SUM($B22:E22))+IF($Y21&gt;1,IF(INT(F$6/$X21)&gt;0,$Z21-$AA21,0),-$AA21)</f>
        <v>0</v>
      </c>
      <c r="G22" s="603">
        <f>IF(INT(G$6/$X21)*$X$7&gt;G20*($X$7+$Z21)*$Y21,G20*($X$7+$Z21)-SUM($B22:F22),INT(G$6/$X21)*$X$7-G20*($X$7+$Z21)*($Y21-1)-SUM($B22:F22))+IF($Y21&gt;1,IF(INT(G$6/$X21)&gt;0,$Z21-$AA21,0),-$AA21)</f>
        <v>0</v>
      </c>
      <c r="H22" s="603">
        <f>IF(INT(H$6/$X21)*$X$7&gt;H20*($X$7+$Z21)*$Y21,H20*($X$7+$Z21)-SUM($B22:G22),INT(H$6/$X21)*$X$7-H20*($X$7+$Z21)*($Y21-1)-SUM($B22:G22))+IF($Y21&gt;1,IF(INT(H$6/$X21)&gt;0,$Z21-$AA21,0),-$AA21)</f>
        <v>0</v>
      </c>
      <c r="I22" s="603">
        <f>IF(INT(I$6/$X21)*$X$7&gt;I20*($X$7+$Z21)*$Y21,I20*($X$7+$Z21)-SUM($B22:H22),INT(I$6/$X21)*$X$7-I20*($X$7+$Z21)*($Y21-1)-SUM($B22:H22))+IF($Y21&gt;1,IF(INT(I$6/$X21)&gt;0,$Z21-$AA21,0),-$AA21)</f>
        <v>0</v>
      </c>
      <c r="J22" s="603">
        <f>IF(INT(J$6/$X21)*$X$7&gt;J20*($X$7+$Z21)*$Y21,J20*($X$7+$Z21)-SUM($B22:I22),INT(J$6/$X21)*$X$7-J20*($X$7+$Z21)*($Y21-1)-SUM($B22:I22))+IF($Y21&gt;1,IF(INT(J$6/$X21)&gt;0,$Z21-$AA21,0),-$AA21)</f>
        <v>0</v>
      </c>
      <c r="K22" s="603">
        <f>IF(INT(K$6/$X21)*$X$7&gt;K20*($X$7+$Z21)*$Y21,K20*($X$7+$Z21)-SUM($B22:J22),INT(K$6/$X21)*$X$7-K20*($X$7+$Z21)*($Y21-1)-SUM($B22:J22))+IF($Y21&gt;1,IF(INT(K$6/$X21)&gt;0,$Z21-$AA21,0),-$AA21)</f>
        <v>0</v>
      </c>
      <c r="L22" s="603">
        <f>IF(INT(L$6/$X21)*$X$7&gt;L20*($X$7+$Z21)*$Y21,L20*($X$7+$Z21)-SUM($B22:K22),INT(L$6/$X21)*$X$7-L20*($X$7+$Z21)*($Y21-1)-SUM($B22:K22))+IF($Y21&gt;1,IF(INT(L$6/$X21)&gt;0,$Z21-$AA21,0),-$AA21)</f>
        <v>0</v>
      </c>
      <c r="M22" s="603">
        <f>IF(INT(M$6/$X21)*$X$7&gt;M20*($X$7+$Z21)*$Y21,M20*($X$7+$Z21)-SUM($B22:L22),INT(M$6/$X21)*$X$7-M20*($X$7+$Z21)*($Y21-1)-SUM($B22:L22))+IF($Y21&gt;1,IF(INT(M$6/$X21)&gt;0,$Z21-$AA21,0),-$AA21)</f>
        <v>0</v>
      </c>
      <c r="N22" s="603">
        <f>IF(INT(N$6/$X21)*$X$7&gt;N20*($X$7+$Z21)*$Y21,N20*($X$7+$Z21)-SUM($B22:M22),INT(N$6/$X21)*$X$7-N20*($X$7+$Z21)*($Y21-1)-SUM($B22:M22))+IF($Y21&gt;1,IF(INT(N$6/$X21)&gt;0,$Z21-$AA21,0),-$AA21)</f>
        <v>0</v>
      </c>
      <c r="O22" s="603">
        <f>IF(INT(O$6/$X21)*$X$7&gt;O20*($X$7+$Z21)*$Y21,O20*($X$7+$Z21)-SUM($B22:N22),INT(O$6/$X21)*$X$7-O20*($X$7+$Z21)*($Y21-1)-SUM($B22:N22))+IF($Y21&gt;1,IF(INT(O$6/$X21)&gt;0,$Z21-$AA21,0),-$AA21)</f>
        <v>0</v>
      </c>
      <c r="P22" s="603">
        <f>IF(INT(P$6/$X21)*$X$7&gt;P20*($X$7+$Z21)*$Y21,P20*($X$7+$Z21)-SUM($B22:O22),INT(P$6/$X21)*$X$7-P20*($X$7+$Z21)*($Y21-1)-SUM($B22:O22))+IF($Y21&gt;1,IF(INT(P$6/$X21)&gt;0,$Z21-$AA21,0),-$AA21)</f>
        <v>0</v>
      </c>
      <c r="Q22" s="603">
        <f>IF(INT(Q$6/$X21)*$X$7&gt;Q20*($X$7+$Z21)*$Y21,Q20*($X$7+$Z21)-SUM($B22:P22),INT(Q$6/$X21)*$X$7-Q20*($X$7+$Z21)*($Y21-1)-SUM($B22:P22))+IF($Y21&gt;1,IF(INT(Q$6/$X21)&gt;0,$Z21-$AA21,0),-$AA21)</f>
        <v>0</v>
      </c>
      <c r="R22" s="603">
        <f>IF(INT(R$6/$X21)*$X$7&gt;R20*($X$7+$Z21)*$Y21,R20*($X$7+$Z21)-SUM($B22:Q22),INT(R$6/$X21)*$X$7-R20*($X$7+$Z21)*($Y21-1)-SUM($B22:Q22))+IF($Y21&gt;1,IF(INT(R$6/$X21)&gt;0,$Z21-$AA21,0),-$AA21)</f>
        <v>0</v>
      </c>
      <c r="S22" s="603">
        <f>IF(INT(S$6/$X21)*$X$7&gt;S20*($X$7+$Z21)*$Y21,S20*($X$7+$Z21)-SUM($B22:R22),INT(S$6/$X21)*$X$7-S20*($X$7+$Z21)*($Y21-1)-SUM($B22:R22))+IF($Y21&gt;1,IF(INT(S$6/$X21)&gt;0,$Z21-$AA21,0),-$AA21)</f>
        <v>0</v>
      </c>
      <c r="T22" s="603">
        <f>IF(INT(T$6/$X21)*$X$7&gt;T20*($X$7+$Z21)*$Y21,T20*($X$7+$Z21)-SUM($B22:S22),INT(T$6/$X21)*$X$7-T20*($X$7+$Z21)*($Y21-1)-SUM($B22:S22))+IF($Y21&gt;1,IF(INT(T$6/$X21)&gt;0,$Z21-$AA21,0),-$AA21)</f>
        <v>0</v>
      </c>
      <c r="U22" s="603">
        <f>IF(INT(U$6/$X21)*$X$7&gt;U20*($X$7+$Z21)*$Y21,U20*($X$7+$Z21)-SUM($B22:T22),INT(U$6/$X21)*$X$7-U20*($X$7+$Z21)*($Y21-1)-SUM($B22:T22))+IF($Y21&gt;1,IF(INT(U$6/$X21)&gt;0,$Z21-$AA21,0),-$AA21)</f>
        <v>0</v>
      </c>
      <c r="V22" s="603">
        <f>IF(INT(V$6/$X21)*$X$7&gt;V20*($X$7+$Z21)*$Y21,V20*($X$7+$Z21)-SUM($B22:U22),INT(V$6/$X21)*$X$7-V20*($X$7+$Z21)*($Y21-1)-SUM($B22:U22))+IF($Y21&gt;1,IF(INT(V$6/$X21)&gt;0,$Z21-$AA21,0),-$AA21)</f>
        <v>0</v>
      </c>
      <c r="W22" s="681"/>
    </row>
    <row r="23" spans="1:28">
      <c r="W23" s="681"/>
    </row>
    <row r="24" spans="1:28" hidden="1">
      <c r="A24" s="140" t="s">
        <v>934</v>
      </c>
      <c r="B24" s="603"/>
      <c r="C24" s="140">
        <f t="shared" ref="C24:V24" si="9">INT((INT(C$6/$X25)*$X$7+$X$7+$Z25-1)/($X$7+$Z25)/$Y25)</f>
        <v>0</v>
      </c>
      <c r="D24" s="140">
        <f t="shared" si="9"/>
        <v>0</v>
      </c>
      <c r="E24" s="140">
        <f t="shared" si="9"/>
        <v>0</v>
      </c>
      <c r="F24" s="140">
        <f t="shared" si="9"/>
        <v>0</v>
      </c>
      <c r="G24" s="140">
        <f t="shared" si="9"/>
        <v>0</v>
      </c>
      <c r="H24" s="140">
        <f t="shared" si="9"/>
        <v>0</v>
      </c>
      <c r="I24" s="140">
        <f t="shared" si="9"/>
        <v>0</v>
      </c>
      <c r="J24" s="140">
        <f t="shared" si="9"/>
        <v>0</v>
      </c>
      <c r="K24" s="140">
        <f t="shared" si="9"/>
        <v>0</v>
      </c>
      <c r="L24" s="140">
        <f t="shared" si="9"/>
        <v>0</v>
      </c>
      <c r="M24" s="140">
        <f t="shared" si="9"/>
        <v>0</v>
      </c>
      <c r="N24" s="140">
        <f t="shared" si="9"/>
        <v>0</v>
      </c>
      <c r="O24" s="140">
        <f t="shared" si="9"/>
        <v>0</v>
      </c>
      <c r="P24" s="140">
        <f t="shared" si="9"/>
        <v>0</v>
      </c>
      <c r="Q24" s="140">
        <f t="shared" si="9"/>
        <v>0</v>
      </c>
      <c r="R24" s="140">
        <f t="shared" si="9"/>
        <v>0</v>
      </c>
      <c r="S24" s="140">
        <f t="shared" si="9"/>
        <v>0</v>
      </c>
      <c r="T24" s="140">
        <f t="shared" si="9"/>
        <v>0</v>
      </c>
      <c r="U24" s="140">
        <f t="shared" si="9"/>
        <v>0</v>
      </c>
      <c r="V24" s="140">
        <f t="shared" si="9"/>
        <v>0</v>
      </c>
    </row>
    <row r="25" spans="1:28">
      <c r="A25" s="140" t="s">
        <v>935</v>
      </c>
      <c r="B25" s="603" t="s">
        <v>278</v>
      </c>
      <c r="C25" s="603">
        <f>IF($Y25=1,0,$X$7*(INT(C$6/$X25)-INT(B$6/$X25))-IF(SUM($B25:B25)&gt;0,C26,0))</f>
        <v>0</v>
      </c>
      <c r="D25" s="603">
        <f>IF($Y25=1,0,$X$7*(INT(D$6/$X25)-INT(C$6/$X25))-IF(SUM($B25:C25)&gt;0,D26,0))</f>
        <v>0</v>
      </c>
      <c r="E25" s="603">
        <f>IF($Y25=1,0,$X$7*(INT(E$6/$X25)-INT(D$6/$X25))-IF(SUM($B25:D25)&gt;0,E26,0))</f>
        <v>0</v>
      </c>
      <c r="F25" s="603">
        <f>IF($Y25=1,0,$X$7*(INT(F$6/$X25)-INT(E$6/$X25))-IF(SUM($B25:E25)&gt;0,F26,0))</f>
        <v>0</v>
      </c>
      <c r="G25" s="603">
        <f>IF($Y25=1,0,$X$7*(INT(G$6/$X25)-INT(F$6/$X25))-IF(SUM($B25:F25)&gt;0,G26,0))</f>
        <v>0</v>
      </c>
      <c r="H25" s="603">
        <f>IF($Y25=1,0,$X$7*(INT(H$6/$X25)-INT(G$6/$X25))-IF(SUM($B25:G25)&gt;0,H26,0))</f>
        <v>0</v>
      </c>
      <c r="I25" s="603">
        <f>IF($Y25=1,0,$X$7*(INT(I$6/$X25)-INT(H$6/$X25))-IF(SUM($B25:H25)&gt;0,I26,0))</f>
        <v>0</v>
      </c>
      <c r="J25" s="603">
        <f>IF($Y25=1,0,$X$7*(INT(J$6/$X25)-INT(I$6/$X25))-IF(SUM($B25:I25)&gt;0,J26,0))</f>
        <v>0</v>
      </c>
      <c r="K25" s="603">
        <f>IF($Y25=1,0,$X$7*(INT(K$6/$X25)-INT(J$6/$X25))-IF(SUM($B25:J25)&gt;0,K26,0))</f>
        <v>0</v>
      </c>
      <c r="L25" s="603">
        <f>IF($Y25=1,0,$X$7*(INT(L$6/$X25)-INT(K$6/$X25))-IF(SUM($B25:K25)&gt;0,L26,0))</f>
        <v>0</v>
      </c>
      <c r="M25" s="603">
        <f>IF($Y25=1,0,$X$7*(INT(M$6/$X25)-INT(L$6/$X25))-IF(SUM($B25:L25)&gt;0,M26,0))</f>
        <v>0</v>
      </c>
      <c r="N25" s="603">
        <f>IF($Y25=1,0,$X$7*(INT(N$6/$X25)-INT(M$6/$X25))-IF(SUM($B25:M25)&gt;0,N26,0))</f>
        <v>0</v>
      </c>
      <c r="O25" s="603">
        <f>IF($Y25=1,0,$X$7*(INT(O$6/$X25)-INT(N$6/$X25))-IF(SUM($B25:N25)&gt;0,O26,0))</f>
        <v>0</v>
      </c>
      <c r="P25" s="603">
        <f>IF($Y25=1,0,$X$7*(INT(P$6/$X25)-INT(O$6/$X25))-IF(SUM($B25:O25)&gt;0,P26,0))</f>
        <v>0</v>
      </c>
      <c r="Q25" s="603">
        <f>IF($Y25=1,0,$X$7*(INT(Q$6/$X25)-INT(P$6/$X25))-IF(SUM($B25:P25)&gt;0,Q26,0))</f>
        <v>0</v>
      </c>
      <c r="R25" s="603">
        <f>IF($Y25=1,0,$X$7*(INT(R$6/$X25)-INT(Q$6/$X25))-IF(SUM($B25:Q25)&gt;0,R26,0))</f>
        <v>0</v>
      </c>
      <c r="S25" s="603">
        <f>IF($Y25=1,0,$X$7*(INT(S$6/$X25)-INT(R$6/$X25))-IF(SUM($B25:R25)&gt;0,S26,0))</f>
        <v>0</v>
      </c>
      <c r="T25" s="603">
        <f>IF($Y25=1,0,$X$7*(INT(T$6/$X25)-INT(S$6/$X25))-IF(SUM($B25:S25)&gt;0,T26,0))</f>
        <v>0</v>
      </c>
      <c r="U25" s="603">
        <f>IF($Y25=1,0,$X$7*(INT(U$6/$X25)-INT(T$6/$X25))-IF(SUM($B25:T25)&gt;0,U26,0))</f>
        <v>0</v>
      </c>
      <c r="V25" s="603">
        <f>IF($Y25=1,0,$X$7*(INT(V$6/$X25)-INT(U$6/$X25))-IF(SUM($B25:U25)&gt;0,V26,0))</f>
        <v>0</v>
      </c>
      <c r="W25" s="678" t="str">
        <f xml:space="preserve"> 'GT schd cost(W501D5A)'!A16</f>
        <v>Transition Seals</v>
      </c>
      <c r="X25" s="678">
        <f>IF($AD$6=1,'GTDB(W501D5A)'!B19,'GTDB(W501D5A)'!G19)</f>
        <v>8000</v>
      </c>
      <c r="Y25" s="678">
        <f>IF($AD$6=1,'GTDB(W501D5A)'!C19,'GTDB(W501D5A)'!H19)</f>
        <v>3</v>
      </c>
      <c r="Z25" s="679">
        <v>2</v>
      </c>
      <c r="AA25" s="834">
        <f>'Initial_Spares(W501D5A)'!$E$13</f>
        <v>0</v>
      </c>
      <c r="AB25" s="642">
        <f>'GT schd cost(W501D5A)'!X16+'GT schd cost(W501D5A)'!X42</f>
        <v>0</v>
      </c>
    </row>
    <row r="26" spans="1:28">
      <c r="A26" s="140" t="s">
        <v>936</v>
      </c>
      <c r="B26" s="603" t="s">
        <v>278</v>
      </c>
      <c r="C26" s="603">
        <f>IF(INT(C$6/$X25)*$X$7&gt;C24*($X$7+$Z25)*$Y25,C24*($X$7+$Z25)-SUM($B26:B26),INT(C$6/$X25)*$X$7-C24*($X$7+$Z25)*($Y25-1)-SUM($B26:B26))+IF($Y25&gt;1,IF(INT(C$6/$X25)&gt;0,$Z25-$AA25,0),-$AA25)</f>
        <v>0</v>
      </c>
      <c r="D26" s="603">
        <f>IF(INT(D$6/$X25)*$X$7&gt;D24*($X$7+$Z25)*$Y25,D24*($X$7+$Z25)-SUM($B26:C26),INT(D$6/$X25)*$X$7-D24*($X$7+$Z25)*($Y25-1)-SUM($B26:C26))+IF($Y25&gt;1,IF(INT(D$6/$X25)&gt;0,$Z25-$AA25,0),-$AA25)</f>
        <v>0</v>
      </c>
      <c r="E26" s="603">
        <f>IF(INT(E$6/$X25)*$X$7&gt;E24*($X$7+$Z25)*$Y25,E24*($X$7+$Z25)-SUM($B26:D26),INT(E$6/$X25)*$X$7-E24*($X$7+$Z25)*($Y25-1)-SUM($B26:D26))+IF($Y25&gt;1,IF(INT(E$6/$X25)&gt;0,$Z25-$AA25,0),-$AA25)</f>
        <v>0</v>
      </c>
      <c r="F26" s="603">
        <f>IF(INT(F$6/$X25)*$X$7&gt;F24*($X$7+$Z25)*$Y25,F24*($X$7+$Z25)-SUM($B26:E26),INT(F$6/$X25)*$X$7-F24*($X$7+$Z25)*($Y25-1)-SUM($B26:E26))+IF($Y25&gt;1,IF(INT(F$6/$X25)&gt;0,$Z25-$AA25,0),-$AA25)</f>
        <v>0</v>
      </c>
      <c r="G26" s="603">
        <f>IF(INT(G$6/$X25)*$X$7&gt;G24*($X$7+$Z25)*$Y25,G24*($X$7+$Z25)-SUM($B26:F26),INT(G$6/$X25)*$X$7-G24*($X$7+$Z25)*($Y25-1)-SUM($B26:F26))+IF($Y25&gt;1,IF(INT(G$6/$X25)&gt;0,$Z25-$AA25,0),-$AA25)</f>
        <v>0</v>
      </c>
      <c r="H26" s="603">
        <f>IF(INT(H$6/$X25)*$X$7&gt;H24*($X$7+$Z25)*$Y25,H24*($X$7+$Z25)-SUM($B26:G26),INT(H$6/$X25)*$X$7-H24*($X$7+$Z25)*($Y25-1)-SUM($B26:G26))+IF($Y25&gt;1,IF(INT(H$6/$X25)&gt;0,$Z25-$AA25,0),-$AA25)</f>
        <v>0</v>
      </c>
      <c r="I26" s="603">
        <f>IF(INT(I$6/$X25)*$X$7&gt;I24*($X$7+$Z25)*$Y25,I24*($X$7+$Z25)-SUM($B26:H26),INT(I$6/$X25)*$X$7-I24*($X$7+$Z25)*($Y25-1)-SUM($B26:H26))+IF($Y25&gt;1,IF(INT(I$6/$X25)&gt;0,$Z25-$AA25,0),-$AA25)</f>
        <v>0</v>
      </c>
      <c r="J26" s="603">
        <f>IF(INT(J$6/$X25)*$X$7&gt;J24*($X$7+$Z25)*$Y25,J24*($X$7+$Z25)-SUM($B26:I26),INT(J$6/$X25)*$X$7-J24*($X$7+$Z25)*($Y25-1)-SUM($B26:I26))+IF($Y25&gt;1,IF(INT(J$6/$X25)&gt;0,$Z25-$AA25,0),-$AA25)</f>
        <v>0</v>
      </c>
      <c r="K26" s="603">
        <f>IF(INT(K$6/$X25)*$X$7&gt;K24*($X$7+$Z25)*$Y25,K24*($X$7+$Z25)-SUM($B26:J26),INT(K$6/$X25)*$X$7-K24*($X$7+$Z25)*($Y25-1)-SUM($B26:J26))+IF($Y25&gt;1,IF(INT(K$6/$X25)&gt;0,$Z25-$AA25,0),-$AA25)</f>
        <v>0</v>
      </c>
      <c r="L26" s="603">
        <f>IF(INT(L$6/$X25)*$X$7&gt;L24*($X$7+$Z25)*$Y25,L24*($X$7+$Z25)-SUM($B26:K26),INT(L$6/$X25)*$X$7-L24*($X$7+$Z25)*($Y25-1)-SUM($B26:K26))+IF($Y25&gt;1,IF(INT(L$6/$X25)&gt;0,$Z25-$AA25,0),-$AA25)</f>
        <v>0</v>
      </c>
      <c r="M26" s="603">
        <f>IF(INT(M$6/$X25)*$X$7&gt;M24*($X$7+$Z25)*$Y25,M24*($X$7+$Z25)-SUM($B26:L26),INT(M$6/$X25)*$X$7-M24*($X$7+$Z25)*($Y25-1)-SUM($B26:L26))+IF($Y25&gt;1,IF(INT(M$6/$X25)&gt;0,$Z25-$AA25,0),-$AA25)</f>
        <v>0</v>
      </c>
      <c r="N26" s="603">
        <f>IF(INT(N$6/$X25)*$X$7&gt;N24*($X$7+$Z25)*$Y25,N24*($X$7+$Z25)-SUM($B26:M26),INT(N$6/$X25)*$X$7-N24*($X$7+$Z25)*($Y25-1)-SUM($B26:M26))+IF($Y25&gt;1,IF(INT(N$6/$X25)&gt;0,$Z25-$AA25,0),-$AA25)</f>
        <v>0</v>
      </c>
      <c r="O26" s="603">
        <f>IF(INT(O$6/$X25)*$X$7&gt;O24*($X$7+$Z25)*$Y25,O24*($X$7+$Z25)-SUM($B26:N26),INT(O$6/$X25)*$X$7-O24*($X$7+$Z25)*($Y25-1)-SUM($B26:N26))+IF($Y25&gt;1,IF(INT(O$6/$X25)&gt;0,$Z25-$AA25,0),-$AA25)</f>
        <v>0</v>
      </c>
      <c r="P26" s="603">
        <f>IF(INT(P$6/$X25)*$X$7&gt;P24*($X$7+$Z25)*$Y25,P24*($X$7+$Z25)-SUM($B26:O26),INT(P$6/$X25)*$X$7-P24*($X$7+$Z25)*($Y25-1)-SUM($B26:O26))+IF($Y25&gt;1,IF(INT(P$6/$X25)&gt;0,$Z25-$AA25,0),-$AA25)</f>
        <v>0</v>
      </c>
      <c r="Q26" s="603">
        <f>IF(INT(Q$6/$X25)*$X$7&gt;Q24*($X$7+$Z25)*$Y25,Q24*($X$7+$Z25)-SUM($B26:P26),INT(Q$6/$X25)*$X$7-Q24*($X$7+$Z25)*($Y25-1)-SUM($B26:P26))+IF($Y25&gt;1,IF(INT(Q$6/$X25)&gt;0,$Z25-$AA25,0),-$AA25)</f>
        <v>0</v>
      </c>
      <c r="R26" s="603">
        <f>IF(INT(R$6/$X25)*$X$7&gt;R24*($X$7+$Z25)*$Y25,R24*($X$7+$Z25)-SUM($B26:Q26),INT(R$6/$X25)*$X$7-R24*($X$7+$Z25)*($Y25-1)-SUM($B26:Q26))+IF($Y25&gt;1,IF(INT(R$6/$X25)&gt;0,$Z25-$AA25,0),-$AA25)</f>
        <v>0</v>
      </c>
      <c r="S26" s="603">
        <f>IF(INT(S$6/$X25)*$X$7&gt;S24*($X$7+$Z25)*$Y25,S24*($X$7+$Z25)-SUM($B26:R26),INT(S$6/$X25)*$X$7-S24*($X$7+$Z25)*($Y25-1)-SUM($B26:R26))+IF($Y25&gt;1,IF(INT(S$6/$X25)&gt;0,$Z25-$AA25,0),-$AA25)</f>
        <v>0</v>
      </c>
      <c r="T26" s="603">
        <f>IF(INT(T$6/$X25)*$X$7&gt;T24*($X$7+$Z25)*$Y25,T24*($X$7+$Z25)-SUM($B26:S26),INT(T$6/$X25)*$X$7-T24*($X$7+$Z25)*($Y25-1)-SUM($B26:S26))+IF($Y25&gt;1,IF(INT(T$6/$X25)&gt;0,$Z25-$AA25,0),-$AA25)</f>
        <v>0</v>
      </c>
      <c r="U26" s="603">
        <f>IF(INT(U$6/$X25)*$X$7&gt;U24*($X$7+$Z25)*$Y25,U24*($X$7+$Z25)-SUM($B26:T26),INT(U$6/$X25)*$X$7-U24*($X$7+$Z25)*($Y25-1)-SUM($B26:T26))+IF($Y25&gt;1,IF(INT(U$6/$X25)&gt;0,$Z25-$AA25,0),-$AA25)</f>
        <v>0</v>
      </c>
      <c r="V26" s="603">
        <f>IF(INT(V$6/$X25)*$X$7&gt;V24*($X$7+$Z25)*$Y25,V24*($X$7+$Z25)-SUM($B26:U26),INT(V$6/$X25)*$X$7-V24*($X$7+$Z25)*($Y25-1)-SUM($B26:U26))+IF($Y25&gt;1,IF(INT(V$6/$X25)&gt;0,$Z25-$AA25,0),-$AA25)</f>
        <v>0</v>
      </c>
      <c r="W26" s="681"/>
    </row>
    <row r="27" spans="1:28">
      <c r="W27" s="681"/>
    </row>
    <row r="28" spans="1:28" hidden="1">
      <c r="A28" s="140" t="s">
        <v>934</v>
      </c>
      <c r="B28" s="603"/>
      <c r="C28" s="140">
        <f t="shared" ref="C28:V28" si="10">INT((INT(C$6/$X29)*$X$7+$X$7+$Z29-1)/($X$7+$Z29)/$Y29)</f>
        <v>0</v>
      </c>
      <c r="D28" s="140">
        <f t="shared" si="10"/>
        <v>0</v>
      </c>
      <c r="E28" s="140">
        <f t="shared" si="10"/>
        <v>0</v>
      </c>
      <c r="F28" s="140">
        <f t="shared" si="10"/>
        <v>0</v>
      </c>
      <c r="G28" s="140">
        <f t="shared" si="10"/>
        <v>0</v>
      </c>
      <c r="H28" s="140">
        <f t="shared" si="10"/>
        <v>0</v>
      </c>
      <c r="I28" s="140">
        <f t="shared" si="10"/>
        <v>0</v>
      </c>
      <c r="J28" s="140">
        <f t="shared" si="10"/>
        <v>0</v>
      </c>
      <c r="K28" s="140">
        <f t="shared" si="10"/>
        <v>0</v>
      </c>
      <c r="L28" s="140">
        <f t="shared" si="10"/>
        <v>0</v>
      </c>
      <c r="M28" s="140">
        <f t="shared" si="10"/>
        <v>0</v>
      </c>
      <c r="N28" s="140">
        <f t="shared" si="10"/>
        <v>0</v>
      </c>
      <c r="O28" s="140">
        <f t="shared" si="10"/>
        <v>0</v>
      </c>
      <c r="P28" s="140">
        <f t="shared" si="10"/>
        <v>0</v>
      </c>
      <c r="Q28" s="140">
        <f t="shared" si="10"/>
        <v>0</v>
      </c>
      <c r="R28" s="140">
        <f t="shared" si="10"/>
        <v>0</v>
      </c>
      <c r="S28" s="140">
        <f t="shared" si="10"/>
        <v>0</v>
      </c>
      <c r="T28" s="140">
        <f t="shared" si="10"/>
        <v>0</v>
      </c>
      <c r="U28" s="140">
        <f t="shared" si="10"/>
        <v>0</v>
      </c>
      <c r="V28" s="140">
        <f t="shared" si="10"/>
        <v>0</v>
      </c>
    </row>
    <row r="29" spans="1:28">
      <c r="A29" s="140" t="s">
        <v>935</v>
      </c>
      <c r="B29" s="603" t="s">
        <v>278</v>
      </c>
      <c r="C29" s="603">
        <f>IF($Y29=1,0,$X$7*(INT(C$6/$X29)-INT(B$6/$X29))-IF(SUM($B29:B29)&gt;0,C30,0))</f>
        <v>0</v>
      </c>
      <c r="D29" s="603">
        <f>IF($Y29=1,0,$X$7*(INT(D$6/$X29)-INT(C$6/$X29))-IF(SUM($B29:C29)&gt;0,D30,0))</f>
        <v>0</v>
      </c>
      <c r="E29" s="603">
        <f>IF($Y29=1,0,$X$7*(INT(E$6/$X29)-INT(D$6/$X29))-IF(SUM($B29:D29)&gt;0,E30,0))</f>
        <v>0</v>
      </c>
      <c r="F29" s="603">
        <f>IF($Y29=1,0,$X$7*(INT(F$6/$X29)-INT(E$6/$X29))-IF(SUM($B29:E29)&gt;0,F30,0))</f>
        <v>0</v>
      </c>
      <c r="G29" s="603">
        <f>IF($Y29=1,0,$X$7*(INT(G$6/$X29)-INT(F$6/$X29))-IF(SUM($B29:F29)&gt;0,G30,0))</f>
        <v>0</v>
      </c>
      <c r="H29" s="603">
        <f>IF($Y29=1,0,$X$7*(INT(H$6/$X29)-INT(G$6/$X29))-IF(SUM($B29:G29)&gt;0,H30,0))</f>
        <v>0</v>
      </c>
      <c r="I29" s="603">
        <f>IF($Y29=1,0,$X$7*(INT(I$6/$X29)-INT(H$6/$X29))-IF(SUM($B29:H29)&gt;0,I30,0))</f>
        <v>0</v>
      </c>
      <c r="J29" s="603">
        <f>IF($Y29=1,0,$X$7*(INT(J$6/$X29)-INT(I$6/$X29))-IF(SUM($B29:I29)&gt;0,J30,0))</f>
        <v>0</v>
      </c>
      <c r="K29" s="603">
        <f>IF($Y29=1,0,$X$7*(INT(K$6/$X29)-INT(J$6/$X29))-IF(SUM($B29:J29)&gt;0,K30,0))</f>
        <v>0</v>
      </c>
      <c r="L29" s="603">
        <f>IF($Y29=1,0,$X$7*(INT(L$6/$X29)-INT(K$6/$X29))-IF(SUM($B29:K29)&gt;0,L30,0))</f>
        <v>0</v>
      </c>
      <c r="M29" s="603">
        <f>IF($Y29=1,0,$X$7*(INT(M$6/$X29)-INT(L$6/$X29))-IF(SUM($B29:L29)&gt;0,M30,0))</f>
        <v>0</v>
      </c>
      <c r="N29" s="603">
        <f>IF($Y29=1,0,$X$7*(INT(N$6/$X29)-INT(M$6/$X29))-IF(SUM($B29:M29)&gt;0,N30,0))</f>
        <v>0</v>
      </c>
      <c r="O29" s="603">
        <f>IF($Y29=1,0,$X$7*(INT(O$6/$X29)-INT(N$6/$X29))-IF(SUM($B29:N29)&gt;0,O30,0))</f>
        <v>0</v>
      </c>
      <c r="P29" s="603">
        <f>IF($Y29=1,0,$X$7*(INT(P$6/$X29)-INT(O$6/$X29))-IF(SUM($B29:O29)&gt;0,P30,0))</f>
        <v>0</v>
      </c>
      <c r="Q29" s="603">
        <f>IF($Y29=1,0,$X$7*(INT(Q$6/$X29)-INT(P$6/$X29))-IF(SUM($B29:P29)&gt;0,Q30,0))</f>
        <v>0</v>
      </c>
      <c r="R29" s="603">
        <f>IF($Y29=1,0,$X$7*(INT(R$6/$X29)-INT(Q$6/$X29))-IF(SUM($B29:Q29)&gt;0,R30,0))</f>
        <v>0</v>
      </c>
      <c r="S29" s="603">
        <f>IF($Y29=1,0,$X$7*(INT(S$6/$X29)-INT(R$6/$X29))-IF(SUM($B29:R29)&gt;0,S30,0))</f>
        <v>0</v>
      </c>
      <c r="T29" s="603">
        <f>IF($Y29=1,0,$X$7*(INT(T$6/$X29)-INT(S$6/$X29))-IF(SUM($B29:S29)&gt;0,T30,0))</f>
        <v>0</v>
      </c>
      <c r="U29" s="603">
        <f>IF($Y29=1,0,$X$7*(INT(U$6/$X29)-INT(T$6/$X29))-IF(SUM($B29:T29)&gt;0,U30,0))</f>
        <v>0</v>
      </c>
      <c r="V29" s="603">
        <f>IF($Y29=1,0,$X$7*(INT(V$6/$X29)-INT(U$6/$X29))-IF(SUM($B29:U29)&gt;0,V30,0))</f>
        <v>0</v>
      </c>
      <c r="W29" s="678" t="str">
        <f xml:space="preserve">  'GT schd cost(W501D5A)'!A17</f>
        <v>Fuel Nozzles</v>
      </c>
      <c r="X29" s="678">
        <f>IF($AD$6=1,'GTDB(W501D5A)'!B20,'GTDB(W501D5A)'!G20)</f>
        <v>8000</v>
      </c>
      <c r="Y29" s="678">
        <f>IF($AD$6=1,'GTDB(W501D5A)'!C20,'GTDB(W501D5A)'!H20)</f>
        <v>8</v>
      </c>
      <c r="Z29" s="679">
        <v>1</v>
      </c>
      <c r="AA29" s="834">
        <f>'Initial_Spares(W501D5A)'!$E$14</f>
        <v>0</v>
      </c>
      <c r="AB29" s="642">
        <f>'GT schd cost(W501D5A)'!X17+'GT schd cost(W501D5A)'!X43</f>
        <v>0</v>
      </c>
    </row>
    <row r="30" spans="1:28">
      <c r="A30" s="140" t="s">
        <v>936</v>
      </c>
      <c r="B30" s="603" t="s">
        <v>278</v>
      </c>
      <c r="C30" s="603">
        <f>IF(INT(C$6/$X29)*$X$7&gt;C28*($X$7+$Z29)*$Y29,C28*($X$7+$Z29)-SUM($B30:B30),INT(C$6/$X29)*$X$7-C28*($X$7+$Z29)*($Y29-1)-SUM($B30:B30))+IF($Y29&gt;1,IF(INT(C$6/$X29)&gt;0,$Z29-$AA29,0),-$AA29)</f>
        <v>0</v>
      </c>
      <c r="D30" s="603">
        <f>IF(INT(D$6/$X29)*$X$7&gt;D28*($X$7+$Z29)*$Y29,D28*($X$7+$Z29)-SUM($B30:C30),INT(D$6/$X29)*$X$7-D28*($X$7+$Z29)*($Y29-1)-SUM($B30:C30))+IF($Y29&gt;1,IF(INT(D$6/$X29)&gt;0,$Z29-$AA29,0),-$AA29)</f>
        <v>0</v>
      </c>
      <c r="E30" s="603">
        <f>IF(INT(E$6/$X29)*$X$7&gt;E28*($X$7+$Z29)*$Y29,E28*($X$7+$Z29)-SUM($B30:D30),INT(E$6/$X29)*$X$7-E28*($X$7+$Z29)*($Y29-1)-SUM($B30:D30))+IF($Y29&gt;1,IF(INT(E$6/$X29)&gt;0,$Z29-$AA29,0),-$AA29)</f>
        <v>0</v>
      </c>
      <c r="F30" s="603">
        <f>IF(INT(F$6/$X29)*$X$7&gt;F28*($X$7+$Z29)*$Y29,F28*($X$7+$Z29)-SUM($B30:E30),INT(F$6/$X29)*$X$7-F28*($X$7+$Z29)*($Y29-1)-SUM($B30:E30))+IF($Y29&gt;1,IF(INT(F$6/$X29)&gt;0,$Z29-$AA29,0),-$AA29)</f>
        <v>0</v>
      </c>
      <c r="G30" s="603">
        <f>IF(INT(G$6/$X29)*$X$7&gt;G28*($X$7+$Z29)*$Y29,G28*($X$7+$Z29)-SUM($B30:F30),INT(G$6/$X29)*$X$7-G28*($X$7+$Z29)*($Y29-1)-SUM($B30:F30))+IF($Y29&gt;1,IF(INT(G$6/$X29)&gt;0,$Z29-$AA29,0),-$AA29)</f>
        <v>0</v>
      </c>
      <c r="H30" s="603">
        <f>IF(INT(H$6/$X29)*$X$7&gt;H28*($X$7+$Z29)*$Y29,H28*($X$7+$Z29)-SUM($B30:G30),INT(H$6/$X29)*$X$7-H28*($X$7+$Z29)*($Y29-1)-SUM($B30:G30))+IF($Y29&gt;1,IF(INT(H$6/$X29)&gt;0,$Z29-$AA29,0),-$AA29)</f>
        <v>0</v>
      </c>
      <c r="I30" s="603">
        <f>IF(INT(I$6/$X29)*$X$7&gt;I28*($X$7+$Z29)*$Y29,I28*($X$7+$Z29)-SUM($B30:H30),INT(I$6/$X29)*$X$7-I28*($X$7+$Z29)*($Y29-1)-SUM($B30:H30))+IF($Y29&gt;1,IF(INT(I$6/$X29)&gt;0,$Z29-$AA29,0),-$AA29)</f>
        <v>0</v>
      </c>
      <c r="J30" s="603">
        <f>IF(INT(J$6/$X29)*$X$7&gt;J28*($X$7+$Z29)*$Y29,J28*($X$7+$Z29)-SUM($B30:I30),INT(J$6/$X29)*$X$7-J28*($X$7+$Z29)*($Y29-1)-SUM($B30:I30))+IF($Y29&gt;1,IF(INT(J$6/$X29)&gt;0,$Z29-$AA29,0),-$AA29)</f>
        <v>0</v>
      </c>
      <c r="K30" s="603">
        <f>IF(INT(K$6/$X29)*$X$7&gt;K28*($X$7+$Z29)*$Y29,K28*($X$7+$Z29)-SUM($B30:J30),INT(K$6/$X29)*$X$7-K28*($X$7+$Z29)*($Y29-1)-SUM($B30:J30))+IF($Y29&gt;1,IF(INT(K$6/$X29)&gt;0,$Z29-$AA29,0),-$AA29)</f>
        <v>0</v>
      </c>
      <c r="L30" s="603">
        <f>IF(INT(L$6/$X29)*$X$7&gt;L28*($X$7+$Z29)*$Y29,L28*($X$7+$Z29)-SUM($B30:K30),INT(L$6/$X29)*$X$7-L28*($X$7+$Z29)*($Y29-1)-SUM($B30:K30))+IF($Y29&gt;1,IF(INT(L$6/$X29)&gt;0,$Z29-$AA29,0),-$AA29)</f>
        <v>0</v>
      </c>
      <c r="M30" s="603">
        <f>IF(INT(M$6/$X29)*$X$7&gt;M28*($X$7+$Z29)*$Y29,M28*($X$7+$Z29)-SUM($B30:L30),INT(M$6/$X29)*$X$7-M28*($X$7+$Z29)*($Y29-1)-SUM($B30:L30))+IF($Y29&gt;1,IF(INT(M$6/$X29)&gt;0,$Z29-$AA29,0),-$AA29)</f>
        <v>0</v>
      </c>
      <c r="N30" s="603">
        <f>IF(INT(N$6/$X29)*$X$7&gt;N28*($X$7+$Z29)*$Y29,N28*($X$7+$Z29)-SUM($B30:M30),INT(N$6/$X29)*$X$7-N28*($X$7+$Z29)*($Y29-1)-SUM($B30:M30))+IF($Y29&gt;1,IF(INT(N$6/$X29)&gt;0,$Z29-$AA29,0),-$AA29)</f>
        <v>0</v>
      </c>
      <c r="O30" s="603">
        <f>IF(INT(O$6/$X29)*$X$7&gt;O28*($X$7+$Z29)*$Y29,O28*($X$7+$Z29)-SUM($B30:N30),INT(O$6/$X29)*$X$7-O28*($X$7+$Z29)*($Y29-1)-SUM($B30:N30))+IF($Y29&gt;1,IF(INT(O$6/$X29)&gt;0,$Z29-$AA29,0),-$AA29)</f>
        <v>0</v>
      </c>
      <c r="P30" s="603">
        <f>IF(INT(P$6/$X29)*$X$7&gt;P28*($X$7+$Z29)*$Y29,P28*($X$7+$Z29)-SUM($B30:O30),INT(P$6/$X29)*$X$7-P28*($X$7+$Z29)*($Y29-1)-SUM($B30:O30))+IF($Y29&gt;1,IF(INT(P$6/$X29)&gt;0,$Z29-$AA29,0),-$AA29)</f>
        <v>0</v>
      </c>
      <c r="Q30" s="603">
        <f>IF(INT(Q$6/$X29)*$X$7&gt;Q28*($X$7+$Z29)*$Y29,Q28*($X$7+$Z29)-SUM($B30:P30),INT(Q$6/$X29)*$X$7-Q28*($X$7+$Z29)*($Y29-1)-SUM($B30:P30))+IF($Y29&gt;1,IF(INT(Q$6/$X29)&gt;0,$Z29-$AA29,0),-$AA29)</f>
        <v>0</v>
      </c>
      <c r="R30" s="603">
        <f>IF(INT(R$6/$X29)*$X$7&gt;R28*($X$7+$Z29)*$Y29,R28*($X$7+$Z29)-SUM($B30:Q30),INT(R$6/$X29)*$X$7-R28*($X$7+$Z29)*($Y29-1)-SUM($B30:Q30))+IF($Y29&gt;1,IF(INT(R$6/$X29)&gt;0,$Z29-$AA29,0),-$AA29)</f>
        <v>0</v>
      </c>
      <c r="S30" s="603">
        <f>IF(INT(S$6/$X29)*$X$7&gt;S28*($X$7+$Z29)*$Y29,S28*($X$7+$Z29)-SUM($B30:R30),INT(S$6/$X29)*$X$7-S28*($X$7+$Z29)*($Y29-1)-SUM($B30:R30))+IF($Y29&gt;1,IF(INT(S$6/$X29)&gt;0,$Z29-$AA29,0),-$AA29)</f>
        <v>0</v>
      </c>
      <c r="T30" s="603">
        <f>IF(INT(T$6/$X29)*$X$7&gt;T28*($X$7+$Z29)*$Y29,T28*($X$7+$Z29)-SUM($B30:S30),INT(T$6/$X29)*$X$7-T28*($X$7+$Z29)*($Y29-1)-SUM($B30:S30))+IF($Y29&gt;1,IF(INT(T$6/$X29)&gt;0,$Z29-$AA29,0),-$AA29)</f>
        <v>0</v>
      </c>
      <c r="U30" s="603">
        <f>IF(INT(U$6/$X29)*$X$7&gt;U28*($X$7+$Z29)*$Y29,U28*($X$7+$Z29)-SUM($B30:T30),INT(U$6/$X29)*$X$7-U28*($X$7+$Z29)*($Y29-1)-SUM($B30:T30))+IF($Y29&gt;1,IF(INT(U$6/$X29)&gt;0,$Z29-$AA29,0),-$AA29)</f>
        <v>0</v>
      </c>
      <c r="V30" s="603">
        <f>IF(INT(V$6/$X29)*$X$7&gt;V28*($X$7+$Z29)*$Y29,V28*($X$7+$Z29)-SUM($B30:U30),INT(V$6/$X29)*$X$7-V28*($X$7+$Z29)*($Y29-1)-SUM($B30:U30))+IF($Y29&gt;1,IF(INT(V$6/$X29)&gt;0,$Z29-$AA29,0),-$AA29)</f>
        <v>0</v>
      </c>
      <c r="W30" s="681"/>
    </row>
    <row r="31" spans="1:28">
      <c r="W31" s="670"/>
    </row>
    <row r="32" spans="1:28" ht="12.75" hidden="1" customHeight="1">
      <c r="A32" s="140" t="s">
        <v>934</v>
      </c>
      <c r="B32" s="603"/>
      <c r="C32" s="140">
        <f t="shared" ref="C32:V32" si="11">INT((INT(C$6/$X33)*$X$7+$X$7+$Z33-1)/($X$7+$Z33)/$Y33)</f>
        <v>0</v>
      </c>
      <c r="D32" s="140">
        <f t="shared" si="11"/>
        <v>0</v>
      </c>
      <c r="E32" s="140">
        <f t="shared" si="11"/>
        <v>0</v>
      </c>
      <c r="F32" s="140">
        <f t="shared" si="11"/>
        <v>0</v>
      </c>
      <c r="G32" s="140">
        <f t="shared" si="11"/>
        <v>0</v>
      </c>
      <c r="H32" s="140">
        <f t="shared" si="11"/>
        <v>0</v>
      </c>
      <c r="I32" s="140">
        <f t="shared" si="11"/>
        <v>0</v>
      </c>
      <c r="J32" s="140">
        <f t="shared" si="11"/>
        <v>0</v>
      </c>
      <c r="K32" s="140">
        <f t="shared" si="11"/>
        <v>0</v>
      </c>
      <c r="L32" s="140">
        <f t="shared" si="11"/>
        <v>0</v>
      </c>
      <c r="M32" s="140">
        <f t="shared" si="11"/>
        <v>0</v>
      </c>
      <c r="N32" s="140">
        <f t="shared" si="11"/>
        <v>0</v>
      </c>
      <c r="O32" s="140">
        <f t="shared" si="11"/>
        <v>0</v>
      </c>
      <c r="P32" s="140">
        <f t="shared" si="11"/>
        <v>0</v>
      </c>
      <c r="Q32" s="140">
        <f t="shared" si="11"/>
        <v>0</v>
      </c>
      <c r="R32" s="140">
        <f t="shared" si="11"/>
        <v>0</v>
      </c>
      <c r="S32" s="140">
        <f t="shared" si="11"/>
        <v>0</v>
      </c>
      <c r="T32" s="140">
        <f t="shared" si="11"/>
        <v>0</v>
      </c>
      <c r="U32" s="140">
        <f t="shared" si="11"/>
        <v>0</v>
      </c>
      <c r="V32" s="140">
        <f t="shared" si="11"/>
        <v>0</v>
      </c>
    </row>
    <row r="33" spans="1:28" s="102" customFormat="1" ht="13.5" customHeight="1">
      <c r="A33" s="140" t="s">
        <v>935</v>
      </c>
      <c r="B33" s="603" t="s">
        <v>278</v>
      </c>
      <c r="C33" s="603">
        <f>IF($Y33=1,0,$X$7*(INT(C$6/$X33)-INT(B$6/$X33))-IF(SUM($B33:B33)&gt;0,C34,0))</f>
        <v>0</v>
      </c>
      <c r="D33" s="603">
        <f>IF($Y33=1,0,$X$7*(INT(D$6/$X33)-INT(C$6/$X33))-IF(SUM($B33:C33)&gt;0,D34,0))</f>
        <v>0</v>
      </c>
      <c r="E33" s="603">
        <f>IF($Y33=1,0,$X$7*(INT(E$6/$X33)-INT(D$6/$X33))-IF(SUM($B33:D33)&gt;0,E34,0))</f>
        <v>0</v>
      </c>
      <c r="F33" s="603">
        <f>IF($Y33=1,0,$X$7*(INT(F$6/$X33)-INT(E$6/$X33))-IF(SUM($B33:E33)&gt;0,F34,0))</f>
        <v>0</v>
      </c>
      <c r="G33" s="603">
        <f>IF($Y33=1,0,$X$7*(INT(G$6/$X33)-INT(F$6/$X33))-IF(SUM($B33:F33)&gt;0,G34,0))</f>
        <v>0</v>
      </c>
      <c r="H33" s="603">
        <f>IF($Y33=1,0,$X$7*(INT(H$6/$X33)-INT(G$6/$X33))-IF(SUM($B33:G33)&gt;0,H34,0))</f>
        <v>0</v>
      </c>
      <c r="I33" s="603">
        <f>IF($Y33=1,0,$X$7*(INT(I$6/$X33)-INT(H$6/$X33))-IF(SUM($B33:H33)&gt;0,I34,0))</f>
        <v>0</v>
      </c>
      <c r="J33" s="603">
        <f>IF($Y33=1,0,$X$7*(INT(J$6/$X33)-INT(I$6/$X33))-IF(SUM($B33:I33)&gt;0,J34,0))</f>
        <v>0</v>
      </c>
      <c r="K33" s="603">
        <f>IF($Y33=1,0,$X$7*(INT(K$6/$X33)-INT(J$6/$X33))-IF(SUM($B33:J33)&gt;0,K34,0))</f>
        <v>0</v>
      </c>
      <c r="L33" s="603">
        <f>IF($Y33=1,0,$X$7*(INT(L$6/$X33)-INT(K$6/$X33))-IF(SUM($B33:K33)&gt;0,L34,0))</f>
        <v>0</v>
      </c>
      <c r="M33" s="603">
        <f>IF($Y33=1,0,$X$7*(INT(M$6/$X33)-INT(L$6/$X33))-IF(SUM($B33:L33)&gt;0,M34,0))</f>
        <v>0</v>
      </c>
      <c r="N33" s="603">
        <f>IF($Y33=1,0,$X$7*(INT(N$6/$X33)-INT(M$6/$X33))-IF(SUM($B33:M33)&gt;0,N34,0))</f>
        <v>0</v>
      </c>
      <c r="O33" s="603">
        <f>IF($Y33=1,0,$X$7*(INT(O$6/$X33)-INT(N$6/$X33))-IF(SUM($B33:N33)&gt;0,O34,0))</f>
        <v>0</v>
      </c>
      <c r="P33" s="603">
        <f>IF($Y33=1,0,$X$7*(INT(P$6/$X33)-INT(O$6/$X33))-IF(SUM($B33:O33)&gt;0,P34,0))</f>
        <v>0</v>
      </c>
      <c r="Q33" s="603">
        <f>IF($Y33=1,0,$X$7*(INT(Q$6/$X33)-INT(P$6/$X33))-IF(SUM($B33:P33)&gt;0,Q34,0))</f>
        <v>0</v>
      </c>
      <c r="R33" s="603">
        <f>IF($Y33=1,0,$X$7*(INT(R$6/$X33)-INT(Q$6/$X33))-IF(SUM($B33:Q33)&gt;0,R34,0))</f>
        <v>0</v>
      </c>
      <c r="S33" s="603">
        <f>IF($Y33=1,0,$X$7*(INT(S$6/$X33)-INT(R$6/$X33))-IF(SUM($B33:R33)&gt;0,S34,0))</f>
        <v>0</v>
      </c>
      <c r="T33" s="603">
        <f>IF($Y33=1,0,$X$7*(INT(T$6/$X33)-INT(S$6/$X33))-IF(SUM($B33:S33)&gt;0,T34,0))</f>
        <v>0</v>
      </c>
      <c r="U33" s="603">
        <f>IF($Y33=1,0,$X$7*(INT(U$6/$X33)-INT(T$6/$X33))-IF(SUM($B33:T33)&gt;0,U34,0))</f>
        <v>0</v>
      </c>
      <c r="V33" s="603">
        <f>IF($Y33=1,0,$X$7*(INT(V$6/$X33)-INT(U$6/$X33))-IF(SUM($B33:U33)&gt;0,V34,0))</f>
        <v>0</v>
      </c>
      <c r="W33" s="678" t="str">
        <f xml:space="preserve"> 'GT schd cost(W501D5A)'!A18</f>
        <v>Clamshells</v>
      </c>
      <c r="X33" s="678">
        <f>IF($AD$6=1,'GTDB(W501D5A)'!B21,'GTDB(W501D5A)'!G21)</f>
        <v>8000</v>
      </c>
      <c r="Y33" s="678">
        <f>IF($AD$6=1,'GTDB(W501D5A)'!C21,'GTDB(W501D5A)'!H21)</f>
        <v>8</v>
      </c>
      <c r="Z33" s="679">
        <v>1</v>
      </c>
      <c r="AA33" s="834">
        <f>'Initial_Spares(W501D5A)'!$E$15</f>
        <v>0</v>
      </c>
      <c r="AB33" s="642">
        <f>'GT schd cost(W501D5A)'!X18+'GT schd cost(W501D5A)'!X44</f>
        <v>0</v>
      </c>
    </row>
    <row r="34" spans="1:28" s="102" customFormat="1">
      <c r="A34" s="140" t="s">
        <v>936</v>
      </c>
      <c r="B34" s="603" t="s">
        <v>278</v>
      </c>
      <c r="C34" s="603">
        <f>IF(INT(C$6/$X33)*$X$7&gt;C32*($X$7+$Z33)*$Y33,C32*($X$7+$Z33)-SUM($B34:B34),INT(C$6/$X33)*$X$7-C32*($X$7+$Z33)*($Y33-1)-SUM($B34:B34))+IF($Y33&gt;1,IF(INT(C$6/$X33)&gt;0,$Z33-$AA33,0),-$AA33)</f>
        <v>0</v>
      </c>
      <c r="D34" s="603">
        <f>IF(INT(D$6/$X33)*$X$7&gt;D32*($X$7+$Z33)*$Y33,D32*($X$7+$Z33)-SUM($B34:C34),INT(D$6/$X33)*$X$7-D32*($X$7+$Z33)*($Y33-1)-SUM($B34:C34))+IF($Y33&gt;1,IF(INT(D$6/$X33)&gt;0,$Z33-$AA33,0),-$AA33)</f>
        <v>0</v>
      </c>
      <c r="E34" s="603">
        <f>IF(INT(E$6/$X33)*$X$7&gt;E32*($X$7+$Z33)*$Y33,E32*($X$7+$Z33)-SUM($B34:D34),INT(E$6/$X33)*$X$7-E32*($X$7+$Z33)*($Y33-1)-SUM($B34:D34))+IF($Y33&gt;1,IF(INT(E$6/$X33)&gt;0,$Z33-$AA33,0),-$AA33)</f>
        <v>0</v>
      </c>
      <c r="F34" s="603">
        <f>IF(INT(F$6/$X33)*$X$7&gt;F32*($X$7+$Z33)*$Y33,F32*($X$7+$Z33)-SUM($B34:E34),INT(F$6/$X33)*$X$7-F32*($X$7+$Z33)*($Y33-1)-SUM($B34:E34))+IF($Y33&gt;1,IF(INT(F$6/$X33)&gt;0,$Z33-$AA33,0),-$AA33)</f>
        <v>0</v>
      </c>
      <c r="G34" s="603">
        <f>IF(INT(G$6/$X33)*$X$7&gt;G32*($X$7+$Z33)*$Y33,G32*($X$7+$Z33)-SUM($B34:F34),INT(G$6/$X33)*$X$7-G32*($X$7+$Z33)*($Y33-1)-SUM($B34:F34))+IF($Y33&gt;1,IF(INT(G$6/$X33)&gt;0,$Z33-$AA33,0),-$AA33)</f>
        <v>0</v>
      </c>
      <c r="H34" s="603">
        <f>IF(INT(H$6/$X33)*$X$7&gt;H32*($X$7+$Z33)*$Y33,H32*($X$7+$Z33)-SUM($B34:G34),INT(H$6/$X33)*$X$7-H32*($X$7+$Z33)*($Y33-1)-SUM($B34:G34))+IF($Y33&gt;1,IF(INT(H$6/$X33)&gt;0,$Z33-$AA33,0),-$AA33)</f>
        <v>0</v>
      </c>
      <c r="I34" s="603">
        <f>IF(INT(I$6/$X33)*$X$7&gt;I32*($X$7+$Z33)*$Y33,I32*($X$7+$Z33)-SUM($B34:H34),INT(I$6/$X33)*$X$7-I32*($X$7+$Z33)*($Y33-1)-SUM($B34:H34))+IF($Y33&gt;1,IF(INT(I$6/$X33)&gt;0,$Z33-$AA33,0),-$AA33)</f>
        <v>0</v>
      </c>
      <c r="J34" s="603">
        <f>IF(INT(J$6/$X33)*$X$7&gt;J32*($X$7+$Z33)*$Y33,J32*($X$7+$Z33)-SUM($B34:I34),INT(J$6/$X33)*$X$7-J32*($X$7+$Z33)*($Y33-1)-SUM($B34:I34))+IF($Y33&gt;1,IF(INT(J$6/$X33)&gt;0,$Z33-$AA33,0),-$AA33)</f>
        <v>0</v>
      </c>
      <c r="K34" s="603">
        <f>IF(INT(K$6/$X33)*$X$7&gt;K32*($X$7+$Z33)*$Y33,K32*($X$7+$Z33)-SUM($B34:J34),INT(K$6/$X33)*$X$7-K32*($X$7+$Z33)*($Y33-1)-SUM($B34:J34))+IF($Y33&gt;1,IF(INT(K$6/$X33)&gt;0,$Z33-$AA33,0),-$AA33)</f>
        <v>0</v>
      </c>
      <c r="L34" s="603">
        <f>IF(INT(L$6/$X33)*$X$7&gt;L32*($X$7+$Z33)*$Y33,L32*($X$7+$Z33)-SUM($B34:K34),INT(L$6/$X33)*$X$7-L32*($X$7+$Z33)*($Y33-1)-SUM($B34:K34))+IF($Y33&gt;1,IF(INT(L$6/$X33)&gt;0,$Z33-$AA33,0),-$AA33)</f>
        <v>0</v>
      </c>
      <c r="M34" s="603">
        <f>IF(INT(M$6/$X33)*$X$7&gt;M32*($X$7+$Z33)*$Y33,M32*($X$7+$Z33)-SUM($B34:L34),INT(M$6/$X33)*$X$7-M32*($X$7+$Z33)*($Y33-1)-SUM($B34:L34))+IF($Y33&gt;1,IF(INT(M$6/$X33)&gt;0,$Z33-$AA33,0),-$AA33)</f>
        <v>0</v>
      </c>
      <c r="N34" s="603">
        <f>IF(INT(N$6/$X33)*$X$7&gt;N32*($X$7+$Z33)*$Y33,N32*($X$7+$Z33)-SUM($B34:M34),INT(N$6/$X33)*$X$7-N32*($X$7+$Z33)*($Y33-1)-SUM($B34:M34))+IF($Y33&gt;1,IF(INT(N$6/$X33)&gt;0,$Z33-$AA33,0),-$AA33)</f>
        <v>0</v>
      </c>
      <c r="O34" s="603">
        <f>IF(INT(O$6/$X33)*$X$7&gt;O32*($X$7+$Z33)*$Y33,O32*($X$7+$Z33)-SUM($B34:N34),INT(O$6/$X33)*$X$7-O32*($X$7+$Z33)*($Y33-1)-SUM($B34:N34))+IF($Y33&gt;1,IF(INT(O$6/$X33)&gt;0,$Z33-$AA33,0),-$AA33)</f>
        <v>0</v>
      </c>
      <c r="P34" s="603">
        <f>IF(INT(P$6/$X33)*$X$7&gt;P32*($X$7+$Z33)*$Y33,P32*($X$7+$Z33)-SUM($B34:O34),INT(P$6/$X33)*$X$7-P32*($X$7+$Z33)*($Y33-1)-SUM($B34:O34))+IF($Y33&gt;1,IF(INT(P$6/$X33)&gt;0,$Z33-$AA33,0),-$AA33)</f>
        <v>0</v>
      </c>
      <c r="Q34" s="603">
        <f>IF(INT(Q$6/$X33)*$X$7&gt;Q32*($X$7+$Z33)*$Y33,Q32*($X$7+$Z33)-SUM($B34:P34),INT(Q$6/$X33)*$X$7-Q32*($X$7+$Z33)*($Y33-1)-SUM($B34:P34))+IF($Y33&gt;1,IF(INT(Q$6/$X33)&gt;0,$Z33-$AA33,0),-$AA33)</f>
        <v>0</v>
      </c>
      <c r="R34" s="603">
        <f>IF(INT(R$6/$X33)*$X$7&gt;R32*($X$7+$Z33)*$Y33,R32*($X$7+$Z33)-SUM($B34:Q34),INT(R$6/$X33)*$X$7-R32*($X$7+$Z33)*($Y33-1)-SUM($B34:Q34))+IF($Y33&gt;1,IF(INT(R$6/$X33)&gt;0,$Z33-$AA33,0),-$AA33)</f>
        <v>0</v>
      </c>
      <c r="S34" s="603">
        <f>IF(INT(S$6/$X33)*$X$7&gt;S32*($X$7+$Z33)*$Y33,S32*($X$7+$Z33)-SUM($B34:R34),INT(S$6/$X33)*$X$7-S32*($X$7+$Z33)*($Y33-1)-SUM($B34:R34))+IF($Y33&gt;1,IF(INT(S$6/$X33)&gt;0,$Z33-$AA33,0),-$AA33)</f>
        <v>0</v>
      </c>
      <c r="T34" s="603">
        <f>IF(INT(T$6/$X33)*$X$7&gt;T32*($X$7+$Z33)*$Y33,T32*($X$7+$Z33)-SUM($B34:S34),INT(T$6/$X33)*$X$7-T32*($X$7+$Z33)*($Y33-1)-SUM($B34:S34))+IF($Y33&gt;1,IF(INT(T$6/$X33)&gt;0,$Z33-$AA33,0),-$AA33)</f>
        <v>0</v>
      </c>
      <c r="U34" s="603">
        <f>IF(INT(U$6/$X33)*$X$7&gt;U32*($X$7+$Z33)*$Y33,U32*($X$7+$Z33)-SUM($B34:T34),INT(U$6/$X33)*$X$7-U32*($X$7+$Z33)*($Y33-1)-SUM($B34:T34))+IF($Y33&gt;1,IF(INT(U$6/$X33)&gt;0,$Z33-$AA33,0),-$AA33)</f>
        <v>0</v>
      </c>
      <c r="V34" s="603">
        <f>IF(INT(V$6/$X33)*$X$7&gt;V32*($X$7+$Z33)*$Y33,V32*($X$7+$Z33)-SUM($B34:U34),INT(V$6/$X33)*$X$7-V32*($X$7+$Z33)*($Y33-1)-SUM($B34:U34))+IF($Y33&gt;1,IF(INT(V$6/$X33)&gt;0,$Z33-$AA33,0),-$AA33)</f>
        <v>0</v>
      </c>
      <c r="W34" s="681"/>
      <c r="X34"/>
      <c r="Y34"/>
      <c r="Z34"/>
    </row>
    <row r="35" spans="1:28" s="102" customFormat="1">
      <c r="W35" s="663"/>
    </row>
    <row r="36" spans="1:28" s="102" customFormat="1" hidden="1">
      <c r="A36" s="140" t="s">
        <v>934</v>
      </c>
      <c r="B36" s="603"/>
      <c r="C36" s="140">
        <f t="shared" ref="C36:V36" si="12">INT((INT(C$6/$X37)*$X$7+$X$7+$Z37-1)/($X$7+$Z37)/$Y37)</f>
        <v>0</v>
      </c>
      <c r="D36" s="140">
        <f t="shared" si="12"/>
        <v>0</v>
      </c>
      <c r="E36" s="140">
        <f t="shared" si="12"/>
        <v>0</v>
      </c>
      <c r="F36" s="140">
        <f t="shared" si="12"/>
        <v>0</v>
      </c>
      <c r="G36" s="140">
        <f t="shared" si="12"/>
        <v>0</v>
      </c>
      <c r="H36" s="140">
        <f t="shared" si="12"/>
        <v>0</v>
      </c>
      <c r="I36" s="140">
        <f t="shared" si="12"/>
        <v>0</v>
      </c>
      <c r="J36" s="140">
        <f t="shared" si="12"/>
        <v>0</v>
      </c>
      <c r="K36" s="140">
        <f t="shared" si="12"/>
        <v>0</v>
      </c>
      <c r="L36" s="140">
        <f t="shared" si="12"/>
        <v>0</v>
      </c>
      <c r="M36" s="140">
        <f t="shared" si="12"/>
        <v>0</v>
      </c>
      <c r="N36" s="140">
        <f t="shared" si="12"/>
        <v>0</v>
      </c>
      <c r="O36" s="140">
        <f t="shared" si="12"/>
        <v>0</v>
      </c>
      <c r="P36" s="140">
        <f t="shared" si="12"/>
        <v>0</v>
      </c>
      <c r="Q36" s="140">
        <f t="shared" si="12"/>
        <v>0</v>
      </c>
      <c r="R36" s="140">
        <f t="shared" si="12"/>
        <v>0</v>
      </c>
      <c r="S36" s="140">
        <f t="shared" si="12"/>
        <v>0</v>
      </c>
      <c r="T36" s="140">
        <f t="shared" si="12"/>
        <v>0</v>
      </c>
      <c r="U36" s="140">
        <f t="shared" si="12"/>
        <v>0</v>
      </c>
      <c r="V36" s="140">
        <f t="shared" si="12"/>
        <v>0</v>
      </c>
    </row>
    <row r="37" spans="1:28" s="102" customFormat="1">
      <c r="A37" s="140" t="s">
        <v>935</v>
      </c>
      <c r="B37" s="603" t="s">
        <v>278</v>
      </c>
      <c r="C37" s="603">
        <f>IF($Y37=1,0,$X$7*(INT(C$6/$X37)-INT(B$6/$X37))-IF(SUM($B37:B37)&gt;0,C38,0))</f>
        <v>0</v>
      </c>
      <c r="D37" s="603">
        <f>IF($Y37=1,0,$X$7*(INT(D$6/$X37)-INT(C$6/$X37))-IF(SUM($B37:C37)&gt;0,D38,0))</f>
        <v>0</v>
      </c>
      <c r="E37" s="603">
        <f>IF($Y37=1,0,$X$7*(INT(E$6/$X37)-INT(D$6/$X37))-IF(SUM($B37:D37)&gt;0,E38,0))</f>
        <v>0</v>
      </c>
      <c r="F37" s="603">
        <f>IF($Y37=1,0,$X$7*(INT(F$6/$X37)-INT(E$6/$X37))-IF(SUM($B37:E37)&gt;0,F38,0))</f>
        <v>0</v>
      </c>
      <c r="G37" s="603">
        <f>IF($Y37=1,0,$X$7*(INT(G$6/$X37)-INT(F$6/$X37))-IF(SUM($B37:F37)&gt;0,G38,0))</f>
        <v>0</v>
      </c>
      <c r="H37" s="603">
        <f>IF($Y37=1,0,$X$7*(INT(H$6/$X37)-INT(G$6/$X37))-IF(SUM($B37:G37)&gt;0,H38,0))</f>
        <v>0</v>
      </c>
      <c r="I37" s="603">
        <f>IF($Y37=1,0,$X$7*(INT(I$6/$X37)-INT(H$6/$X37))-IF(SUM($B37:H37)&gt;0,I38,0))</f>
        <v>0</v>
      </c>
      <c r="J37" s="603">
        <f>IF($Y37=1,0,$X$7*(INT(J$6/$X37)-INT(I$6/$X37))-IF(SUM($B37:I37)&gt;0,J38,0))</f>
        <v>0</v>
      </c>
      <c r="K37" s="603">
        <f>IF($Y37=1,0,$X$7*(INT(K$6/$X37)-INT(J$6/$X37))-IF(SUM($B37:J37)&gt;0,K38,0))</f>
        <v>0</v>
      </c>
      <c r="L37" s="603">
        <f>IF($Y37=1,0,$X$7*(INT(L$6/$X37)-INT(K$6/$X37))-IF(SUM($B37:K37)&gt;0,L38,0))</f>
        <v>0</v>
      </c>
      <c r="M37" s="603">
        <f>IF($Y37=1,0,$X$7*(INT(M$6/$X37)-INT(L$6/$X37))-IF(SUM($B37:L37)&gt;0,M38,0))</f>
        <v>0</v>
      </c>
      <c r="N37" s="603">
        <f>IF($Y37=1,0,$X$7*(INT(N$6/$X37)-INT(M$6/$X37))-IF(SUM($B37:M37)&gt;0,N38,0))</f>
        <v>0</v>
      </c>
      <c r="O37" s="603">
        <f>IF($Y37=1,0,$X$7*(INT(O$6/$X37)-INT(N$6/$X37))-IF(SUM($B37:N37)&gt;0,O38,0))</f>
        <v>0</v>
      </c>
      <c r="P37" s="603">
        <f>IF($Y37=1,0,$X$7*(INT(P$6/$X37)-INT(O$6/$X37))-IF(SUM($B37:O37)&gt;0,P38,0))</f>
        <v>0</v>
      </c>
      <c r="Q37" s="603">
        <f>IF($Y37=1,0,$X$7*(INT(Q$6/$X37)-INT(P$6/$X37))-IF(SUM($B37:P37)&gt;0,Q38,0))</f>
        <v>0</v>
      </c>
      <c r="R37" s="603">
        <f>IF($Y37=1,0,$X$7*(INT(R$6/$X37)-INT(Q$6/$X37))-IF(SUM($B37:Q37)&gt;0,R38,0))</f>
        <v>0</v>
      </c>
      <c r="S37" s="603">
        <f>IF($Y37=1,0,$X$7*(INT(S$6/$X37)-INT(R$6/$X37))-IF(SUM($B37:R37)&gt;0,S38,0))</f>
        <v>0</v>
      </c>
      <c r="T37" s="603">
        <f>IF($Y37=1,0,$X$7*(INT(T$6/$X37)-INT(S$6/$X37))-IF(SUM($B37:S37)&gt;0,T38,0))</f>
        <v>0</v>
      </c>
      <c r="U37" s="603">
        <f>IF($Y37=1,0,$X$7*(INT(U$6/$X37)-INT(T$6/$X37))-IF(SUM($B37:T37)&gt;0,U38,0))</f>
        <v>0</v>
      </c>
      <c r="V37" s="603">
        <f>IF($Y37=1,0,$X$7*(INT(V$6/$X37)-INT(U$6/$X37))-IF(SUM($B37:U37)&gt;0,V38,0))</f>
        <v>0</v>
      </c>
      <c r="W37" s="678" t="str">
        <f>'GT schd cost(W501D5A)'!A19</f>
        <v>Row 1 Blades</v>
      </c>
      <c r="X37" s="678">
        <f>IF($AD$6=1,'GTDB(W501D5A)'!B22,'GTDB(W501D5A)'!G22)</f>
        <v>24000</v>
      </c>
      <c r="Y37" s="678">
        <f>IF($AD$6=1,'GTDB(W501D5A)'!C22,'GTDB(W501D5A)'!H22)</f>
        <v>2</v>
      </c>
      <c r="Z37" s="679">
        <v>1</v>
      </c>
      <c r="AA37" s="834">
        <f>'Initial_Spares(W501D5A)'!$E$16</f>
        <v>0</v>
      </c>
      <c r="AB37" s="642">
        <f>'GT schd cost(W501D5A)'!X19+'GT schd cost(W501D5A)'!X45</f>
        <v>0</v>
      </c>
    </row>
    <row r="38" spans="1:28" s="102" customFormat="1">
      <c r="A38" s="140" t="s">
        <v>936</v>
      </c>
      <c r="B38" s="603" t="s">
        <v>278</v>
      </c>
      <c r="C38" s="603">
        <f>IF(INT(C$6/$X37)*$X$7&gt;C36*($X$7+$Z37)*$Y37,C36*($X$7+$Z37)-SUM($B38:B38),INT(C$6/$X37)*$X$7-C36*($X$7+$Z37)*($Y37-1)-SUM($B38:B38))+IF($Y37&gt;1,IF(INT(C$6/$X37)&gt;0,$Z37-$AA37,0),-$AA37)</f>
        <v>0</v>
      </c>
      <c r="D38" s="603">
        <f>IF(INT(D$6/$X37)*$X$7&gt;D36*($X$7+$Z37)*$Y37,D36*($X$7+$Z37)-SUM($B38:C38),INT(D$6/$X37)*$X$7-D36*($X$7+$Z37)*($Y37-1)-SUM($B38:C38))+IF($Y37&gt;1,IF(INT(D$6/$X37)&gt;0,$Z37-$AA37,0),-$AA37)</f>
        <v>0</v>
      </c>
      <c r="E38" s="603">
        <f>IF(INT(E$6/$X37)*$X$7&gt;E36*($X$7+$Z37)*$Y37,E36*($X$7+$Z37)-SUM($B38:D38),INT(E$6/$X37)*$X$7-E36*($X$7+$Z37)*($Y37-1)-SUM($B38:D38))+IF($Y37&gt;1,IF(INT(E$6/$X37)&gt;0,$Z37-$AA37,0),-$AA37)</f>
        <v>0</v>
      </c>
      <c r="F38" s="603">
        <f>IF(INT(F$6/$X37)*$X$7&gt;F36*($X$7+$Z37)*$Y37,F36*($X$7+$Z37)-SUM($B38:E38),INT(F$6/$X37)*$X$7-F36*($X$7+$Z37)*($Y37-1)-SUM($B38:E38))+IF($Y37&gt;1,IF(INT(F$6/$X37)&gt;0,$Z37-$AA37,0),-$AA37)</f>
        <v>0</v>
      </c>
      <c r="G38" s="603">
        <f>IF(INT(G$6/$X37)*$X$7&gt;G36*($X$7+$Z37)*$Y37,G36*($X$7+$Z37)-SUM($B38:F38),INT(G$6/$X37)*$X$7-G36*($X$7+$Z37)*($Y37-1)-SUM($B38:F38))+IF($Y37&gt;1,IF(INT(G$6/$X37)&gt;0,$Z37-$AA37,0),-$AA37)</f>
        <v>0</v>
      </c>
      <c r="H38" s="603">
        <f>IF(INT(H$6/$X37)*$X$7&gt;H36*($X$7+$Z37)*$Y37,H36*($X$7+$Z37)-SUM($B38:G38),INT(H$6/$X37)*$X$7-H36*($X$7+$Z37)*($Y37-1)-SUM($B38:G38))+IF($Y37&gt;1,IF(INT(H$6/$X37)&gt;0,$Z37-$AA37,0),-$AA37)</f>
        <v>0</v>
      </c>
      <c r="I38" s="603">
        <f>IF(INT(I$6/$X37)*$X$7&gt;I36*($X$7+$Z37)*$Y37,I36*($X$7+$Z37)-SUM($B38:H38),INT(I$6/$X37)*$X$7-I36*($X$7+$Z37)*($Y37-1)-SUM($B38:H38))+IF($Y37&gt;1,IF(INT(I$6/$X37)&gt;0,$Z37-$AA37,0),-$AA37)</f>
        <v>0</v>
      </c>
      <c r="J38" s="603">
        <f>IF(INT(J$6/$X37)*$X$7&gt;J36*($X$7+$Z37)*$Y37,J36*($X$7+$Z37)-SUM($B38:I38),INT(J$6/$X37)*$X$7-J36*($X$7+$Z37)*($Y37-1)-SUM($B38:I38))+IF($Y37&gt;1,IF(INT(J$6/$X37)&gt;0,$Z37-$AA37,0),-$AA37)</f>
        <v>0</v>
      </c>
      <c r="K38" s="603">
        <f>IF(INT(K$6/$X37)*$X$7&gt;K36*($X$7+$Z37)*$Y37,K36*($X$7+$Z37)-SUM($B38:J38),INT(K$6/$X37)*$X$7-K36*($X$7+$Z37)*($Y37-1)-SUM($B38:J38))+IF($Y37&gt;1,IF(INT(K$6/$X37)&gt;0,$Z37-$AA37,0),-$AA37)</f>
        <v>0</v>
      </c>
      <c r="L38" s="603">
        <f>IF(INT(L$6/$X37)*$X$7&gt;L36*($X$7+$Z37)*$Y37,L36*($X$7+$Z37)-SUM($B38:K38),INT(L$6/$X37)*$X$7-L36*($X$7+$Z37)*($Y37-1)-SUM($B38:K38))+IF($Y37&gt;1,IF(INT(L$6/$X37)&gt;0,$Z37-$AA37,0),-$AA37)</f>
        <v>0</v>
      </c>
      <c r="M38" s="603">
        <f>IF(INT(M$6/$X37)*$X$7&gt;M36*($X$7+$Z37)*$Y37,M36*($X$7+$Z37)-SUM($B38:L38),INT(M$6/$X37)*$X$7-M36*($X$7+$Z37)*($Y37-1)-SUM($B38:L38))+IF($Y37&gt;1,IF(INT(M$6/$X37)&gt;0,$Z37-$AA37,0),-$AA37)</f>
        <v>0</v>
      </c>
      <c r="N38" s="603">
        <f>IF(INT(N$6/$X37)*$X$7&gt;N36*($X$7+$Z37)*$Y37,N36*($X$7+$Z37)-SUM($B38:M38),INT(N$6/$X37)*$X$7-N36*($X$7+$Z37)*($Y37-1)-SUM($B38:M38))+IF($Y37&gt;1,IF(INT(N$6/$X37)&gt;0,$Z37-$AA37,0),-$AA37)</f>
        <v>0</v>
      </c>
      <c r="O38" s="603">
        <f>IF(INT(O$6/$X37)*$X$7&gt;O36*($X$7+$Z37)*$Y37,O36*($X$7+$Z37)-SUM($B38:N38),INT(O$6/$X37)*$X$7-O36*($X$7+$Z37)*($Y37-1)-SUM($B38:N38))+IF($Y37&gt;1,IF(INT(O$6/$X37)&gt;0,$Z37-$AA37,0),-$AA37)</f>
        <v>0</v>
      </c>
      <c r="P38" s="603">
        <f>IF(INT(P$6/$X37)*$X$7&gt;P36*($X$7+$Z37)*$Y37,P36*($X$7+$Z37)-SUM($B38:O38),INT(P$6/$X37)*$X$7-P36*($X$7+$Z37)*($Y37-1)-SUM($B38:O38))+IF($Y37&gt;1,IF(INT(P$6/$X37)&gt;0,$Z37-$AA37,0),-$AA37)</f>
        <v>0</v>
      </c>
      <c r="Q38" s="603">
        <f>IF(INT(Q$6/$X37)*$X$7&gt;Q36*($X$7+$Z37)*$Y37,Q36*($X$7+$Z37)-SUM($B38:P38),INT(Q$6/$X37)*$X$7-Q36*($X$7+$Z37)*($Y37-1)-SUM($B38:P38))+IF($Y37&gt;1,IF(INT(Q$6/$X37)&gt;0,$Z37-$AA37,0),-$AA37)</f>
        <v>0</v>
      </c>
      <c r="R38" s="603">
        <f>IF(INT(R$6/$X37)*$X$7&gt;R36*($X$7+$Z37)*$Y37,R36*($X$7+$Z37)-SUM($B38:Q38),INT(R$6/$X37)*$X$7-R36*($X$7+$Z37)*($Y37-1)-SUM($B38:Q38))+IF($Y37&gt;1,IF(INT(R$6/$X37)&gt;0,$Z37-$AA37,0),-$AA37)</f>
        <v>0</v>
      </c>
      <c r="S38" s="603">
        <f>IF(INT(S$6/$X37)*$X$7&gt;S36*($X$7+$Z37)*$Y37,S36*($X$7+$Z37)-SUM($B38:R38),INT(S$6/$X37)*$X$7-S36*($X$7+$Z37)*($Y37-1)-SUM($B38:R38))+IF($Y37&gt;1,IF(INT(S$6/$X37)&gt;0,$Z37-$AA37,0),-$AA37)</f>
        <v>0</v>
      </c>
      <c r="T38" s="603">
        <f>IF(INT(T$6/$X37)*$X$7&gt;T36*($X$7+$Z37)*$Y37,T36*($X$7+$Z37)-SUM($B38:S38),INT(T$6/$X37)*$X$7-T36*($X$7+$Z37)*($Y37-1)-SUM($B38:S38))+IF($Y37&gt;1,IF(INT(T$6/$X37)&gt;0,$Z37-$AA37,0),-$AA37)</f>
        <v>0</v>
      </c>
      <c r="U38" s="603">
        <f>IF(INT(U$6/$X37)*$X$7&gt;U36*($X$7+$Z37)*$Y37,U36*($X$7+$Z37)-SUM($B38:T38),INT(U$6/$X37)*$X$7-U36*($X$7+$Z37)*($Y37-1)-SUM($B38:T38))+IF($Y37&gt;1,IF(INT(U$6/$X37)&gt;0,$Z37-$AA37,0),-$AA37)</f>
        <v>0</v>
      </c>
      <c r="V38" s="603">
        <f>IF(INT(V$6/$X37)*$X$7&gt;V36*($X$7+$Z37)*$Y37,V36*($X$7+$Z37)-SUM($B38:U38),INT(V$6/$X37)*$X$7-V36*($X$7+$Z37)*($Y37-1)-SUM($B38:U38))+IF($Y37&gt;1,IF(INT(V$6/$X37)&gt;0,$Z37-$AA37,0),-$AA37)</f>
        <v>0</v>
      </c>
      <c r="W38" s="681"/>
      <c r="X38"/>
      <c r="Y38"/>
      <c r="Z38"/>
    </row>
    <row r="39" spans="1:28" s="102" customFormat="1">
      <c r="B39" s="615"/>
      <c r="C39" s="615"/>
      <c r="D39" s="615"/>
      <c r="E39" s="615"/>
      <c r="F39" s="615"/>
      <c r="G39" s="615"/>
      <c r="H39" s="615"/>
      <c r="I39" s="682"/>
      <c r="J39" s="615"/>
      <c r="K39" s="615"/>
      <c r="W39" s="663"/>
    </row>
    <row r="40" spans="1:28" s="102" customFormat="1" hidden="1">
      <c r="A40" s="140" t="s">
        <v>934</v>
      </c>
      <c r="B40" s="603"/>
      <c r="C40" s="140">
        <f t="shared" ref="C40:V40" si="13">INT((INT(C$6/$X41)*$X$7+$X$7+$Z41-1)/($X$7+$Z41)/$Y41)</f>
        <v>0</v>
      </c>
      <c r="D40" s="140">
        <f t="shared" si="13"/>
        <v>0</v>
      </c>
      <c r="E40" s="140">
        <f t="shared" si="13"/>
        <v>0</v>
      </c>
      <c r="F40" s="140">
        <f t="shared" si="13"/>
        <v>0</v>
      </c>
      <c r="G40" s="140">
        <f t="shared" si="13"/>
        <v>0</v>
      </c>
      <c r="H40" s="140">
        <f t="shared" si="13"/>
        <v>0</v>
      </c>
      <c r="I40" s="140">
        <f t="shared" si="13"/>
        <v>0</v>
      </c>
      <c r="J40" s="140">
        <f t="shared" si="13"/>
        <v>0</v>
      </c>
      <c r="K40" s="140">
        <f t="shared" si="13"/>
        <v>0</v>
      </c>
      <c r="L40" s="140">
        <f t="shared" si="13"/>
        <v>0</v>
      </c>
      <c r="M40" s="140">
        <f t="shared" si="13"/>
        <v>0</v>
      </c>
      <c r="N40" s="140">
        <f t="shared" si="13"/>
        <v>0</v>
      </c>
      <c r="O40" s="140">
        <f t="shared" si="13"/>
        <v>0</v>
      </c>
      <c r="P40" s="140">
        <f t="shared" si="13"/>
        <v>0</v>
      </c>
      <c r="Q40" s="140">
        <f t="shared" si="13"/>
        <v>0</v>
      </c>
      <c r="R40" s="140">
        <f t="shared" si="13"/>
        <v>0</v>
      </c>
      <c r="S40" s="140">
        <f t="shared" si="13"/>
        <v>0</v>
      </c>
      <c r="T40" s="140">
        <f t="shared" si="13"/>
        <v>0</v>
      </c>
      <c r="U40" s="140">
        <f t="shared" si="13"/>
        <v>0</v>
      </c>
      <c r="V40" s="140">
        <f t="shared" si="13"/>
        <v>0</v>
      </c>
    </row>
    <row r="41" spans="1:28" s="102" customFormat="1">
      <c r="A41" s="140" t="s">
        <v>935</v>
      </c>
      <c r="B41" s="603" t="s">
        <v>278</v>
      </c>
      <c r="C41" s="603">
        <f>IF($Y41=1,0,$X$7*(INT(C$6/$X41)-INT(B$6/$X41))-IF(SUM($B41:B41)&gt;0,C42,0))</f>
        <v>0</v>
      </c>
      <c r="D41" s="603">
        <f>IF($Y41=1,0,$X$7*(INT(D$6/$X41)-INT(C$6/$X41))-IF(SUM($B41:C41)&gt;0,D42,0))</f>
        <v>0</v>
      </c>
      <c r="E41" s="603">
        <f>IF($Y41=1,0,$X$7*(INT(E$6/$X41)-INT(D$6/$X41))-IF(SUM($B41:D41)&gt;0,E42,0))</f>
        <v>0</v>
      </c>
      <c r="F41" s="603">
        <f>IF($Y41=1,0,$X$7*(INT(F$6/$X41)-INT(E$6/$X41))-IF(SUM($B41:E41)&gt;0,F42,0))</f>
        <v>0</v>
      </c>
      <c r="G41" s="603">
        <f>IF($Y41=1,0,$X$7*(INT(G$6/$X41)-INT(F$6/$X41))-IF(SUM($B41:F41)&gt;0,G42,0))</f>
        <v>0</v>
      </c>
      <c r="H41" s="603">
        <f>IF($Y41=1,0,$X$7*(INT(H$6/$X41)-INT(G$6/$X41))-IF(SUM($B41:G41)&gt;0,H42,0))</f>
        <v>0</v>
      </c>
      <c r="I41" s="603">
        <f>IF($Y41=1,0,$X$7*(INT(I$6/$X41)-INT(H$6/$X41))-IF(SUM($B41:H41)&gt;0,I42,0))</f>
        <v>0</v>
      </c>
      <c r="J41" s="603">
        <f>IF($Y41=1,0,$X$7*(INT(J$6/$X41)-INT(I$6/$X41))-IF(SUM($B41:I41)&gt;0,J42,0))</f>
        <v>0</v>
      </c>
      <c r="K41" s="603">
        <f>IF($Y41=1,0,$X$7*(INT(K$6/$X41)-INT(J$6/$X41))-IF(SUM($B41:J41)&gt;0,K42,0))</f>
        <v>0</v>
      </c>
      <c r="L41" s="603">
        <f>IF($Y41=1,0,$X$7*(INT(L$6/$X41)-INT(K$6/$X41))-IF(SUM($B41:K41)&gt;0,L42,0))</f>
        <v>0</v>
      </c>
      <c r="M41" s="603">
        <f>IF($Y41=1,0,$X$7*(INT(M$6/$X41)-INT(L$6/$X41))-IF(SUM($B41:L41)&gt;0,M42,0))</f>
        <v>0</v>
      </c>
      <c r="N41" s="603">
        <f>IF($Y41=1,0,$X$7*(INT(N$6/$X41)-INT(M$6/$X41))-IF(SUM($B41:M41)&gt;0,N42,0))</f>
        <v>0</v>
      </c>
      <c r="O41" s="603">
        <f>IF($Y41=1,0,$X$7*(INT(O$6/$X41)-INT(N$6/$X41))-IF(SUM($B41:N41)&gt;0,O42,0))</f>
        <v>0</v>
      </c>
      <c r="P41" s="603">
        <f>IF($Y41=1,0,$X$7*(INT(P$6/$X41)-INT(O$6/$X41))-IF(SUM($B41:O41)&gt;0,P42,0))</f>
        <v>0</v>
      </c>
      <c r="Q41" s="603">
        <f>IF($Y41=1,0,$X$7*(INT(Q$6/$X41)-INT(P$6/$X41))-IF(SUM($B41:P41)&gt;0,Q42,0))</f>
        <v>0</v>
      </c>
      <c r="R41" s="603">
        <f>IF($Y41=1,0,$X$7*(INT(R$6/$X41)-INT(Q$6/$X41))-IF(SUM($B41:Q41)&gt;0,R42,0))</f>
        <v>0</v>
      </c>
      <c r="S41" s="603">
        <f>IF($Y41=1,0,$X$7*(INT(S$6/$X41)-INT(R$6/$X41))-IF(SUM($B41:R41)&gt;0,S42,0))</f>
        <v>0</v>
      </c>
      <c r="T41" s="603">
        <f>IF($Y41=1,0,$X$7*(INT(T$6/$X41)-INT(S$6/$X41))-IF(SUM($B41:S41)&gt;0,T42,0))</f>
        <v>0</v>
      </c>
      <c r="U41" s="603">
        <f>IF($Y41=1,0,$X$7*(INT(U$6/$X41)-INT(T$6/$X41))-IF(SUM($B41:T41)&gt;0,U42,0))</f>
        <v>0</v>
      </c>
      <c r="V41" s="603">
        <f>IF($Y41=1,0,$X$7*(INT(V$6/$X41)-INT(U$6/$X41))-IF(SUM($B41:U41)&gt;0,V42,0))</f>
        <v>0</v>
      </c>
      <c r="W41" s="678" t="str">
        <f xml:space="preserve"> 'GT schd cost(W501D5A)'!A20</f>
        <v>Row 2 Blades</v>
      </c>
      <c r="X41" s="678">
        <f>IF($AD$6=1,'GTDB(W501D5A)'!B23,'GTDB(W501D5A)'!G23)</f>
        <v>24000</v>
      </c>
      <c r="Y41" s="678">
        <f>IF($AD$6=1,'GTDB(W501D5A)'!C23,'GTDB(W501D5A)'!H23)</f>
        <v>3</v>
      </c>
      <c r="Z41" s="679">
        <v>1</v>
      </c>
      <c r="AA41" s="834">
        <f>'Initial_Spares(W501D5A)'!$E$17</f>
        <v>0</v>
      </c>
      <c r="AB41" s="642">
        <f>'GT schd cost(W501D5A)'!X20+'GT schd cost(W501D5A)'!X46</f>
        <v>0</v>
      </c>
    </row>
    <row r="42" spans="1:28" s="102" customFormat="1">
      <c r="A42" s="140" t="s">
        <v>936</v>
      </c>
      <c r="B42" s="603" t="s">
        <v>278</v>
      </c>
      <c r="C42" s="603">
        <f>IF(INT(C$6/$X41)*$X$7&gt;C40*($X$7+$Z41)*$Y41,C40*($X$7+$Z41)-SUM($B42:B42),INT(C$6/$X41)*$X$7-C40*($X$7+$Z41)*($Y41-1)-SUM($B42:B42))+IF($Y41&gt;1,IF(INT(C$6/$X41)&gt;0,$Z41-$AA41,0),-$AA41)</f>
        <v>0</v>
      </c>
      <c r="D42" s="603">
        <f>IF(INT(D$6/$X41)*$X$7&gt;D40*($X$7+$Z41)*$Y41,D40*($X$7+$Z41)-SUM($B42:C42),INT(D$6/$X41)*$X$7-D40*($X$7+$Z41)*($Y41-1)-SUM($B42:C42))+IF($Y41&gt;1,IF(INT(D$6/$X41)&gt;0,$Z41-$AA41,0),-$AA41)</f>
        <v>0</v>
      </c>
      <c r="E42" s="603">
        <f>IF(INT(E$6/$X41)*$X$7&gt;E40*($X$7+$Z41)*$Y41,E40*($X$7+$Z41)-SUM($B42:D42),INT(E$6/$X41)*$X$7-E40*($X$7+$Z41)*($Y41-1)-SUM($B42:D42))+IF($Y41&gt;1,IF(INT(E$6/$X41)&gt;0,$Z41-$AA41,0),-$AA41)</f>
        <v>0</v>
      </c>
      <c r="F42" s="603">
        <f>IF(INT(F$6/$X41)*$X$7&gt;F40*($X$7+$Z41)*$Y41,F40*($X$7+$Z41)-SUM($B42:E42),INT(F$6/$X41)*$X$7-F40*($X$7+$Z41)*($Y41-1)-SUM($B42:E42))+IF($Y41&gt;1,IF(INT(F$6/$X41)&gt;0,$Z41-$AA41,0),-$AA41)</f>
        <v>0</v>
      </c>
      <c r="G42" s="603">
        <f>IF(INT(G$6/$X41)*$X$7&gt;G40*($X$7+$Z41)*$Y41,G40*($X$7+$Z41)-SUM($B42:F42),INT(G$6/$X41)*$X$7-G40*($X$7+$Z41)*($Y41-1)-SUM($B42:F42))+IF($Y41&gt;1,IF(INT(G$6/$X41)&gt;0,$Z41-$AA41,0),-$AA41)</f>
        <v>0</v>
      </c>
      <c r="H42" s="603">
        <f>IF(INT(H$6/$X41)*$X$7&gt;H40*($X$7+$Z41)*$Y41,H40*($X$7+$Z41)-SUM($B42:G42),INT(H$6/$X41)*$X$7-H40*($X$7+$Z41)*($Y41-1)-SUM($B42:G42))+IF($Y41&gt;1,IF(INT(H$6/$X41)&gt;0,$Z41-$AA41,0),-$AA41)</f>
        <v>0</v>
      </c>
      <c r="I42" s="603">
        <f>IF(INT(I$6/$X41)*$X$7&gt;I40*($X$7+$Z41)*$Y41,I40*($X$7+$Z41)-SUM($B42:H42),INT(I$6/$X41)*$X$7-I40*($X$7+$Z41)*($Y41-1)-SUM($B42:H42))+IF($Y41&gt;1,IF(INT(I$6/$X41)&gt;0,$Z41-$AA41,0),-$AA41)</f>
        <v>0</v>
      </c>
      <c r="J42" s="603">
        <f>IF(INT(J$6/$X41)*$X$7&gt;J40*($X$7+$Z41)*$Y41,J40*($X$7+$Z41)-SUM($B42:I42),INT(J$6/$X41)*$X$7-J40*($X$7+$Z41)*($Y41-1)-SUM($B42:I42))+IF($Y41&gt;1,IF(INT(J$6/$X41)&gt;0,$Z41-$AA41,0),-$AA41)</f>
        <v>0</v>
      </c>
      <c r="K42" s="603">
        <f>IF(INT(K$6/$X41)*$X$7&gt;K40*($X$7+$Z41)*$Y41,K40*($X$7+$Z41)-SUM($B42:J42),INT(K$6/$X41)*$X$7-K40*($X$7+$Z41)*($Y41-1)-SUM($B42:J42))+IF($Y41&gt;1,IF(INT(K$6/$X41)&gt;0,$Z41-$AA41,0),-$AA41)</f>
        <v>0</v>
      </c>
      <c r="L42" s="603">
        <f>IF(INT(L$6/$X41)*$X$7&gt;L40*($X$7+$Z41)*$Y41,L40*($X$7+$Z41)-SUM($B42:K42),INT(L$6/$X41)*$X$7-L40*($X$7+$Z41)*($Y41-1)-SUM($B42:K42))+IF($Y41&gt;1,IF(INT(L$6/$X41)&gt;0,$Z41-$AA41,0),-$AA41)</f>
        <v>0</v>
      </c>
      <c r="M42" s="603">
        <f>IF(INT(M$6/$X41)*$X$7&gt;M40*($X$7+$Z41)*$Y41,M40*($X$7+$Z41)-SUM($B42:L42),INT(M$6/$X41)*$X$7-M40*($X$7+$Z41)*($Y41-1)-SUM($B42:L42))+IF($Y41&gt;1,IF(INT(M$6/$X41)&gt;0,$Z41-$AA41,0),-$AA41)</f>
        <v>0</v>
      </c>
      <c r="N42" s="603">
        <f>IF(INT(N$6/$X41)*$X$7&gt;N40*($X$7+$Z41)*$Y41,N40*($X$7+$Z41)-SUM($B42:M42),INT(N$6/$X41)*$X$7-N40*($X$7+$Z41)*($Y41-1)-SUM($B42:M42))+IF($Y41&gt;1,IF(INT(N$6/$X41)&gt;0,$Z41-$AA41,0),-$AA41)</f>
        <v>0</v>
      </c>
      <c r="O42" s="603">
        <f>IF(INT(O$6/$X41)*$X$7&gt;O40*($X$7+$Z41)*$Y41,O40*($X$7+$Z41)-SUM($B42:N42),INT(O$6/$X41)*$X$7-O40*($X$7+$Z41)*($Y41-1)-SUM($B42:N42))+IF($Y41&gt;1,IF(INT(O$6/$X41)&gt;0,$Z41-$AA41,0),-$AA41)</f>
        <v>0</v>
      </c>
      <c r="P42" s="603">
        <f>IF(INT(P$6/$X41)*$X$7&gt;P40*($X$7+$Z41)*$Y41,P40*($X$7+$Z41)-SUM($B42:O42),INT(P$6/$X41)*$X$7-P40*($X$7+$Z41)*($Y41-1)-SUM($B42:O42))+IF($Y41&gt;1,IF(INT(P$6/$X41)&gt;0,$Z41-$AA41,0),-$AA41)</f>
        <v>0</v>
      </c>
      <c r="Q42" s="603">
        <f>IF(INT(Q$6/$X41)*$X$7&gt;Q40*($X$7+$Z41)*$Y41,Q40*($X$7+$Z41)-SUM($B42:P42),INT(Q$6/$X41)*$X$7-Q40*($X$7+$Z41)*($Y41-1)-SUM($B42:P42))+IF($Y41&gt;1,IF(INT(Q$6/$X41)&gt;0,$Z41-$AA41,0),-$AA41)</f>
        <v>0</v>
      </c>
      <c r="R42" s="603">
        <f>IF(INT(R$6/$X41)*$X$7&gt;R40*($X$7+$Z41)*$Y41,R40*($X$7+$Z41)-SUM($B42:Q42),INT(R$6/$X41)*$X$7-R40*($X$7+$Z41)*($Y41-1)-SUM($B42:Q42))+IF($Y41&gt;1,IF(INT(R$6/$X41)&gt;0,$Z41-$AA41,0),-$AA41)</f>
        <v>0</v>
      </c>
      <c r="S42" s="603">
        <f>IF(INT(S$6/$X41)*$X$7&gt;S40*($X$7+$Z41)*$Y41,S40*($X$7+$Z41)-SUM($B42:R42),INT(S$6/$X41)*$X$7-S40*($X$7+$Z41)*($Y41-1)-SUM($B42:R42))+IF($Y41&gt;1,IF(INT(S$6/$X41)&gt;0,$Z41-$AA41,0),-$AA41)</f>
        <v>0</v>
      </c>
      <c r="T42" s="603">
        <f>IF(INT(T$6/$X41)*$X$7&gt;T40*($X$7+$Z41)*$Y41,T40*($X$7+$Z41)-SUM($B42:S42),INT(T$6/$X41)*$X$7-T40*($X$7+$Z41)*($Y41-1)-SUM($B42:S42))+IF($Y41&gt;1,IF(INT(T$6/$X41)&gt;0,$Z41-$AA41,0),-$AA41)</f>
        <v>0</v>
      </c>
      <c r="U42" s="603">
        <f>IF(INT(U$6/$X41)*$X$7&gt;U40*($X$7+$Z41)*$Y41,U40*($X$7+$Z41)-SUM($B42:T42),INT(U$6/$X41)*$X$7-U40*($X$7+$Z41)*($Y41-1)-SUM($B42:T42))+IF($Y41&gt;1,IF(INT(U$6/$X41)&gt;0,$Z41-$AA41,0),-$AA41)</f>
        <v>0</v>
      </c>
      <c r="V42" s="603">
        <f>IF(INT(V$6/$X41)*$X$7&gt;V40*($X$7+$Z41)*$Y41,V40*($X$7+$Z41)-SUM($B42:U42),INT(V$6/$X41)*$X$7-V40*($X$7+$Z41)*($Y41-1)-SUM($B42:U42))+IF($Y41&gt;1,IF(INT(V$6/$X41)&gt;0,$Z41-$AA41,0),-$AA41)</f>
        <v>0</v>
      </c>
      <c r="W42" s="681"/>
      <c r="X42"/>
      <c r="Y42"/>
      <c r="Z42"/>
    </row>
    <row r="43" spans="1:28" s="102" customFormat="1">
      <c r="W43" s="663"/>
    </row>
    <row r="44" spans="1:28" s="102" customFormat="1" hidden="1">
      <c r="A44" s="140" t="s">
        <v>934</v>
      </c>
      <c r="B44" s="603"/>
      <c r="C44" s="140">
        <f t="shared" ref="C44:V44" si="14">INT((INT(C$6/$X45)*$X$7+$X$7+$Z45-1)/($X$7+$Z45)/$Y45)</f>
        <v>0</v>
      </c>
      <c r="D44" s="140">
        <f t="shared" si="14"/>
        <v>0</v>
      </c>
      <c r="E44" s="140">
        <f t="shared" si="14"/>
        <v>0</v>
      </c>
      <c r="F44" s="140">
        <f t="shared" si="14"/>
        <v>0</v>
      </c>
      <c r="G44" s="140">
        <f t="shared" si="14"/>
        <v>0</v>
      </c>
      <c r="H44" s="140">
        <f t="shared" si="14"/>
        <v>0</v>
      </c>
      <c r="I44" s="140">
        <f t="shared" si="14"/>
        <v>0</v>
      </c>
      <c r="J44" s="140">
        <f t="shared" si="14"/>
        <v>0</v>
      </c>
      <c r="K44" s="140">
        <f t="shared" si="14"/>
        <v>0</v>
      </c>
      <c r="L44" s="140">
        <f t="shared" si="14"/>
        <v>0</v>
      </c>
      <c r="M44" s="140">
        <f t="shared" si="14"/>
        <v>0</v>
      </c>
      <c r="N44" s="140">
        <f t="shared" si="14"/>
        <v>0</v>
      </c>
      <c r="O44" s="140">
        <f t="shared" si="14"/>
        <v>0</v>
      </c>
      <c r="P44" s="140">
        <f t="shared" si="14"/>
        <v>0</v>
      </c>
      <c r="Q44" s="140">
        <f t="shared" si="14"/>
        <v>0</v>
      </c>
      <c r="R44" s="140">
        <f t="shared" si="14"/>
        <v>0</v>
      </c>
      <c r="S44" s="140">
        <f t="shared" si="14"/>
        <v>0</v>
      </c>
      <c r="T44" s="140">
        <f t="shared" si="14"/>
        <v>0</v>
      </c>
      <c r="U44" s="140">
        <f t="shared" si="14"/>
        <v>0</v>
      </c>
      <c r="V44" s="140">
        <f t="shared" si="14"/>
        <v>0</v>
      </c>
    </row>
    <row r="45" spans="1:28" s="102" customFormat="1">
      <c r="A45" s="140" t="s">
        <v>935</v>
      </c>
      <c r="B45" s="603" t="s">
        <v>278</v>
      </c>
      <c r="C45" s="603">
        <f>IF($Y45=1,0,$X$7*(INT(C$6/$X45)-INT(B$6/$X45))-IF(SUM($B45:B45)&gt;0,C46,0))</f>
        <v>0</v>
      </c>
      <c r="D45" s="603">
        <f>IF($Y45=1,0,$X$7*(INT(D$6/$X45)-INT(C$6/$X45))-IF(SUM($B45:C45)&gt;0,D46,0))</f>
        <v>0</v>
      </c>
      <c r="E45" s="603">
        <f>IF($Y45=1,0,$X$7*(INT(E$6/$X45)-INT(D$6/$X45))-IF(SUM($B45:D45)&gt;0,E46,0))</f>
        <v>0</v>
      </c>
      <c r="F45" s="603">
        <f>IF($Y45=1,0,$X$7*(INT(F$6/$X45)-INT(E$6/$X45))-IF(SUM($B45:E45)&gt;0,F46,0))</f>
        <v>0</v>
      </c>
      <c r="G45" s="603">
        <f>IF($Y45=1,0,$X$7*(INT(G$6/$X45)-INT(F$6/$X45))-IF(SUM($B45:F45)&gt;0,G46,0))</f>
        <v>0</v>
      </c>
      <c r="H45" s="603">
        <f>IF($Y45=1,0,$X$7*(INT(H$6/$X45)-INT(G$6/$X45))-IF(SUM($B45:G45)&gt;0,H46,0))</f>
        <v>0</v>
      </c>
      <c r="I45" s="603">
        <f>IF($Y45=1,0,$X$7*(INT(I$6/$X45)-INT(H$6/$X45))-IF(SUM($B45:H45)&gt;0,I46,0))</f>
        <v>0</v>
      </c>
      <c r="J45" s="603">
        <f>IF($Y45=1,0,$X$7*(INT(J$6/$X45)-INT(I$6/$X45))-IF(SUM($B45:I45)&gt;0,J46,0))</f>
        <v>0</v>
      </c>
      <c r="K45" s="603">
        <f>IF($Y45=1,0,$X$7*(INT(K$6/$X45)-INT(J$6/$X45))-IF(SUM($B45:J45)&gt;0,K46,0))</f>
        <v>0</v>
      </c>
      <c r="L45" s="603">
        <f>IF($Y45=1,0,$X$7*(INT(L$6/$X45)-INT(K$6/$X45))-IF(SUM($B45:K45)&gt;0,L46,0))</f>
        <v>0</v>
      </c>
      <c r="M45" s="603">
        <f>IF($Y45=1,0,$X$7*(INT(M$6/$X45)-INT(L$6/$X45))-IF(SUM($B45:L45)&gt;0,M46,0))</f>
        <v>0</v>
      </c>
      <c r="N45" s="603">
        <f>IF($Y45=1,0,$X$7*(INT(N$6/$X45)-INT(M$6/$X45))-IF(SUM($B45:M45)&gt;0,N46,0))</f>
        <v>0</v>
      </c>
      <c r="O45" s="603">
        <f>IF($Y45=1,0,$X$7*(INT(O$6/$X45)-INT(N$6/$X45))-IF(SUM($B45:N45)&gt;0,O46,0))</f>
        <v>0</v>
      </c>
      <c r="P45" s="603">
        <f>IF($Y45=1,0,$X$7*(INT(P$6/$X45)-INT(O$6/$X45))-IF(SUM($B45:O45)&gt;0,P46,0))</f>
        <v>0</v>
      </c>
      <c r="Q45" s="603">
        <f>IF($Y45=1,0,$X$7*(INT(Q$6/$X45)-INT(P$6/$X45))-IF(SUM($B45:P45)&gt;0,Q46,0))</f>
        <v>0</v>
      </c>
      <c r="R45" s="603">
        <f>IF($Y45=1,0,$X$7*(INT(R$6/$X45)-INT(Q$6/$X45))-IF(SUM($B45:Q45)&gt;0,R46,0))</f>
        <v>0</v>
      </c>
      <c r="S45" s="603">
        <f>IF($Y45=1,0,$X$7*(INT(S$6/$X45)-INT(R$6/$X45))-IF(SUM($B45:R45)&gt;0,S46,0))</f>
        <v>0</v>
      </c>
      <c r="T45" s="603">
        <f>IF($Y45=1,0,$X$7*(INT(T$6/$X45)-INT(S$6/$X45))-IF(SUM($B45:S45)&gt;0,T46,0))</f>
        <v>0</v>
      </c>
      <c r="U45" s="603">
        <f>IF($Y45=1,0,$X$7*(INT(U$6/$X45)-INT(T$6/$X45))-IF(SUM($B45:T45)&gt;0,U46,0))</f>
        <v>0</v>
      </c>
      <c r="V45" s="603">
        <f>IF($Y45=1,0,$X$7*(INT(V$6/$X45)-INT(U$6/$X45))-IF(SUM($B45:U45)&gt;0,V46,0))</f>
        <v>0</v>
      </c>
      <c r="W45" s="678" t="str">
        <f xml:space="preserve"> 'GT schd cost(W501D5A)'!A21</f>
        <v>Row 3 Blades</v>
      </c>
      <c r="X45" s="678">
        <f>IF($AD$6=1,'GTDB(W501D5A)'!B24,'GTDB(W501D5A)'!G24)</f>
        <v>24000</v>
      </c>
      <c r="Y45" s="678">
        <f>IF($AD$6=1,'GTDB(W501D5A)'!C24,'GTDB(W501D5A)'!H24)</f>
        <v>4</v>
      </c>
      <c r="Z45" s="679">
        <v>1</v>
      </c>
      <c r="AA45" s="834">
        <f>'Initial_Spares(W501D5A)'!$E$18</f>
        <v>0</v>
      </c>
      <c r="AB45" s="642">
        <f>'GT schd cost(W501D5A)'!X21+'GT schd cost(W501D5A)'!X47</f>
        <v>0</v>
      </c>
    </row>
    <row r="46" spans="1:28" s="102" customFormat="1">
      <c r="A46" s="140" t="s">
        <v>936</v>
      </c>
      <c r="B46" s="603" t="s">
        <v>278</v>
      </c>
      <c r="C46" s="603">
        <f>IF(INT(C$6/$X45)*$X$7&gt;C44*($X$7+$Z45)*$Y45,C44*($X$7+$Z45)-SUM($B46:B46),INT(C$6/$X45)*$X$7-C44*($X$7+$Z45)*($Y45-1)-SUM($B46:B46))+IF($Y45&gt;1,IF(INT(C$6/$X45)&gt;0,$Z45-$AA45,0),-$AA45)</f>
        <v>0</v>
      </c>
      <c r="D46" s="603">
        <f>IF(INT(D$6/$X45)*$X$7&gt;D44*($X$7+$Z45)*$Y45,D44*($X$7+$Z45)-SUM($B46:C46),INT(D$6/$X45)*$X$7-D44*($X$7+$Z45)*($Y45-1)-SUM($B46:C46))+IF($Y45&gt;1,IF(INT(D$6/$X45)&gt;0,$Z45-$AA45,0),-$AA45)</f>
        <v>0</v>
      </c>
      <c r="E46" s="603">
        <f>IF(INT(E$6/$X45)*$X$7&gt;E44*($X$7+$Z45)*$Y45,E44*($X$7+$Z45)-SUM($B46:D46),INT(E$6/$X45)*$X$7-E44*($X$7+$Z45)*($Y45-1)-SUM($B46:D46))+IF($Y45&gt;1,IF(INT(E$6/$X45)&gt;0,$Z45-$AA45,0),-$AA45)</f>
        <v>0</v>
      </c>
      <c r="F46" s="603">
        <f>IF(INT(F$6/$X45)*$X$7&gt;F44*($X$7+$Z45)*$Y45,F44*($X$7+$Z45)-SUM($B46:E46),INT(F$6/$X45)*$X$7-F44*($X$7+$Z45)*($Y45-1)-SUM($B46:E46))+IF($Y45&gt;1,IF(INT(F$6/$X45)&gt;0,$Z45-$AA45,0),-$AA45)</f>
        <v>0</v>
      </c>
      <c r="G46" s="603">
        <f>IF(INT(G$6/$X45)*$X$7&gt;G44*($X$7+$Z45)*$Y45,G44*($X$7+$Z45)-SUM($B46:F46),INT(G$6/$X45)*$X$7-G44*($X$7+$Z45)*($Y45-1)-SUM($B46:F46))+IF($Y45&gt;1,IF(INT(G$6/$X45)&gt;0,$Z45-$AA45,0),-$AA45)</f>
        <v>0</v>
      </c>
      <c r="H46" s="603">
        <f>IF(INT(H$6/$X45)*$X$7&gt;H44*($X$7+$Z45)*$Y45,H44*($X$7+$Z45)-SUM($B46:G46),INT(H$6/$X45)*$X$7-H44*($X$7+$Z45)*($Y45-1)-SUM($B46:G46))+IF($Y45&gt;1,IF(INT(H$6/$X45)&gt;0,$Z45-$AA45,0),-$AA45)</f>
        <v>0</v>
      </c>
      <c r="I46" s="603">
        <f>IF(INT(I$6/$X45)*$X$7&gt;I44*($X$7+$Z45)*$Y45,I44*($X$7+$Z45)-SUM($B46:H46),INT(I$6/$X45)*$X$7-I44*($X$7+$Z45)*($Y45-1)-SUM($B46:H46))+IF($Y45&gt;1,IF(INT(I$6/$X45)&gt;0,$Z45-$AA45,0),-$AA45)</f>
        <v>0</v>
      </c>
      <c r="J46" s="603">
        <f>IF(INT(J$6/$X45)*$X$7&gt;J44*($X$7+$Z45)*$Y45,J44*($X$7+$Z45)-SUM($B46:I46),INT(J$6/$X45)*$X$7-J44*($X$7+$Z45)*($Y45-1)-SUM($B46:I46))+IF($Y45&gt;1,IF(INT(J$6/$X45)&gt;0,$Z45-$AA45,0),-$AA45)</f>
        <v>0</v>
      </c>
      <c r="K46" s="603">
        <f>IF(INT(K$6/$X45)*$X$7&gt;K44*($X$7+$Z45)*$Y45,K44*($X$7+$Z45)-SUM($B46:J46),INT(K$6/$X45)*$X$7-K44*($X$7+$Z45)*($Y45-1)-SUM($B46:J46))+IF($Y45&gt;1,IF(INT(K$6/$X45)&gt;0,$Z45-$AA45,0),-$AA45)</f>
        <v>0</v>
      </c>
      <c r="L46" s="603">
        <f>IF(INT(L$6/$X45)*$X$7&gt;L44*($X$7+$Z45)*$Y45,L44*($X$7+$Z45)-SUM($B46:K46),INT(L$6/$X45)*$X$7-L44*($X$7+$Z45)*($Y45-1)-SUM($B46:K46))+IF($Y45&gt;1,IF(INT(L$6/$X45)&gt;0,$Z45-$AA45,0),-$AA45)</f>
        <v>0</v>
      </c>
      <c r="M46" s="603">
        <f>IF(INT(M$6/$X45)*$X$7&gt;M44*($X$7+$Z45)*$Y45,M44*($X$7+$Z45)-SUM($B46:L46),INT(M$6/$X45)*$X$7-M44*($X$7+$Z45)*($Y45-1)-SUM($B46:L46))+IF($Y45&gt;1,IF(INT(M$6/$X45)&gt;0,$Z45-$AA45,0),-$AA45)</f>
        <v>0</v>
      </c>
      <c r="N46" s="603">
        <f>IF(INT(N$6/$X45)*$X$7&gt;N44*($X$7+$Z45)*$Y45,N44*($X$7+$Z45)-SUM($B46:M46),INT(N$6/$X45)*$X$7-N44*($X$7+$Z45)*($Y45-1)-SUM($B46:M46))+IF($Y45&gt;1,IF(INT(N$6/$X45)&gt;0,$Z45-$AA45,0),-$AA45)</f>
        <v>0</v>
      </c>
      <c r="O46" s="603">
        <f>IF(INT(O$6/$X45)*$X$7&gt;O44*($X$7+$Z45)*$Y45,O44*($X$7+$Z45)-SUM($B46:N46),INT(O$6/$X45)*$X$7-O44*($X$7+$Z45)*($Y45-1)-SUM($B46:N46))+IF($Y45&gt;1,IF(INT(O$6/$X45)&gt;0,$Z45-$AA45,0),-$AA45)</f>
        <v>0</v>
      </c>
      <c r="P46" s="603">
        <f>IF(INT(P$6/$X45)*$X$7&gt;P44*($X$7+$Z45)*$Y45,P44*($X$7+$Z45)-SUM($B46:O46),INT(P$6/$X45)*$X$7-P44*($X$7+$Z45)*($Y45-1)-SUM($B46:O46))+IF($Y45&gt;1,IF(INT(P$6/$X45)&gt;0,$Z45-$AA45,0),-$AA45)</f>
        <v>0</v>
      </c>
      <c r="Q46" s="603">
        <f>IF(INT(Q$6/$X45)*$X$7&gt;Q44*($X$7+$Z45)*$Y45,Q44*($X$7+$Z45)-SUM($B46:P46),INT(Q$6/$X45)*$X$7-Q44*($X$7+$Z45)*($Y45-1)-SUM($B46:P46))+IF($Y45&gt;1,IF(INT(Q$6/$X45)&gt;0,$Z45-$AA45,0),-$AA45)</f>
        <v>0</v>
      </c>
      <c r="R46" s="603">
        <f>IF(INT(R$6/$X45)*$X$7&gt;R44*($X$7+$Z45)*$Y45,R44*($X$7+$Z45)-SUM($B46:Q46),INT(R$6/$X45)*$X$7-R44*($X$7+$Z45)*($Y45-1)-SUM($B46:Q46))+IF($Y45&gt;1,IF(INT(R$6/$X45)&gt;0,$Z45-$AA45,0),-$AA45)</f>
        <v>0</v>
      </c>
      <c r="S46" s="603">
        <f>IF(INT(S$6/$X45)*$X$7&gt;S44*($X$7+$Z45)*$Y45,S44*($X$7+$Z45)-SUM($B46:R46),INT(S$6/$X45)*$X$7-S44*($X$7+$Z45)*($Y45-1)-SUM($B46:R46))+IF($Y45&gt;1,IF(INT(S$6/$X45)&gt;0,$Z45-$AA45,0),-$AA45)</f>
        <v>0</v>
      </c>
      <c r="T46" s="603">
        <f>IF(INT(T$6/$X45)*$X$7&gt;T44*($X$7+$Z45)*$Y45,T44*($X$7+$Z45)-SUM($B46:S46),INT(T$6/$X45)*$X$7-T44*($X$7+$Z45)*($Y45-1)-SUM($B46:S46))+IF($Y45&gt;1,IF(INT(T$6/$X45)&gt;0,$Z45-$AA45,0),-$AA45)</f>
        <v>0</v>
      </c>
      <c r="U46" s="603">
        <f>IF(INT(U$6/$X45)*$X$7&gt;U44*($X$7+$Z45)*$Y45,U44*($X$7+$Z45)-SUM($B46:T46),INT(U$6/$X45)*$X$7-U44*($X$7+$Z45)*($Y45-1)-SUM($B46:T46))+IF($Y45&gt;1,IF(INT(U$6/$X45)&gt;0,$Z45-$AA45,0),-$AA45)</f>
        <v>0</v>
      </c>
      <c r="V46" s="603">
        <f>IF(INT(V$6/$X45)*$X$7&gt;V44*($X$7+$Z45)*$Y45,V44*($X$7+$Z45)-SUM($B46:U46),INT(V$6/$X45)*$X$7-V44*($X$7+$Z45)*($Y45-1)-SUM($B46:U46))+IF($Y45&gt;1,IF(INT(V$6/$X45)&gt;0,$Z45-$AA45,0),-$AA45)</f>
        <v>0</v>
      </c>
      <c r="W46" s="681"/>
      <c r="X46"/>
      <c r="Y46"/>
      <c r="Z46"/>
    </row>
    <row r="47" spans="1:28" s="102" customFormat="1">
      <c r="B47" s="615"/>
      <c r="C47" s="615"/>
      <c r="D47" s="615"/>
      <c r="E47" s="615"/>
      <c r="F47" s="615"/>
      <c r="G47" s="615"/>
      <c r="H47" s="615"/>
      <c r="I47" s="615"/>
      <c r="J47" s="615"/>
      <c r="K47" s="615"/>
      <c r="W47" s="663"/>
    </row>
    <row r="48" spans="1:28" s="102" customFormat="1" hidden="1">
      <c r="A48" s="140" t="s">
        <v>934</v>
      </c>
      <c r="B48" s="603"/>
      <c r="C48" s="140">
        <f t="shared" ref="C48:V48" si="15">INT((INT(C$6/$X49)*$X$7+$X$7+$Z49-1)/($X$7+$Z49)/$Y49)</f>
        <v>0</v>
      </c>
      <c r="D48" s="140">
        <f t="shared" si="15"/>
        <v>0</v>
      </c>
      <c r="E48" s="140">
        <f t="shared" si="15"/>
        <v>0</v>
      </c>
      <c r="F48" s="140">
        <f t="shared" si="15"/>
        <v>0</v>
      </c>
      <c r="G48" s="140">
        <f t="shared" si="15"/>
        <v>0</v>
      </c>
      <c r="H48" s="140">
        <f t="shared" si="15"/>
        <v>0</v>
      </c>
      <c r="I48" s="140">
        <f t="shared" si="15"/>
        <v>0</v>
      </c>
      <c r="J48" s="140">
        <f t="shared" si="15"/>
        <v>0</v>
      </c>
      <c r="K48" s="140">
        <f t="shared" si="15"/>
        <v>0</v>
      </c>
      <c r="L48" s="140">
        <f t="shared" si="15"/>
        <v>0</v>
      </c>
      <c r="M48" s="140">
        <f t="shared" si="15"/>
        <v>0</v>
      </c>
      <c r="N48" s="140">
        <f t="shared" si="15"/>
        <v>0</v>
      </c>
      <c r="O48" s="140">
        <f t="shared" si="15"/>
        <v>0</v>
      </c>
      <c r="P48" s="140">
        <f t="shared" si="15"/>
        <v>0</v>
      </c>
      <c r="Q48" s="140">
        <f t="shared" si="15"/>
        <v>0</v>
      </c>
      <c r="R48" s="140">
        <f t="shared" si="15"/>
        <v>0</v>
      </c>
      <c r="S48" s="140">
        <f t="shared" si="15"/>
        <v>0</v>
      </c>
      <c r="T48" s="140">
        <f t="shared" si="15"/>
        <v>0</v>
      </c>
      <c r="U48" s="140">
        <f t="shared" si="15"/>
        <v>0</v>
      </c>
      <c r="V48" s="140">
        <f t="shared" si="15"/>
        <v>0</v>
      </c>
    </row>
    <row r="49" spans="1:28" s="102" customFormat="1">
      <c r="A49" s="140" t="s">
        <v>935</v>
      </c>
      <c r="B49" s="603" t="s">
        <v>278</v>
      </c>
      <c r="C49" s="603">
        <f>IF($Y49=1,0,$X$7*(INT(C$6/$X49)-INT(B$6/$X49))-IF(SUM($B49:B49)&gt;0,C50,0))</f>
        <v>0</v>
      </c>
      <c r="D49" s="603">
        <f>IF($Y49=1,0,$X$7*(INT(D$6/$X49)-INT(C$6/$X49))-IF(SUM($B49:C49)&gt;0,D50,0))</f>
        <v>0</v>
      </c>
      <c r="E49" s="603">
        <f>IF($Y49=1,0,$X$7*(INT(E$6/$X49)-INT(D$6/$X49))-IF(SUM($B49:D49)&gt;0,E50,0))</f>
        <v>0</v>
      </c>
      <c r="F49" s="603">
        <f>IF($Y49=1,0,$X$7*(INT(F$6/$X49)-INT(E$6/$X49))-IF(SUM($B49:E49)&gt;0,F50,0))</f>
        <v>0</v>
      </c>
      <c r="G49" s="603">
        <f>IF($Y49=1,0,$X$7*(INT(G$6/$X49)-INT(F$6/$X49))-IF(SUM($B49:F49)&gt;0,G50,0))</f>
        <v>0</v>
      </c>
      <c r="H49" s="603">
        <f>IF($Y49=1,0,$X$7*(INT(H$6/$X49)-INT(G$6/$X49))-IF(SUM($B49:G49)&gt;0,H50,0))</f>
        <v>0</v>
      </c>
      <c r="I49" s="603">
        <f>IF($Y49=1,0,$X$7*(INT(I$6/$X49)-INT(H$6/$X49))-IF(SUM($B49:H49)&gt;0,I50,0))</f>
        <v>0</v>
      </c>
      <c r="J49" s="603">
        <f>IF($Y49=1,0,$X$7*(INT(J$6/$X49)-INT(I$6/$X49))-IF(SUM($B49:I49)&gt;0,J50,0))</f>
        <v>0</v>
      </c>
      <c r="K49" s="603">
        <f>IF($Y49=1,0,$X$7*(INT(K$6/$X49)-INT(J$6/$X49))-IF(SUM($B49:J49)&gt;0,K50,0))</f>
        <v>0</v>
      </c>
      <c r="L49" s="603">
        <f>IF($Y49=1,0,$X$7*(INT(L$6/$X49)-INT(K$6/$X49))-IF(SUM($B49:K49)&gt;0,L50,0))</f>
        <v>0</v>
      </c>
      <c r="M49" s="603">
        <f>IF($Y49=1,0,$X$7*(INT(M$6/$X49)-INT(L$6/$X49))-IF(SUM($B49:L49)&gt;0,M50,0))</f>
        <v>0</v>
      </c>
      <c r="N49" s="603">
        <f>IF($Y49=1,0,$X$7*(INT(N$6/$X49)-INT(M$6/$X49))-IF(SUM($B49:M49)&gt;0,N50,0))</f>
        <v>0</v>
      </c>
      <c r="O49" s="603">
        <f>IF($Y49=1,0,$X$7*(INT(O$6/$X49)-INT(N$6/$X49))-IF(SUM($B49:N49)&gt;0,O50,0))</f>
        <v>0</v>
      </c>
      <c r="P49" s="603">
        <f>IF($Y49=1,0,$X$7*(INT(P$6/$X49)-INT(O$6/$X49))-IF(SUM($B49:O49)&gt;0,P50,0))</f>
        <v>0</v>
      </c>
      <c r="Q49" s="603">
        <f>IF($Y49=1,0,$X$7*(INT(Q$6/$X49)-INT(P$6/$X49))-IF(SUM($B49:P49)&gt;0,Q50,0))</f>
        <v>0</v>
      </c>
      <c r="R49" s="603">
        <f>IF($Y49=1,0,$X$7*(INT(R$6/$X49)-INT(Q$6/$X49))-IF(SUM($B49:Q49)&gt;0,R50,0))</f>
        <v>0</v>
      </c>
      <c r="S49" s="603">
        <f>IF($Y49=1,0,$X$7*(INT(S$6/$X49)-INT(R$6/$X49))-IF(SUM($B49:R49)&gt;0,S50,0))</f>
        <v>0</v>
      </c>
      <c r="T49" s="603">
        <f>IF($Y49=1,0,$X$7*(INT(T$6/$X49)-INT(S$6/$X49))-IF(SUM($B49:S49)&gt;0,T50,0))</f>
        <v>0</v>
      </c>
      <c r="U49" s="603">
        <f>IF($Y49=1,0,$X$7*(INT(U$6/$X49)-INT(T$6/$X49))-IF(SUM($B49:T49)&gt;0,U50,0))</f>
        <v>0</v>
      </c>
      <c r="V49" s="603">
        <f>IF($Y49=1,0,$X$7*(INT(V$6/$X49)-INT(U$6/$X49))-IF(SUM($B49:U49)&gt;0,V50,0))</f>
        <v>0</v>
      </c>
      <c r="W49" s="678" t="str">
        <f xml:space="preserve"> 'GT schd cost(W501D5A)'!A22</f>
        <v>Row 4 Blades</v>
      </c>
      <c r="X49" s="678">
        <f>IF($AD$6=1,'GTDB(W501D5A)'!B25,'GTDB(W501D5A)'!G25)</f>
        <v>48000</v>
      </c>
      <c r="Y49" s="678">
        <f>IF($AD$6=1,'GTDB(W501D5A)'!C25,'GTDB(W501D5A)'!H25)</f>
        <v>2</v>
      </c>
      <c r="Z49" s="679">
        <v>1</v>
      </c>
      <c r="AA49" s="834">
        <f>'Initial_Spares(W501D5A)'!$E$19</f>
        <v>0</v>
      </c>
      <c r="AB49" s="642">
        <f>'GT schd cost(W501D5A)'!X22+'GT schd cost(W501D5A)'!X48</f>
        <v>0</v>
      </c>
    </row>
    <row r="50" spans="1:28" s="102" customFormat="1">
      <c r="A50" s="140" t="s">
        <v>936</v>
      </c>
      <c r="B50" s="603" t="s">
        <v>278</v>
      </c>
      <c r="C50" s="603">
        <f>IF(INT(C$6/$X49)*$X$7&gt;C48*($X$7+$Z49)*$Y49,C48*($X$7+$Z49)-SUM($B50:B50),INT(C$6/$X49)*$X$7-C48*($X$7+$Z49)*($Y49-1)-SUM($B50:B50))+IF($Y49&gt;1,IF(INT(C$6/$X49)&gt;0,$Z49-$AA49,0),-$AA49)</f>
        <v>0</v>
      </c>
      <c r="D50" s="603">
        <f>IF(INT(D$6/$X49)*$X$7&gt;D48*($X$7+$Z49)*$Y49,D48*($X$7+$Z49)-SUM($B50:C50),INT(D$6/$X49)*$X$7-D48*($X$7+$Z49)*($Y49-1)-SUM($B50:C50))+IF($Y49&gt;1,IF(INT(D$6/$X49)&gt;0,$Z49-$AA49,0),-$AA49)</f>
        <v>0</v>
      </c>
      <c r="E50" s="603">
        <f>IF(INT(E$6/$X49)*$X$7&gt;E48*($X$7+$Z49)*$Y49,E48*($X$7+$Z49)-SUM($B50:D50),INT(E$6/$X49)*$X$7-E48*($X$7+$Z49)*($Y49-1)-SUM($B50:D50))+IF($Y49&gt;1,IF(INT(E$6/$X49)&gt;0,$Z49-$AA49,0),-$AA49)</f>
        <v>0</v>
      </c>
      <c r="F50" s="603">
        <f>IF(INT(F$6/$X49)*$X$7&gt;F48*($X$7+$Z49)*$Y49,F48*($X$7+$Z49)-SUM($B50:E50),INT(F$6/$X49)*$X$7-F48*($X$7+$Z49)*($Y49-1)-SUM($B50:E50))+IF($Y49&gt;1,IF(INT(F$6/$X49)&gt;0,$Z49-$AA49,0),-$AA49)</f>
        <v>0</v>
      </c>
      <c r="G50" s="603">
        <f>IF(INT(G$6/$X49)*$X$7&gt;G48*($X$7+$Z49)*$Y49,G48*($X$7+$Z49)-SUM($B50:F50),INT(G$6/$X49)*$X$7-G48*($X$7+$Z49)*($Y49-1)-SUM($B50:F50))+IF($Y49&gt;1,IF(INT(G$6/$X49)&gt;0,$Z49-$AA49,0),-$AA49)</f>
        <v>0</v>
      </c>
      <c r="H50" s="603">
        <f>IF(INT(H$6/$X49)*$X$7&gt;H48*($X$7+$Z49)*$Y49,H48*($X$7+$Z49)-SUM($B50:G50),INT(H$6/$X49)*$X$7-H48*($X$7+$Z49)*($Y49-1)-SUM($B50:G50))+IF($Y49&gt;1,IF(INT(H$6/$X49)&gt;0,$Z49-$AA49,0),-$AA49)</f>
        <v>0</v>
      </c>
      <c r="I50" s="603">
        <f>IF(INT(I$6/$X49)*$X$7&gt;I48*($X$7+$Z49)*$Y49,I48*($X$7+$Z49)-SUM($B50:H50),INT(I$6/$X49)*$X$7-I48*($X$7+$Z49)*($Y49-1)-SUM($B50:H50))+IF($Y49&gt;1,IF(INT(I$6/$X49)&gt;0,$Z49-$AA49,0),-$AA49)</f>
        <v>0</v>
      </c>
      <c r="J50" s="603">
        <f>IF(INT(J$6/$X49)*$X$7&gt;J48*($X$7+$Z49)*$Y49,J48*($X$7+$Z49)-SUM($B50:I50),INT(J$6/$X49)*$X$7-J48*($X$7+$Z49)*($Y49-1)-SUM($B50:I50))+IF($Y49&gt;1,IF(INT(J$6/$X49)&gt;0,$Z49-$AA49,0),-$AA49)</f>
        <v>0</v>
      </c>
      <c r="K50" s="603">
        <f>IF(INT(K$6/$X49)*$X$7&gt;K48*($X$7+$Z49)*$Y49,K48*($X$7+$Z49)-SUM($B50:J50),INT(K$6/$X49)*$X$7-K48*($X$7+$Z49)*($Y49-1)-SUM($B50:J50))+IF($Y49&gt;1,IF(INT(K$6/$X49)&gt;0,$Z49-$AA49,0),-$AA49)</f>
        <v>0</v>
      </c>
      <c r="L50" s="603">
        <f>IF(INT(L$6/$X49)*$X$7&gt;L48*($X$7+$Z49)*$Y49,L48*($X$7+$Z49)-SUM($B50:K50),INT(L$6/$X49)*$X$7-L48*($X$7+$Z49)*($Y49-1)-SUM($B50:K50))+IF($Y49&gt;1,IF(INT(L$6/$X49)&gt;0,$Z49-$AA49,0),-$AA49)</f>
        <v>0</v>
      </c>
      <c r="M50" s="603">
        <f>IF(INT(M$6/$X49)*$X$7&gt;M48*($X$7+$Z49)*$Y49,M48*($X$7+$Z49)-SUM($B50:L50),INT(M$6/$X49)*$X$7-M48*($X$7+$Z49)*($Y49-1)-SUM($B50:L50))+IF($Y49&gt;1,IF(INT(M$6/$X49)&gt;0,$Z49-$AA49,0),-$AA49)</f>
        <v>0</v>
      </c>
      <c r="N50" s="603">
        <f>IF(INT(N$6/$X49)*$X$7&gt;N48*($X$7+$Z49)*$Y49,N48*($X$7+$Z49)-SUM($B50:M50),INT(N$6/$X49)*$X$7-N48*($X$7+$Z49)*($Y49-1)-SUM($B50:M50))+IF($Y49&gt;1,IF(INT(N$6/$X49)&gt;0,$Z49-$AA49,0),-$AA49)</f>
        <v>0</v>
      </c>
      <c r="O50" s="603">
        <f>IF(INT(O$6/$X49)*$X$7&gt;O48*($X$7+$Z49)*$Y49,O48*($X$7+$Z49)-SUM($B50:N50),INT(O$6/$X49)*$X$7-O48*($X$7+$Z49)*($Y49-1)-SUM($B50:N50))+IF($Y49&gt;1,IF(INT(O$6/$X49)&gt;0,$Z49-$AA49,0),-$AA49)</f>
        <v>0</v>
      </c>
      <c r="P50" s="603">
        <f>IF(INT(P$6/$X49)*$X$7&gt;P48*($X$7+$Z49)*$Y49,P48*($X$7+$Z49)-SUM($B50:O50),INT(P$6/$X49)*$X$7-P48*($X$7+$Z49)*($Y49-1)-SUM($B50:O50))+IF($Y49&gt;1,IF(INT(P$6/$X49)&gt;0,$Z49-$AA49,0),-$AA49)</f>
        <v>0</v>
      </c>
      <c r="Q50" s="603">
        <f>IF(INT(Q$6/$X49)*$X$7&gt;Q48*($X$7+$Z49)*$Y49,Q48*($X$7+$Z49)-SUM($B50:P50),INT(Q$6/$X49)*$X$7-Q48*($X$7+$Z49)*($Y49-1)-SUM($B50:P50))+IF($Y49&gt;1,IF(INT(Q$6/$X49)&gt;0,$Z49-$AA49,0),-$AA49)</f>
        <v>0</v>
      </c>
      <c r="R50" s="603">
        <f>IF(INT(R$6/$X49)*$X$7&gt;R48*($X$7+$Z49)*$Y49,R48*($X$7+$Z49)-SUM($B50:Q50),INT(R$6/$X49)*$X$7-R48*($X$7+$Z49)*($Y49-1)-SUM($B50:Q50))+IF($Y49&gt;1,IF(INT(R$6/$X49)&gt;0,$Z49-$AA49,0),-$AA49)</f>
        <v>0</v>
      </c>
      <c r="S50" s="603">
        <f>IF(INT(S$6/$X49)*$X$7&gt;S48*($X$7+$Z49)*$Y49,S48*($X$7+$Z49)-SUM($B50:R50),INT(S$6/$X49)*$X$7-S48*($X$7+$Z49)*($Y49-1)-SUM($B50:R50))+IF($Y49&gt;1,IF(INT(S$6/$X49)&gt;0,$Z49-$AA49,0),-$AA49)</f>
        <v>0</v>
      </c>
      <c r="T50" s="603">
        <f>IF(INT(T$6/$X49)*$X$7&gt;T48*($X$7+$Z49)*$Y49,T48*($X$7+$Z49)-SUM($B50:S50),INT(T$6/$X49)*$X$7-T48*($X$7+$Z49)*($Y49-1)-SUM($B50:S50))+IF($Y49&gt;1,IF(INT(T$6/$X49)&gt;0,$Z49-$AA49,0),-$AA49)</f>
        <v>0</v>
      </c>
      <c r="U50" s="603">
        <f>IF(INT(U$6/$X49)*$X$7&gt;U48*($X$7+$Z49)*$Y49,U48*($X$7+$Z49)-SUM($B50:T50),INT(U$6/$X49)*$X$7-U48*($X$7+$Z49)*($Y49-1)-SUM($B50:T50))+IF($Y49&gt;1,IF(INT(U$6/$X49)&gt;0,$Z49-$AA49,0),-$AA49)</f>
        <v>0</v>
      </c>
      <c r="V50" s="603">
        <f>IF(INT(V$6/$X49)*$X$7&gt;V48*($X$7+$Z49)*$Y49,V48*($X$7+$Z49)-SUM($B50:U50),INT(V$6/$X49)*$X$7-V48*($X$7+$Z49)*($Y49-1)-SUM($B50:U50))+IF($Y49&gt;1,IF(INT(V$6/$X49)&gt;0,$Z49-$AA49,0),-$AA49)</f>
        <v>0</v>
      </c>
      <c r="W50" s="681"/>
      <c r="X50"/>
      <c r="Y50"/>
      <c r="Z50"/>
    </row>
    <row r="51" spans="1:28" s="102" customFormat="1">
      <c r="C51" s="615"/>
      <c r="D51" s="615"/>
      <c r="E51" s="615"/>
      <c r="F51" s="615"/>
      <c r="G51" s="615"/>
      <c r="H51" s="615"/>
      <c r="I51" s="615"/>
      <c r="J51" s="615"/>
      <c r="K51" s="615"/>
      <c r="L51" s="615"/>
      <c r="M51" s="615"/>
      <c r="N51" s="615"/>
      <c r="O51" s="615"/>
      <c r="P51" s="615"/>
      <c r="Q51" s="615"/>
      <c r="R51" s="615"/>
      <c r="S51" s="615"/>
      <c r="T51" s="615"/>
      <c r="U51" s="615"/>
      <c r="V51" s="615"/>
      <c r="W51" s="663"/>
    </row>
    <row r="52" spans="1:28" s="102" customFormat="1" hidden="1">
      <c r="A52" s="140" t="s">
        <v>934</v>
      </c>
      <c r="B52" s="603"/>
      <c r="C52" s="140">
        <f t="shared" ref="C52:V52" si="16">INT((INT(C$6/$X53)*$X$7+$X$7+$Z53-1)/($X$7+$Z53)/$Y53)</f>
        <v>0</v>
      </c>
      <c r="D52" s="140">
        <f t="shared" si="16"/>
        <v>0</v>
      </c>
      <c r="E52" s="140">
        <f t="shared" si="16"/>
        <v>0</v>
      </c>
      <c r="F52" s="140">
        <f t="shared" si="16"/>
        <v>0</v>
      </c>
      <c r="G52" s="140">
        <f t="shared" si="16"/>
        <v>0</v>
      </c>
      <c r="H52" s="140">
        <f t="shared" si="16"/>
        <v>0</v>
      </c>
      <c r="I52" s="140">
        <f t="shared" si="16"/>
        <v>0</v>
      </c>
      <c r="J52" s="140">
        <f t="shared" si="16"/>
        <v>0</v>
      </c>
      <c r="K52" s="140">
        <f t="shared" si="16"/>
        <v>0</v>
      </c>
      <c r="L52" s="140">
        <f t="shared" si="16"/>
        <v>0</v>
      </c>
      <c r="M52" s="140">
        <f t="shared" si="16"/>
        <v>0</v>
      </c>
      <c r="N52" s="140">
        <f t="shared" si="16"/>
        <v>0</v>
      </c>
      <c r="O52" s="140">
        <f t="shared" si="16"/>
        <v>0</v>
      </c>
      <c r="P52" s="140">
        <f t="shared" si="16"/>
        <v>0</v>
      </c>
      <c r="Q52" s="140">
        <f t="shared" si="16"/>
        <v>0</v>
      </c>
      <c r="R52" s="140">
        <f t="shared" si="16"/>
        <v>0</v>
      </c>
      <c r="S52" s="140">
        <f t="shared" si="16"/>
        <v>0</v>
      </c>
      <c r="T52" s="140">
        <f t="shared" si="16"/>
        <v>0</v>
      </c>
      <c r="U52" s="140">
        <f t="shared" si="16"/>
        <v>0</v>
      </c>
      <c r="V52" s="140">
        <f t="shared" si="16"/>
        <v>0</v>
      </c>
    </row>
    <row r="53" spans="1:28" s="102" customFormat="1">
      <c r="A53" s="140" t="s">
        <v>935</v>
      </c>
      <c r="B53" s="603" t="s">
        <v>278</v>
      </c>
      <c r="C53" s="603">
        <f>IF($Y53=1,0,$X$7*(INT(C$6/$X53)-INT(B$6/$X53))-IF(SUM($B53:B53)&gt;0,C54,0))</f>
        <v>0</v>
      </c>
      <c r="D53" s="603">
        <f>IF($Y53=1,0,$X$7*(INT(D$6/$X53)-INT(C$6/$X53))-IF(SUM($B53:C53)&gt;0,D54,0))</f>
        <v>0</v>
      </c>
      <c r="E53" s="603">
        <f>IF($Y53=1,0,$X$7*(INT(E$6/$X53)-INT(D$6/$X53))-IF(SUM($B53:D53)&gt;0,E54,0))</f>
        <v>0</v>
      </c>
      <c r="F53" s="603">
        <f>IF($Y53=1,0,$X$7*(INT(F$6/$X53)-INT(E$6/$X53))-IF(SUM($B53:E53)&gt;0,F54,0))</f>
        <v>0</v>
      </c>
      <c r="G53" s="603">
        <f>IF($Y53=1,0,$X$7*(INT(G$6/$X53)-INT(F$6/$X53))-IF(SUM($B53:F53)&gt;0,G54,0))</f>
        <v>0</v>
      </c>
      <c r="H53" s="603">
        <f>IF($Y53=1,0,$X$7*(INT(H$6/$X53)-INT(G$6/$X53))-IF(SUM($B53:G53)&gt;0,H54,0))</f>
        <v>0</v>
      </c>
      <c r="I53" s="603">
        <f>IF($Y53=1,0,$X$7*(INT(I$6/$X53)-INT(H$6/$X53))-IF(SUM($B53:H53)&gt;0,I54,0))</f>
        <v>0</v>
      </c>
      <c r="J53" s="603">
        <f>IF($Y53=1,0,$X$7*(INT(J$6/$X53)-INT(I$6/$X53))-IF(SUM($B53:I53)&gt;0,J54,0))</f>
        <v>0</v>
      </c>
      <c r="K53" s="603">
        <f>IF($Y53=1,0,$X$7*(INT(K$6/$X53)-INT(J$6/$X53))-IF(SUM($B53:J53)&gt;0,K54,0))</f>
        <v>0</v>
      </c>
      <c r="L53" s="603">
        <f>IF($Y53=1,0,$X$7*(INT(L$6/$X53)-INT(K$6/$X53))-IF(SUM($B53:K53)&gt;0,L54,0))</f>
        <v>0</v>
      </c>
      <c r="M53" s="603">
        <f>IF($Y53=1,0,$X$7*(INT(M$6/$X53)-INT(L$6/$X53))-IF(SUM($B53:L53)&gt;0,M54,0))</f>
        <v>0</v>
      </c>
      <c r="N53" s="603">
        <f>IF($Y53=1,0,$X$7*(INT(N$6/$X53)-INT(M$6/$X53))-IF(SUM($B53:M53)&gt;0,N54,0))</f>
        <v>0</v>
      </c>
      <c r="O53" s="603">
        <f>IF($Y53=1,0,$X$7*(INT(O$6/$X53)-INT(N$6/$X53))-IF(SUM($B53:N53)&gt;0,O54,0))</f>
        <v>0</v>
      </c>
      <c r="P53" s="603">
        <f>IF($Y53=1,0,$X$7*(INT(P$6/$X53)-INT(O$6/$X53))-IF(SUM($B53:O53)&gt;0,P54,0))</f>
        <v>0</v>
      </c>
      <c r="Q53" s="603">
        <f>IF($Y53=1,0,$X$7*(INT(Q$6/$X53)-INT(P$6/$X53))-IF(SUM($B53:P53)&gt;0,Q54,0))</f>
        <v>0</v>
      </c>
      <c r="R53" s="603">
        <f>IF($Y53=1,0,$X$7*(INT(R$6/$X53)-INT(Q$6/$X53))-IF(SUM($B53:Q53)&gt;0,R54,0))</f>
        <v>0</v>
      </c>
      <c r="S53" s="603">
        <f>IF($Y53=1,0,$X$7*(INT(S$6/$X53)-INT(R$6/$X53))-IF(SUM($B53:R53)&gt;0,S54,0))</f>
        <v>0</v>
      </c>
      <c r="T53" s="603">
        <f>IF($Y53=1,0,$X$7*(INT(T$6/$X53)-INT(S$6/$X53))-IF(SUM($B53:S53)&gt;0,T54,0))</f>
        <v>0</v>
      </c>
      <c r="U53" s="603">
        <f>IF($Y53=1,0,$X$7*(INT(U$6/$X53)-INT(T$6/$X53))-IF(SUM($B53:T53)&gt;0,U54,0))</f>
        <v>0</v>
      </c>
      <c r="V53" s="603">
        <f>IF($Y53=1,0,$X$7*(INT(V$6/$X53)-INT(U$6/$X53))-IF(SUM($B53:U53)&gt;0,V54,0))</f>
        <v>0</v>
      </c>
      <c r="W53" s="678" t="str">
        <f xml:space="preserve"> 'GT schd cost(W501D5A)'!A23</f>
        <v xml:space="preserve">Row 1 Vanes </v>
      </c>
      <c r="X53" s="678">
        <f>IF($AD$6=1,'GTDB(W501D5A)'!B26,'GTDB(W501D5A)'!G26)</f>
        <v>24000</v>
      </c>
      <c r="Y53" s="678">
        <f>IF($AD$6=1,'GTDB(W501D5A)'!C26,'GTDB(W501D5A)'!H26)</f>
        <v>2</v>
      </c>
      <c r="Z53" s="679">
        <v>1</v>
      </c>
      <c r="AA53" s="834">
        <f>'Initial_Spares(W501D5A)'!$E$20</f>
        <v>0</v>
      </c>
      <c r="AB53" s="642">
        <f>'GT schd cost(W501D5A)'!X23+'GT schd cost(W501D5A)'!X49</f>
        <v>0</v>
      </c>
    </row>
    <row r="54" spans="1:28" s="102" customFormat="1">
      <c r="A54" s="140" t="s">
        <v>936</v>
      </c>
      <c r="B54" s="603" t="s">
        <v>278</v>
      </c>
      <c r="C54" s="603">
        <f>IF(INT(C$6/$X53)*$X$7&gt;C52*($X$7+$Z53)*$Y53,C52*($X$7+$Z53)-SUM($B54:B54),INT(C$6/$X53)*$X$7-C52*($X$7+$Z53)*($Y53-1)-SUM($B54:B54))+IF($Y53&gt;1,IF(INT(C$6/$X53)&gt;0,$Z53-$AA53,0),-$AA53)</f>
        <v>0</v>
      </c>
      <c r="D54" s="603">
        <f>IF(INT(D$6/$X53)*$X$7&gt;D52*($X$7+$Z53)*$Y53,D52*($X$7+$Z53)-SUM($B54:C54),INT(D$6/$X53)*$X$7-D52*($X$7+$Z53)*($Y53-1)-SUM($B54:C54))+IF($Y53&gt;1,IF(INT(D$6/$X53)&gt;0,$Z53-$AA53,0),-$AA53)</f>
        <v>0</v>
      </c>
      <c r="E54" s="603">
        <f>IF(INT(E$6/$X53)*$X$7&gt;E52*($X$7+$Z53)*$Y53,E52*($X$7+$Z53)-SUM($B54:D54),INT(E$6/$X53)*$X$7-E52*($X$7+$Z53)*($Y53-1)-SUM($B54:D54))+IF($Y53&gt;1,IF(INT(E$6/$X53)&gt;0,$Z53-$AA53,0),-$AA53)</f>
        <v>0</v>
      </c>
      <c r="F54" s="603">
        <f>IF(INT(F$6/$X53)*$X$7&gt;F52*($X$7+$Z53)*$Y53,F52*($X$7+$Z53)-SUM($B54:E54),INT(F$6/$X53)*$X$7-F52*($X$7+$Z53)*($Y53-1)-SUM($B54:E54))+IF($Y53&gt;1,IF(INT(F$6/$X53)&gt;0,$Z53-$AA53,0),-$AA53)</f>
        <v>0</v>
      </c>
      <c r="G54" s="603">
        <f>IF(INT(G$6/$X53)*$X$7&gt;G52*($X$7+$Z53)*$Y53,G52*($X$7+$Z53)-SUM($B54:F54),INT(G$6/$X53)*$X$7-G52*($X$7+$Z53)*($Y53-1)-SUM($B54:F54))+IF($Y53&gt;1,IF(INT(G$6/$X53)&gt;0,$Z53-$AA53,0),-$AA53)</f>
        <v>0</v>
      </c>
      <c r="H54" s="603">
        <f>IF(INT(H$6/$X53)*$X$7&gt;H52*($X$7+$Z53)*$Y53,H52*($X$7+$Z53)-SUM($B54:G54),INT(H$6/$X53)*$X$7-H52*($X$7+$Z53)*($Y53-1)-SUM($B54:G54))+IF($Y53&gt;1,IF(INT(H$6/$X53)&gt;0,$Z53-$AA53,0),-$AA53)</f>
        <v>0</v>
      </c>
      <c r="I54" s="603">
        <f>IF(INT(I$6/$X53)*$X$7&gt;I52*($X$7+$Z53)*$Y53,I52*($X$7+$Z53)-SUM($B54:H54),INT(I$6/$X53)*$X$7-I52*($X$7+$Z53)*($Y53-1)-SUM($B54:H54))+IF($Y53&gt;1,IF(INT(I$6/$X53)&gt;0,$Z53-$AA53,0),-$AA53)</f>
        <v>0</v>
      </c>
      <c r="J54" s="603">
        <f>IF(INT(J$6/$X53)*$X$7&gt;J52*($X$7+$Z53)*$Y53,J52*($X$7+$Z53)-SUM($B54:I54),INT(J$6/$X53)*$X$7-J52*($X$7+$Z53)*($Y53-1)-SUM($B54:I54))+IF($Y53&gt;1,IF(INT(J$6/$X53)&gt;0,$Z53-$AA53,0),-$AA53)</f>
        <v>0</v>
      </c>
      <c r="K54" s="603">
        <f>IF(INT(K$6/$X53)*$X$7&gt;K52*($X$7+$Z53)*$Y53,K52*($X$7+$Z53)-SUM($B54:J54),INT(K$6/$X53)*$X$7-K52*($X$7+$Z53)*($Y53-1)-SUM($B54:J54))+IF($Y53&gt;1,IF(INT(K$6/$X53)&gt;0,$Z53-$AA53,0),-$AA53)</f>
        <v>0</v>
      </c>
      <c r="L54" s="603">
        <f>IF(INT(L$6/$X53)*$X$7&gt;L52*($X$7+$Z53)*$Y53,L52*($X$7+$Z53)-SUM($B54:K54),INT(L$6/$X53)*$X$7-L52*($X$7+$Z53)*($Y53-1)-SUM($B54:K54))+IF($Y53&gt;1,IF(INT(L$6/$X53)&gt;0,$Z53-$AA53,0),-$AA53)</f>
        <v>0</v>
      </c>
      <c r="M54" s="603">
        <f>IF(INT(M$6/$X53)*$X$7&gt;M52*($X$7+$Z53)*$Y53,M52*($X$7+$Z53)-SUM($B54:L54),INT(M$6/$X53)*$X$7-M52*($X$7+$Z53)*($Y53-1)-SUM($B54:L54))+IF($Y53&gt;1,IF(INT(M$6/$X53)&gt;0,$Z53-$AA53,0),-$AA53)</f>
        <v>0</v>
      </c>
      <c r="N54" s="603">
        <f>IF(INT(N$6/$X53)*$X$7&gt;N52*($X$7+$Z53)*$Y53,N52*($X$7+$Z53)-SUM($B54:M54),INT(N$6/$X53)*$X$7-N52*($X$7+$Z53)*($Y53-1)-SUM($B54:M54))+IF($Y53&gt;1,IF(INT(N$6/$X53)&gt;0,$Z53-$AA53,0),-$AA53)</f>
        <v>0</v>
      </c>
      <c r="O54" s="603">
        <f>IF(INT(O$6/$X53)*$X$7&gt;O52*($X$7+$Z53)*$Y53,O52*($X$7+$Z53)-SUM($B54:N54),INT(O$6/$X53)*$X$7-O52*($X$7+$Z53)*($Y53-1)-SUM($B54:N54))+IF($Y53&gt;1,IF(INT(O$6/$X53)&gt;0,$Z53-$AA53,0),-$AA53)</f>
        <v>0</v>
      </c>
      <c r="P54" s="603">
        <f>IF(INT(P$6/$X53)*$X$7&gt;P52*($X$7+$Z53)*$Y53,P52*($X$7+$Z53)-SUM($B54:O54),INT(P$6/$X53)*$X$7-P52*($X$7+$Z53)*($Y53-1)-SUM($B54:O54))+IF($Y53&gt;1,IF(INT(P$6/$X53)&gt;0,$Z53-$AA53,0),-$AA53)</f>
        <v>0</v>
      </c>
      <c r="Q54" s="603">
        <f>IF(INT(Q$6/$X53)*$X$7&gt;Q52*($X$7+$Z53)*$Y53,Q52*($X$7+$Z53)-SUM($B54:P54),INT(Q$6/$X53)*$X$7-Q52*($X$7+$Z53)*($Y53-1)-SUM($B54:P54))+IF($Y53&gt;1,IF(INT(Q$6/$X53)&gt;0,$Z53-$AA53,0),-$AA53)</f>
        <v>0</v>
      </c>
      <c r="R54" s="603">
        <f>IF(INT(R$6/$X53)*$X$7&gt;R52*($X$7+$Z53)*$Y53,R52*($X$7+$Z53)-SUM($B54:Q54),INT(R$6/$X53)*$X$7-R52*($X$7+$Z53)*($Y53-1)-SUM($B54:Q54))+IF($Y53&gt;1,IF(INT(R$6/$X53)&gt;0,$Z53-$AA53,0),-$AA53)</f>
        <v>0</v>
      </c>
      <c r="S54" s="603">
        <f>IF(INT(S$6/$X53)*$X$7&gt;S52*($X$7+$Z53)*$Y53,S52*($X$7+$Z53)-SUM($B54:R54),INT(S$6/$X53)*$X$7-S52*($X$7+$Z53)*($Y53-1)-SUM($B54:R54))+IF($Y53&gt;1,IF(INT(S$6/$X53)&gt;0,$Z53-$AA53,0),-$AA53)</f>
        <v>0</v>
      </c>
      <c r="T54" s="603">
        <f>IF(INT(T$6/$X53)*$X$7&gt;T52*($X$7+$Z53)*$Y53,T52*($X$7+$Z53)-SUM($B54:S54),INT(T$6/$X53)*$X$7-T52*($X$7+$Z53)*($Y53-1)-SUM($B54:S54))+IF($Y53&gt;1,IF(INT(T$6/$X53)&gt;0,$Z53-$AA53,0),-$AA53)</f>
        <v>0</v>
      </c>
      <c r="U54" s="603">
        <f>IF(INT(U$6/$X53)*$X$7&gt;U52*($X$7+$Z53)*$Y53,U52*($X$7+$Z53)-SUM($B54:T54),INT(U$6/$X53)*$X$7-U52*($X$7+$Z53)*($Y53-1)-SUM($B54:T54))+IF($Y53&gt;1,IF(INT(U$6/$X53)&gt;0,$Z53-$AA53,0),-$AA53)</f>
        <v>0</v>
      </c>
      <c r="V54" s="603">
        <f>IF(INT(V$6/$X53)*$X$7&gt;V52*($X$7+$Z53)*$Y53,V52*($X$7+$Z53)-SUM($B54:U54),INT(V$6/$X53)*$X$7-V52*($X$7+$Z53)*($Y53-1)-SUM($B54:U54))+IF($Y53&gt;1,IF(INT(V$6/$X53)&gt;0,$Z53-$AA53,0),-$AA53)</f>
        <v>0</v>
      </c>
      <c r="W54" s="681"/>
      <c r="X54"/>
      <c r="Y54"/>
      <c r="Z54"/>
    </row>
    <row r="55" spans="1:28" s="102" customFormat="1">
      <c r="W55" s="668"/>
    </row>
    <row r="56" spans="1:28" s="102" customFormat="1" hidden="1">
      <c r="A56" s="140" t="s">
        <v>934</v>
      </c>
      <c r="B56" s="603"/>
      <c r="C56" s="140">
        <f t="shared" ref="C56:V56" si="17">INT((INT(C$6/$X57)*$X$7+$X$7+$Z57-1)/($X$7+$Z57)/$Y57)</f>
        <v>0</v>
      </c>
      <c r="D56" s="140">
        <f t="shared" si="17"/>
        <v>0</v>
      </c>
      <c r="E56" s="140">
        <f t="shared" si="17"/>
        <v>0</v>
      </c>
      <c r="F56" s="140">
        <f t="shared" si="17"/>
        <v>0</v>
      </c>
      <c r="G56" s="140">
        <f t="shared" si="17"/>
        <v>0</v>
      </c>
      <c r="H56" s="140">
        <f t="shared" si="17"/>
        <v>0</v>
      </c>
      <c r="I56" s="140">
        <f t="shared" si="17"/>
        <v>0</v>
      </c>
      <c r="J56" s="140">
        <f t="shared" si="17"/>
        <v>0</v>
      </c>
      <c r="K56" s="140">
        <f t="shared" si="17"/>
        <v>0</v>
      </c>
      <c r="L56" s="140">
        <f t="shared" si="17"/>
        <v>0</v>
      </c>
      <c r="M56" s="140">
        <f t="shared" si="17"/>
        <v>0</v>
      </c>
      <c r="N56" s="140">
        <f t="shared" si="17"/>
        <v>0</v>
      </c>
      <c r="O56" s="140">
        <f t="shared" si="17"/>
        <v>0</v>
      </c>
      <c r="P56" s="140">
        <f t="shared" si="17"/>
        <v>0</v>
      </c>
      <c r="Q56" s="140">
        <f t="shared" si="17"/>
        <v>0</v>
      </c>
      <c r="R56" s="140">
        <f t="shared" si="17"/>
        <v>0</v>
      </c>
      <c r="S56" s="140">
        <f t="shared" si="17"/>
        <v>0</v>
      </c>
      <c r="T56" s="140">
        <f t="shared" si="17"/>
        <v>0</v>
      </c>
      <c r="U56" s="140">
        <f t="shared" si="17"/>
        <v>0</v>
      </c>
      <c r="V56" s="140">
        <f t="shared" si="17"/>
        <v>0</v>
      </c>
    </row>
    <row r="57" spans="1:28" s="102" customFormat="1">
      <c r="A57" s="140" t="s">
        <v>935</v>
      </c>
      <c r="B57" s="603" t="s">
        <v>278</v>
      </c>
      <c r="C57" s="603">
        <f>IF($Y57=1,0,$X$7*(INT(C$6/$X57)-INT(B$6/$X57))-IF(SUM($B57:B57)&gt;0,C58,0))</f>
        <v>0</v>
      </c>
      <c r="D57" s="603">
        <f>IF($Y57=1,0,$X$7*(INT(D$6/$X57)-INT(C$6/$X57))-IF(SUM($B57:C57)&gt;0,D58,0))</f>
        <v>0</v>
      </c>
      <c r="E57" s="603">
        <f>IF($Y57=1,0,$X$7*(INT(E$6/$X57)-INT(D$6/$X57))-IF(SUM($B57:D57)&gt;0,E58,0))</f>
        <v>0</v>
      </c>
      <c r="F57" s="603">
        <f>IF($Y57=1,0,$X$7*(INT(F$6/$X57)-INT(E$6/$X57))-IF(SUM($B57:E57)&gt;0,F58,0))</f>
        <v>0</v>
      </c>
      <c r="G57" s="603">
        <f>IF($Y57=1,0,$X$7*(INT(G$6/$X57)-INT(F$6/$X57))-IF(SUM($B57:F57)&gt;0,G58,0))</f>
        <v>0</v>
      </c>
      <c r="H57" s="603">
        <f>IF($Y57=1,0,$X$7*(INT(H$6/$X57)-INT(G$6/$X57))-IF(SUM($B57:G57)&gt;0,H58,0))</f>
        <v>0</v>
      </c>
      <c r="I57" s="603">
        <f>IF($Y57=1,0,$X$7*(INT(I$6/$X57)-INT(H$6/$X57))-IF(SUM($B57:H57)&gt;0,I58,0))</f>
        <v>0</v>
      </c>
      <c r="J57" s="603">
        <f>IF($Y57=1,0,$X$7*(INT(J$6/$X57)-INT(I$6/$X57))-IF(SUM($B57:I57)&gt;0,J58,0))</f>
        <v>0</v>
      </c>
      <c r="K57" s="603">
        <f>IF($Y57=1,0,$X$7*(INT(K$6/$X57)-INT(J$6/$X57))-IF(SUM($B57:J57)&gt;0,K58,0))</f>
        <v>0</v>
      </c>
      <c r="L57" s="603">
        <f>IF($Y57=1,0,$X$7*(INT(L$6/$X57)-INT(K$6/$X57))-IF(SUM($B57:K57)&gt;0,L58,0))</f>
        <v>0</v>
      </c>
      <c r="M57" s="603">
        <f>IF($Y57=1,0,$X$7*(INT(M$6/$X57)-INT(L$6/$X57))-IF(SUM($B57:L57)&gt;0,M58,0))</f>
        <v>0</v>
      </c>
      <c r="N57" s="603">
        <f>IF($Y57=1,0,$X$7*(INT(N$6/$X57)-INT(M$6/$X57))-IF(SUM($B57:M57)&gt;0,N58,0))</f>
        <v>0</v>
      </c>
      <c r="O57" s="603">
        <f>IF($Y57=1,0,$X$7*(INT(O$6/$X57)-INT(N$6/$X57))-IF(SUM($B57:N57)&gt;0,O58,0))</f>
        <v>0</v>
      </c>
      <c r="P57" s="603">
        <f>IF($Y57=1,0,$X$7*(INT(P$6/$X57)-INT(O$6/$X57))-IF(SUM($B57:O57)&gt;0,P58,0))</f>
        <v>0</v>
      </c>
      <c r="Q57" s="603">
        <f>IF($Y57=1,0,$X$7*(INT(Q$6/$X57)-INT(P$6/$X57))-IF(SUM($B57:P57)&gt;0,Q58,0))</f>
        <v>0</v>
      </c>
      <c r="R57" s="603">
        <f>IF($Y57=1,0,$X$7*(INT(R$6/$X57)-INT(Q$6/$X57))-IF(SUM($B57:Q57)&gt;0,R58,0))</f>
        <v>0</v>
      </c>
      <c r="S57" s="603">
        <f>IF($Y57=1,0,$X$7*(INT(S$6/$X57)-INT(R$6/$X57))-IF(SUM($B57:R57)&gt;0,S58,0))</f>
        <v>0</v>
      </c>
      <c r="T57" s="603">
        <f>IF($Y57=1,0,$X$7*(INT(T$6/$X57)-INT(S$6/$X57))-IF(SUM($B57:S57)&gt;0,T58,0))</f>
        <v>0</v>
      </c>
      <c r="U57" s="603">
        <f>IF($Y57=1,0,$X$7*(INT(U$6/$X57)-INT(T$6/$X57))-IF(SUM($B57:T57)&gt;0,U58,0))</f>
        <v>0</v>
      </c>
      <c r="V57" s="603">
        <f>IF($Y57=1,0,$X$7*(INT(V$6/$X57)-INT(U$6/$X57))-IF(SUM($B57:U57)&gt;0,V58,0))</f>
        <v>0</v>
      </c>
      <c r="W57" s="678" t="str">
        <f xml:space="preserve"> 'GT schd cost(W501D5A)'!A24</f>
        <v>Row 2 Vanes</v>
      </c>
      <c r="X57" s="678">
        <f>IF($AD$6=1,'GTDB(W501D5A)'!B27,'GTDB(W501D5A)'!G27)</f>
        <v>24000</v>
      </c>
      <c r="Y57" s="678">
        <f>IF($AD$6=1,'GTDB(W501D5A)'!C27,'GTDB(W501D5A)'!H27)</f>
        <v>3</v>
      </c>
      <c r="Z57" s="679">
        <v>1</v>
      </c>
      <c r="AA57" s="834">
        <f>'Initial_Spares(W501D5A)'!$E$21</f>
        <v>0</v>
      </c>
      <c r="AB57" s="642">
        <f>'GT schd cost(W501D5A)'!X24+'GT schd cost(W501D5A)'!X50</f>
        <v>0</v>
      </c>
    </row>
    <row r="58" spans="1:28" s="102" customFormat="1">
      <c r="A58" s="140" t="s">
        <v>936</v>
      </c>
      <c r="B58" s="603" t="s">
        <v>278</v>
      </c>
      <c r="C58" s="603">
        <f>IF(INT(C$6/$X57)*$X$7&gt;C56*($X$7+$Z57)*$Y57,C56*($X$7+$Z57)-SUM($B58:B58),INT(C$6/$X57)*$X$7-C56*($X$7+$Z57)*($Y57-1)-SUM($B58:B58))+IF($Y57&gt;1,IF(INT(C$6/$X57)&gt;0,$Z57-$AA57,0),-$AA57)</f>
        <v>0</v>
      </c>
      <c r="D58" s="603">
        <f>IF(INT(D$6/$X57)*$X$7&gt;D56*($X$7+$Z57)*$Y57,D56*($X$7+$Z57)-SUM($B58:C58),INT(D$6/$X57)*$X$7-D56*($X$7+$Z57)*($Y57-1)-SUM($B58:C58))+IF($Y57&gt;1,IF(INT(D$6/$X57)&gt;0,$Z57-$AA57,0),-$AA57)</f>
        <v>0</v>
      </c>
      <c r="E58" s="603">
        <f>IF(INT(E$6/$X57)*$X$7&gt;E56*($X$7+$Z57)*$Y57,E56*($X$7+$Z57)-SUM($B58:D58),INT(E$6/$X57)*$X$7-E56*($X$7+$Z57)*($Y57-1)-SUM($B58:D58))+IF($Y57&gt;1,IF(INT(E$6/$X57)&gt;0,$Z57-$AA57,0),-$AA57)</f>
        <v>0</v>
      </c>
      <c r="F58" s="603">
        <f>IF(INT(F$6/$X57)*$X$7&gt;F56*($X$7+$Z57)*$Y57,F56*($X$7+$Z57)-SUM($B58:E58),INT(F$6/$X57)*$X$7-F56*($X$7+$Z57)*($Y57-1)-SUM($B58:E58))+IF($Y57&gt;1,IF(INT(F$6/$X57)&gt;0,$Z57-$AA57,0),-$AA57)</f>
        <v>0</v>
      </c>
      <c r="G58" s="603">
        <f>IF(INT(G$6/$X57)*$X$7&gt;G56*($X$7+$Z57)*$Y57,G56*($X$7+$Z57)-SUM($B58:F58),INT(G$6/$X57)*$X$7-G56*($X$7+$Z57)*($Y57-1)-SUM($B58:F58))+IF($Y57&gt;1,IF(INT(G$6/$X57)&gt;0,$Z57-$AA57,0),-$AA57)</f>
        <v>0</v>
      </c>
      <c r="H58" s="603">
        <f>IF(INT(H$6/$X57)*$X$7&gt;H56*($X$7+$Z57)*$Y57,H56*($X$7+$Z57)-SUM($B58:G58),INT(H$6/$X57)*$X$7-H56*($X$7+$Z57)*($Y57-1)-SUM($B58:G58))+IF($Y57&gt;1,IF(INT(H$6/$X57)&gt;0,$Z57-$AA57,0),-$AA57)</f>
        <v>0</v>
      </c>
      <c r="I58" s="603">
        <f>IF(INT(I$6/$X57)*$X$7&gt;I56*($X$7+$Z57)*$Y57,I56*($X$7+$Z57)-SUM($B58:H58),INT(I$6/$X57)*$X$7-I56*($X$7+$Z57)*($Y57-1)-SUM($B58:H58))+IF($Y57&gt;1,IF(INT(I$6/$X57)&gt;0,$Z57-$AA57,0),-$AA57)</f>
        <v>0</v>
      </c>
      <c r="J58" s="603">
        <f>IF(INT(J$6/$X57)*$X$7&gt;J56*($X$7+$Z57)*$Y57,J56*($X$7+$Z57)-SUM($B58:I58),INT(J$6/$X57)*$X$7-J56*($X$7+$Z57)*($Y57-1)-SUM($B58:I58))+IF($Y57&gt;1,IF(INT(J$6/$X57)&gt;0,$Z57-$AA57,0),-$AA57)</f>
        <v>0</v>
      </c>
      <c r="K58" s="603">
        <f>IF(INT(K$6/$X57)*$X$7&gt;K56*($X$7+$Z57)*$Y57,K56*($X$7+$Z57)-SUM($B58:J58),INT(K$6/$X57)*$X$7-K56*($X$7+$Z57)*($Y57-1)-SUM($B58:J58))+IF($Y57&gt;1,IF(INT(K$6/$X57)&gt;0,$Z57-$AA57,0),-$AA57)</f>
        <v>0</v>
      </c>
      <c r="L58" s="603">
        <f>IF(INT(L$6/$X57)*$X$7&gt;L56*($X$7+$Z57)*$Y57,L56*($X$7+$Z57)-SUM($B58:K58),INT(L$6/$X57)*$X$7-L56*($X$7+$Z57)*($Y57-1)-SUM($B58:K58))+IF($Y57&gt;1,IF(INT(L$6/$X57)&gt;0,$Z57-$AA57,0),-$AA57)</f>
        <v>0</v>
      </c>
      <c r="M58" s="603">
        <f>IF(INT(M$6/$X57)*$X$7&gt;M56*($X$7+$Z57)*$Y57,M56*($X$7+$Z57)-SUM($B58:L58),INT(M$6/$X57)*$X$7-M56*($X$7+$Z57)*($Y57-1)-SUM($B58:L58))+IF($Y57&gt;1,IF(INT(M$6/$X57)&gt;0,$Z57-$AA57,0),-$AA57)</f>
        <v>0</v>
      </c>
      <c r="N58" s="603">
        <f>IF(INT(N$6/$X57)*$X$7&gt;N56*($X$7+$Z57)*$Y57,N56*($X$7+$Z57)-SUM($B58:M58),INT(N$6/$X57)*$X$7-N56*($X$7+$Z57)*($Y57-1)-SUM($B58:M58))+IF($Y57&gt;1,IF(INT(N$6/$X57)&gt;0,$Z57-$AA57,0),-$AA57)</f>
        <v>0</v>
      </c>
      <c r="O58" s="603">
        <f>IF(INT(O$6/$X57)*$X$7&gt;O56*($X$7+$Z57)*$Y57,O56*($X$7+$Z57)-SUM($B58:N58),INT(O$6/$X57)*$X$7-O56*($X$7+$Z57)*($Y57-1)-SUM($B58:N58))+IF($Y57&gt;1,IF(INT(O$6/$X57)&gt;0,$Z57-$AA57,0),-$AA57)</f>
        <v>0</v>
      </c>
      <c r="P58" s="603">
        <f>IF(INT(P$6/$X57)*$X$7&gt;P56*($X$7+$Z57)*$Y57,P56*($X$7+$Z57)-SUM($B58:O58),INT(P$6/$X57)*$X$7-P56*($X$7+$Z57)*($Y57-1)-SUM($B58:O58))+IF($Y57&gt;1,IF(INT(P$6/$X57)&gt;0,$Z57-$AA57,0),-$AA57)</f>
        <v>0</v>
      </c>
      <c r="Q58" s="603">
        <f>IF(INT(Q$6/$X57)*$X$7&gt;Q56*($X$7+$Z57)*$Y57,Q56*($X$7+$Z57)-SUM($B58:P58),INT(Q$6/$X57)*$X$7-Q56*($X$7+$Z57)*($Y57-1)-SUM($B58:P58))+IF($Y57&gt;1,IF(INT(Q$6/$X57)&gt;0,$Z57-$AA57,0),-$AA57)</f>
        <v>0</v>
      </c>
      <c r="R58" s="603">
        <f>IF(INT(R$6/$X57)*$X$7&gt;R56*($X$7+$Z57)*$Y57,R56*($X$7+$Z57)-SUM($B58:Q58),INT(R$6/$X57)*$X$7-R56*($X$7+$Z57)*($Y57-1)-SUM($B58:Q58))+IF($Y57&gt;1,IF(INT(R$6/$X57)&gt;0,$Z57-$AA57,0),-$AA57)</f>
        <v>0</v>
      </c>
      <c r="S58" s="603">
        <f>IF(INT(S$6/$X57)*$X$7&gt;S56*($X$7+$Z57)*$Y57,S56*($X$7+$Z57)-SUM($B58:R58),INT(S$6/$X57)*$X$7-S56*($X$7+$Z57)*($Y57-1)-SUM($B58:R58))+IF($Y57&gt;1,IF(INT(S$6/$X57)&gt;0,$Z57-$AA57,0),-$AA57)</f>
        <v>0</v>
      </c>
      <c r="T58" s="603">
        <f>IF(INT(T$6/$X57)*$X$7&gt;T56*($X$7+$Z57)*$Y57,T56*($X$7+$Z57)-SUM($B58:S58),INT(T$6/$X57)*$X$7-T56*($X$7+$Z57)*($Y57-1)-SUM($B58:S58))+IF($Y57&gt;1,IF(INT(T$6/$X57)&gt;0,$Z57-$AA57,0),-$AA57)</f>
        <v>0</v>
      </c>
      <c r="U58" s="603">
        <f>IF(INT(U$6/$X57)*$X$7&gt;U56*($X$7+$Z57)*$Y57,U56*($X$7+$Z57)-SUM($B58:T58),INT(U$6/$X57)*$X$7-U56*($X$7+$Z57)*($Y57-1)-SUM($B58:T58))+IF($Y57&gt;1,IF(INT(U$6/$X57)&gt;0,$Z57-$AA57,0),-$AA57)</f>
        <v>0</v>
      </c>
      <c r="V58" s="603">
        <f>IF(INT(V$6/$X57)*$X$7&gt;V56*($X$7+$Z57)*$Y57,V56*($X$7+$Z57)-SUM($B58:U58),INT(V$6/$X57)*$X$7-V56*($X$7+$Z57)*($Y57-1)-SUM($B58:U58))+IF($Y57&gt;1,IF(INT(V$6/$X57)&gt;0,$Z57-$AA57,0),-$AA57)</f>
        <v>0</v>
      </c>
      <c r="W58" s="681"/>
      <c r="X58"/>
      <c r="Y58"/>
      <c r="Z58"/>
    </row>
    <row r="59" spans="1:28" s="102" customFormat="1">
      <c r="B59" s="615"/>
      <c r="C59" s="615"/>
      <c r="D59" s="615"/>
      <c r="E59" s="615"/>
      <c r="F59" s="615"/>
      <c r="G59" s="615"/>
      <c r="H59" s="615"/>
      <c r="I59" s="615"/>
      <c r="J59" s="615"/>
      <c r="K59" s="615"/>
      <c r="W59" s="663"/>
    </row>
    <row r="60" spans="1:28" s="102" customFormat="1" hidden="1">
      <c r="A60" s="140" t="s">
        <v>934</v>
      </c>
      <c r="B60" s="603"/>
      <c r="C60" s="140">
        <f t="shared" ref="C60:V60" si="18">INT((INT(C$6/$X61)*$X$7+$X$7+$Z61-1)/($X$7+$Z61)/$Y61)</f>
        <v>0</v>
      </c>
      <c r="D60" s="140">
        <f t="shared" si="18"/>
        <v>0</v>
      </c>
      <c r="E60" s="140">
        <f t="shared" si="18"/>
        <v>0</v>
      </c>
      <c r="F60" s="140">
        <f t="shared" si="18"/>
        <v>0</v>
      </c>
      <c r="G60" s="140">
        <f t="shared" si="18"/>
        <v>0</v>
      </c>
      <c r="H60" s="140">
        <f t="shared" si="18"/>
        <v>0</v>
      </c>
      <c r="I60" s="140">
        <f t="shared" si="18"/>
        <v>0</v>
      </c>
      <c r="J60" s="140">
        <f t="shared" si="18"/>
        <v>0</v>
      </c>
      <c r="K60" s="140">
        <f t="shared" si="18"/>
        <v>0</v>
      </c>
      <c r="L60" s="140">
        <f t="shared" si="18"/>
        <v>0</v>
      </c>
      <c r="M60" s="140">
        <f t="shared" si="18"/>
        <v>0</v>
      </c>
      <c r="N60" s="140">
        <f t="shared" si="18"/>
        <v>0</v>
      </c>
      <c r="O60" s="140">
        <f t="shared" si="18"/>
        <v>0</v>
      </c>
      <c r="P60" s="140">
        <f t="shared" si="18"/>
        <v>0</v>
      </c>
      <c r="Q60" s="140">
        <f t="shared" si="18"/>
        <v>0</v>
      </c>
      <c r="R60" s="140">
        <f t="shared" si="18"/>
        <v>0</v>
      </c>
      <c r="S60" s="140">
        <f t="shared" si="18"/>
        <v>0</v>
      </c>
      <c r="T60" s="140">
        <f t="shared" si="18"/>
        <v>0</v>
      </c>
      <c r="U60" s="140">
        <f t="shared" si="18"/>
        <v>0</v>
      </c>
      <c r="V60" s="140">
        <f t="shared" si="18"/>
        <v>0</v>
      </c>
    </row>
    <row r="61" spans="1:28" s="102" customFormat="1">
      <c r="A61" s="140" t="s">
        <v>935</v>
      </c>
      <c r="B61" s="603" t="s">
        <v>278</v>
      </c>
      <c r="C61" s="603">
        <f>IF($Y61=1,0,$X$7*(INT(C$6/$X61)-INT(B$6/$X61))-IF(SUM($B61:B61)&gt;0,C62,0))</f>
        <v>0</v>
      </c>
      <c r="D61" s="603">
        <f>IF($Y61=1,0,$X$7*(INT(D$6/$X61)-INT(C$6/$X61))-IF(SUM($B61:C61)&gt;0,D62,0))</f>
        <v>0</v>
      </c>
      <c r="E61" s="603">
        <f>IF($Y61=1,0,$X$7*(INT(E$6/$X61)-INT(D$6/$X61))-IF(SUM($B61:D61)&gt;0,E62,0))</f>
        <v>0</v>
      </c>
      <c r="F61" s="603">
        <f>IF($Y61=1,0,$X$7*(INT(F$6/$X61)-INT(E$6/$X61))-IF(SUM($B61:E61)&gt;0,F62,0))</f>
        <v>0</v>
      </c>
      <c r="G61" s="603">
        <f>IF($Y61=1,0,$X$7*(INT(G$6/$X61)-INT(F$6/$X61))-IF(SUM($B61:F61)&gt;0,G62,0))</f>
        <v>0</v>
      </c>
      <c r="H61" s="603">
        <f>IF($Y61=1,0,$X$7*(INT(H$6/$X61)-INT(G$6/$X61))-IF(SUM($B61:G61)&gt;0,H62,0))</f>
        <v>0</v>
      </c>
      <c r="I61" s="603">
        <f>IF($Y61=1,0,$X$7*(INT(I$6/$X61)-INT(H$6/$X61))-IF(SUM($B61:H61)&gt;0,I62,0))</f>
        <v>0</v>
      </c>
      <c r="J61" s="603">
        <f>IF($Y61=1,0,$X$7*(INT(J$6/$X61)-INT(I$6/$X61))-IF(SUM($B61:I61)&gt;0,J62,0))</f>
        <v>0</v>
      </c>
      <c r="K61" s="603">
        <f>IF($Y61=1,0,$X$7*(INT(K$6/$X61)-INT(J$6/$X61))-IF(SUM($B61:J61)&gt;0,K62,0))</f>
        <v>0</v>
      </c>
      <c r="L61" s="603">
        <f>IF($Y61=1,0,$X$7*(INT(L$6/$X61)-INT(K$6/$X61))-IF(SUM($B61:K61)&gt;0,L62,0))</f>
        <v>0</v>
      </c>
      <c r="M61" s="603">
        <f>IF($Y61=1,0,$X$7*(INT(M$6/$X61)-INT(L$6/$X61))-IF(SUM($B61:L61)&gt;0,M62,0))</f>
        <v>0</v>
      </c>
      <c r="N61" s="603">
        <f>IF($Y61=1,0,$X$7*(INT(N$6/$X61)-INT(M$6/$X61))-IF(SUM($B61:M61)&gt;0,N62,0))</f>
        <v>0</v>
      </c>
      <c r="O61" s="603">
        <f>IF($Y61=1,0,$X$7*(INT(O$6/$X61)-INT(N$6/$X61))-IF(SUM($B61:N61)&gt;0,O62,0))</f>
        <v>0</v>
      </c>
      <c r="P61" s="603">
        <f>IF($Y61=1,0,$X$7*(INT(P$6/$X61)-INT(O$6/$X61))-IF(SUM($B61:O61)&gt;0,P62,0))</f>
        <v>0</v>
      </c>
      <c r="Q61" s="603">
        <f>IF($Y61=1,0,$X$7*(INT(Q$6/$X61)-INT(P$6/$X61))-IF(SUM($B61:P61)&gt;0,Q62,0))</f>
        <v>0</v>
      </c>
      <c r="R61" s="603">
        <f>IF($Y61=1,0,$X$7*(INT(R$6/$X61)-INT(Q$6/$X61))-IF(SUM($B61:Q61)&gt;0,R62,0))</f>
        <v>0</v>
      </c>
      <c r="S61" s="603">
        <f>IF($Y61=1,0,$X$7*(INT(S$6/$X61)-INT(R$6/$X61))-IF(SUM($B61:R61)&gt;0,S62,0))</f>
        <v>0</v>
      </c>
      <c r="T61" s="603">
        <f>IF($Y61=1,0,$X$7*(INT(T$6/$X61)-INT(S$6/$X61))-IF(SUM($B61:S61)&gt;0,T62,0))</f>
        <v>0</v>
      </c>
      <c r="U61" s="603">
        <f>IF($Y61=1,0,$X$7*(INT(U$6/$X61)-INT(T$6/$X61))-IF(SUM($B61:T61)&gt;0,U62,0))</f>
        <v>0</v>
      </c>
      <c r="V61" s="603">
        <f>IF($Y61=1,0,$X$7*(INT(V$6/$X61)-INT(U$6/$X61))-IF(SUM($B61:U61)&gt;0,V62,0))</f>
        <v>0</v>
      </c>
      <c r="W61" s="678" t="str">
        <f xml:space="preserve"> 'GT schd cost(W501D5A)'!A25</f>
        <v>Row 3 Vanes</v>
      </c>
      <c r="X61" s="678">
        <f>IF($AD$6=1,'GTDB(W501D5A)'!B28,'GTDB(W501D5A)'!G28)</f>
        <v>24000</v>
      </c>
      <c r="Y61" s="678">
        <f>IF($AD$6=1,'GTDB(W501D5A)'!C28,'GTDB(W501D5A)'!H28)</f>
        <v>4</v>
      </c>
      <c r="Z61" s="679">
        <v>1</v>
      </c>
      <c r="AA61" s="834">
        <f>'Initial_Spares(W501D5A)'!$E$22</f>
        <v>0</v>
      </c>
      <c r="AB61" s="642">
        <f>'GT schd cost(W501D5A)'!X25+'GT schd cost(W501D5A)'!X51</f>
        <v>0</v>
      </c>
    </row>
    <row r="62" spans="1:28" s="102" customFormat="1">
      <c r="A62" s="140" t="s">
        <v>936</v>
      </c>
      <c r="B62" s="603" t="s">
        <v>278</v>
      </c>
      <c r="C62" s="603">
        <f>IF(INT(C$6/$X61)*$X$7&gt;C60*($X$7+$Z61)*$Y61,C60*($X$7+$Z61)-SUM($B62:B62),INT(C$6/$X61)*$X$7-C60*($X$7+$Z61)*($Y61-1)-SUM($B62:B62))+IF($Y61&gt;1,IF(INT(C$6/$X61)&gt;0,$Z61-$AA61,0),-$AA61)</f>
        <v>0</v>
      </c>
      <c r="D62" s="603">
        <f>IF(INT(D$6/$X61)*$X$7&gt;D60*($X$7+$Z61)*$Y61,D60*($X$7+$Z61)-SUM($B62:C62),INT(D$6/$X61)*$X$7-D60*($X$7+$Z61)*($Y61-1)-SUM($B62:C62))+IF($Y61&gt;1,IF(INT(D$6/$X61)&gt;0,$Z61-$AA61,0),-$AA61)</f>
        <v>0</v>
      </c>
      <c r="E62" s="603">
        <f>IF(INT(E$6/$X61)*$X$7&gt;E60*($X$7+$Z61)*$Y61,E60*($X$7+$Z61)-SUM($B62:D62),INT(E$6/$X61)*$X$7-E60*($X$7+$Z61)*($Y61-1)-SUM($B62:D62))+IF($Y61&gt;1,IF(INT(E$6/$X61)&gt;0,$Z61-$AA61,0),-$AA61)</f>
        <v>0</v>
      </c>
      <c r="F62" s="603">
        <f>IF(INT(F$6/$X61)*$X$7&gt;F60*($X$7+$Z61)*$Y61,F60*($X$7+$Z61)-SUM($B62:E62),INT(F$6/$X61)*$X$7-F60*($X$7+$Z61)*($Y61-1)-SUM($B62:E62))+IF($Y61&gt;1,IF(INT(F$6/$X61)&gt;0,$Z61-$AA61,0),-$AA61)</f>
        <v>0</v>
      </c>
      <c r="G62" s="603">
        <f>IF(INT(G$6/$X61)*$X$7&gt;G60*($X$7+$Z61)*$Y61,G60*($X$7+$Z61)-SUM($B62:F62),INT(G$6/$X61)*$X$7-G60*($X$7+$Z61)*($Y61-1)-SUM($B62:F62))+IF($Y61&gt;1,IF(INT(G$6/$X61)&gt;0,$Z61-$AA61,0),-$AA61)</f>
        <v>0</v>
      </c>
      <c r="H62" s="603">
        <f>IF(INT(H$6/$X61)*$X$7&gt;H60*($X$7+$Z61)*$Y61,H60*($X$7+$Z61)-SUM($B62:G62),INT(H$6/$X61)*$X$7-H60*($X$7+$Z61)*($Y61-1)-SUM($B62:G62))+IF($Y61&gt;1,IF(INT(H$6/$X61)&gt;0,$Z61-$AA61,0),-$AA61)</f>
        <v>0</v>
      </c>
      <c r="I62" s="603">
        <f>IF(INT(I$6/$X61)*$X$7&gt;I60*($X$7+$Z61)*$Y61,I60*($X$7+$Z61)-SUM($B62:H62),INT(I$6/$X61)*$X$7-I60*($X$7+$Z61)*($Y61-1)-SUM($B62:H62))+IF($Y61&gt;1,IF(INT(I$6/$X61)&gt;0,$Z61-$AA61,0),-$AA61)</f>
        <v>0</v>
      </c>
      <c r="J62" s="603">
        <f>IF(INT(J$6/$X61)*$X$7&gt;J60*($X$7+$Z61)*$Y61,J60*($X$7+$Z61)-SUM($B62:I62),INT(J$6/$X61)*$X$7-J60*($X$7+$Z61)*($Y61-1)-SUM($B62:I62))+IF($Y61&gt;1,IF(INT(J$6/$X61)&gt;0,$Z61-$AA61,0),-$AA61)</f>
        <v>0</v>
      </c>
      <c r="K62" s="603">
        <f>IF(INT(K$6/$X61)*$X$7&gt;K60*($X$7+$Z61)*$Y61,K60*($X$7+$Z61)-SUM($B62:J62),INT(K$6/$X61)*$X$7-K60*($X$7+$Z61)*($Y61-1)-SUM($B62:J62))+IF($Y61&gt;1,IF(INT(K$6/$X61)&gt;0,$Z61-$AA61,0),-$AA61)</f>
        <v>0</v>
      </c>
      <c r="L62" s="603">
        <f>IF(INT(L$6/$X61)*$X$7&gt;L60*($X$7+$Z61)*$Y61,L60*($X$7+$Z61)-SUM($B62:K62),INT(L$6/$X61)*$X$7-L60*($X$7+$Z61)*($Y61-1)-SUM($B62:K62))+IF($Y61&gt;1,IF(INT(L$6/$X61)&gt;0,$Z61-$AA61,0),-$AA61)</f>
        <v>0</v>
      </c>
      <c r="M62" s="603">
        <f>IF(INT(M$6/$X61)*$X$7&gt;M60*($X$7+$Z61)*$Y61,M60*($X$7+$Z61)-SUM($B62:L62),INT(M$6/$X61)*$X$7-M60*($X$7+$Z61)*($Y61-1)-SUM($B62:L62))+IF($Y61&gt;1,IF(INT(M$6/$X61)&gt;0,$Z61-$AA61,0),-$AA61)</f>
        <v>0</v>
      </c>
      <c r="N62" s="603">
        <f>IF(INT(N$6/$X61)*$X$7&gt;N60*($X$7+$Z61)*$Y61,N60*($X$7+$Z61)-SUM($B62:M62),INT(N$6/$X61)*$X$7-N60*($X$7+$Z61)*($Y61-1)-SUM($B62:M62))+IF($Y61&gt;1,IF(INT(N$6/$X61)&gt;0,$Z61-$AA61,0),-$AA61)</f>
        <v>0</v>
      </c>
      <c r="O62" s="603">
        <f>IF(INT(O$6/$X61)*$X$7&gt;O60*($X$7+$Z61)*$Y61,O60*($X$7+$Z61)-SUM($B62:N62),INT(O$6/$X61)*$X$7-O60*($X$7+$Z61)*($Y61-1)-SUM($B62:N62))+IF($Y61&gt;1,IF(INT(O$6/$X61)&gt;0,$Z61-$AA61,0),-$AA61)</f>
        <v>0</v>
      </c>
      <c r="P62" s="603">
        <f>IF(INT(P$6/$X61)*$X$7&gt;P60*($X$7+$Z61)*$Y61,P60*($X$7+$Z61)-SUM($B62:O62),INT(P$6/$X61)*$X$7-P60*($X$7+$Z61)*($Y61-1)-SUM($B62:O62))+IF($Y61&gt;1,IF(INT(P$6/$X61)&gt;0,$Z61-$AA61,0),-$AA61)</f>
        <v>0</v>
      </c>
      <c r="Q62" s="603">
        <f>IF(INT(Q$6/$X61)*$X$7&gt;Q60*($X$7+$Z61)*$Y61,Q60*($X$7+$Z61)-SUM($B62:P62),INT(Q$6/$X61)*$X$7-Q60*($X$7+$Z61)*($Y61-1)-SUM($B62:P62))+IF($Y61&gt;1,IF(INT(Q$6/$X61)&gt;0,$Z61-$AA61,0),-$AA61)</f>
        <v>0</v>
      </c>
      <c r="R62" s="603">
        <f>IF(INT(R$6/$X61)*$X$7&gt;R60*($X$7+$Z61)*$Y61,R60*($X$7+$Z61)-SUM($B62:Q62),INT(R$6/$X61)*$X$7-R60*($X$7+$Z61)*($Y61-1)-SUM($B62:Q62))+IF($Y61&gt;1,IF(INT(R$6/$X61)&gt;0,$Z61-$AA61,0),-$AA61)</f>
        <v>0</v>
      </c>
      <c r="S62" s="603">
        <f>IF(INT(S$6/$X61)*$X$7&gt;S60*($X$7+$Z61)*$Y61,S60*($X$7+$Z61)-SUM($B62:R62),INT(S$6/$X61)*$X$7-S60*($X$7+$Z61)*($Y61-1)-SUM($B62:R62))+IF($Y61&gt;1,IF(INT(S$6/$X61)&gt;0,$Z61-$AA61,0),-$AA61)</f>
        <v>0</v>
      </c>
      <c r="T62" s="603">
        <f>IF(INT(T$6/$X61)*$X$7&gt;T60*($X$7+$Z61)*$Y61,T60*($X$7+$Z61)-SUM($B62:S62),INT(T$6/$X61)*$X$7-T60*($X$7+$Z61)*($Y61-1)-SUM($B62:S62))+IF($Y61&gt;1,IF(INT(T$6/$X61)&gt;0,$Z61-$AA61,0),-$AA61)</f>
        <v>0</v>
      </c>
      <c r="U62" s="603">
        <f>IF(INT(U$6/$X61)*$X$7&gt;U60*($X$7+$Z61)*$Y61,U60*($X$7+$Z61)-SUM($B62:T62),INT(U$6/$X61)*$X$7-U60*($X$7+$Z61)*($Y61-1)-SUM($B62:T62))+IF($Y61&gt;1,IF(INT(U$6/$X61)&gt;0,$Z61-$AA61,0),-$AA61)</f>
        <v>0</v>
      </c>
      <c r="V62" s="603">
        <f>IF(INT(V$6/$X61)*$X$7&gt;V60*($X$7+$Z61)*$Y61,V60*($X$7+$Z61)-SUM($B62:U62),INT(V$6/$X61)*$X$7-V60*($X$7+$Z61)*($Y61-1)-SUM($B62:U62))+IF($Y61&gt;1,IF(INT(V$6/$X61)&gt;0,$Z61-$AA61,0),-$AA61)</f>
        <v>0</v>
      </c>
      <c r="W62" s="681"/>
      <c r="X62"/>
      <c r="Y62"/>
      <c r="Z62"/>
    </row>
    <row r="63" spans="1:28" s="102" customFormat="1">
      <c r="B63" s="615"/>
      <c r="C63" s="615"/>
      <c r="D63" s="615"/>
      <c r="E63" s="615"/>
      <c r="F63" s="615"/>
      <c r="G63" s="615"/>
      <c r="H63" s="615"/>
      <c r="I63" s="615"/>
      <c r="J63" s="615"/>
      <c r="K63" s="615"/>
      <c r="L63" s="615"/>
      <c r="M63" s="615"/>
      <c r="N63" s="615"/>
      <c r="O63" s="615"/>
      <c r="P63" s="615"/>
      <c r="Q63" s="615"/>
      <c r="R63" s="615"/>
      <c r="S63" s="615"/>
      <c r="T63" s="615"/>
      <c r="U63" s="615"/>
      <c r="V63" s="615"/>
      <c r="W63" s="663"/>
    </row>
    <row r="64" spans="1:28" s="102" customFormat="1" hidden="1">
      <c r="A64" s="140" t="s">
        <v>934</v>
      </c>
      <c r="B64" s="603"/>
      <c r="C64" s="140">
        <f t="shared" ref="C64:V64" si="19">INT((INT(C$6/$X65)*$X$7+$X$7+$Z65-1)/($X$7+$Z65)/$Y65)</f>
        <v>0</v>
      </c>
      <c r="D64" s="140">
        <f t="shared" si="19"/>
        <v>0</v>
      </c>
      <c r="E64" s="140">
        <f t="shared" si="19"/>
        <v>0</v>
      </c>
      <c r="F64" s="140">
        <f t="shared" si="19"/>
        <v>0</v>
      </c>
      <c r="G64" s="140">
        <f t="shared" si="19"/>
        <v>0</v>
      </c>
      <c r="H64" s="140">
        <f t="shared" si="19"/>
        <v>0</v>
      </c>
      <c r="I64" s="140">
        <f t="shared" si="19"/>
        <v>0</v>
      </c>
      <c r="J64" s="140">
        <f t="shared" si="19"/>
        <v>0</v>
      </c>
      <c r="K64" s="140">
        <f t="shared" si="19"/>
        <v>0</v>
      </c>
      <c r="L64" s="140">
        <f t="shared" si="19"/>
        <v>0</v>
      </c>
      <c r="M64" s="140">
        <f t="shared" si="19"/>
        <v>0</v>
      </c>
      <c r="N64" s="140">
        <f t="shared" si="19"/>
        <v>0</v>
      </c>
      <c r="O64" s="140">
        <f t="shared" si="19"/>
        <v>0</v>
      </c>
      <c r="P64" s="140">
        <f t="shared" si="19"/>
        <v>0</v>
      </c>
      <c r="Q64" s="140">
        <f t="shared" si="19"/>
        <v>0</v>
      </c>
      <c r="R64" s="140">
        <f t="shared" si="19"/>
        <v>0</v>
      </c>
      <c r="S64" s="140">
        <f t="shared" si="19"/>
        <v>0</v>
      </c>
      <c r="T64" s="140">
        <f t="shared" si="19"/>
        <v>0</v>
      </c>
      <c r="U64" s="140">
        <f t="shared" si="19"/>
        <v>0</v>
      </c>
      <c r="V64" s="140">
        <f t="shared" si="19"/>
        <v>0</v>
      </c>
    </row>
    <row r="65" spans="1:28" s="102" customFormat="1">
      <c r="A65" s="140" t="s">
        <v>935</v>
      </c>
      <c r="B65" s="603" t="s">
        <v>278</v>
      </c>
      <c r="C65" s="603">
        <f>IF($Y65=1,0,$X$7*(INT(C$6/$X65)-INT(B$6/$X65))-IF(SUM($B65:B65)&gt;0,C66,0))</f>
        <v>0</v>
      </c>
      <c r="D65" s="603">
        <f>IF($Y65=1,0,$X$7*(INT(D$6/$X65)-INT(C$6/$X65))-IF(SUM($B65:C65)&gt;0,D66,0))</f>
        <v>0</v>
      </c>
      <c r="E65" s="603">
        <f>IF($Y65=1,0,$X$7*(INT(E$6/$X65)-INT(D$6/$X65))-IF(SUM($B65:D65)&gt;0,E66,0))</f>
        <v>0</v>
      </c>
      <c r="F65" s="603">
        <f>IF($Y65=1,0,$X$7*(INT(F$6/$X65)-INT(E$6/$X65))-IF(SUM($B65:E65)&gt;0,F66,0))</f>
        <v>0</v>
      </c>
      <c r="G65" s="603">
        <f>IF($Y65=1,0,$X$7*(INT(G$6/$X65)-INT(F$6/$X65))-IF(SUM($B65:F65)&gt;0,G66,0))</f>
        <v>0</v>
      </c>
      <c r="H65" s="603">
        <f>IF($Y65=1,0,$X$7*(INT(H$6/$X65)-INT(G$6/$X65))-IF(SUM($B65:G65)&gt;0,H66,0))</f>
        <v>0</v>
      </c>
      <c r="I65" s="603">
        <f>IF($Y65=1,0,$X$7*(INT(I$6/$X65)-INT(H$6/$X65))-IF(SUM($B65:H65)&gt;0,I66,0))</f>
        <v>0</v>
      </c>
      <c r="J65" s="603">
        <f>IF($Y65=1,0,$X$7*(INT(J$6/$X65)-INT(I$6/$X65))-IF(SUM($B65:I65)&gt;0,J66,0))</f>
        <v>0</v>
      </c>
      <c r="K65" s="603">
        <f>IF($Y65=1,0,$X$7*(INT(K$6/$X65)-INT(J$6/$X65))-IF(SUM($B65:J65)&gt;0,K66,0))</f>
        <v>0</v>
      </c>
      <c r="L65" s="603">
        <f>IF($Y65=1,0,$X$7*(INT(L$6/$X65)-INT(K$6/$X65))-IF(SUM($B65:K65)&gt;0,L66,0))</f>
        <v>0</v>
      </c>
      <c r="M65" s="603">
        <f>IF($Y65=1,0,$X$7*(INT(M$6/$X65)-INT(L$6/$X65))-IF(SUM($B65:L65)&gt;0,M66,0))</f>
        <v>0</v>
      </c>
      <c r="N65" s="603">
        <f>IF($Y65=1,0,$X$7*(INT(N$6/$X65)-INT(M$6/$X65))-IF(SUM($B65:M65)&gt;0,N66,0))</f>
        <v>0</v>
      </c>
      <c r="O65" s="603">
        <f>IF($Y65=1,0,$X$7*(INT(O$6/$X65)-INT(N$6/$X65))-IF(SUM($B65:N65)&gt;0,O66,0))</f>
        <v>0</v>
      </c>
      <c r="P65" s="603">
        <f>IF($Y65=1,0,$X$7*(INT(P$6/$X65)-INT(O$6/$X65))-IF(SUM($B65:O65)&gt;0,P66,0))</f>
        <v>0</v>
      </c>
      <c r="Q65" s="603">
        <f>IF($Y65=1,0,$X$7*(INT(Q$6/$X65)-INT(P$6/$X65))-IF(SUM($B65:P65)&gt;0,Q66,0))</f>
        <v>0</v>
      </c>
      <c r="R65" s="603">
        <f>IF($Y65=1,0,$X$7*(INT(R$6/$X65)-INT(Q$6/$X65))-IF(SUM($B65:Q65)&gt;0,R66,0))</f>
        <v>0</v>
      </c>
      <c r="S65" s="603">
        <f>IF($Y65=1,0,$X$7*(INT(S$6/$X65)-INT(R$6/$X65))-IF(SUM($B65:R65)&gt;0,S66,0))</f>
        <v>0</v>
      </c>
      <c r="T65" s="603">
        <f>IF($Y65=1,0,$X$7*(INT(T$6/$X65)-INT(S$6/$X65))-IF(SUM($B65:S65)&gt;0,T66,0))</f>
        <v>0</v>
      </c>
      <c r="U65" s="603">
        <f>IF($Y65=1,0,$X$7*(INT(U$6/$X65)-INT(T$6/$X65))-IF(SUM($B65:T65)&gt;0,U66,0))</f>
        <v>0</v>
      </c>
      <c r="V65" s="603">
        <f>IF($Y65=1,0,$X$7*(INT(V$6/$X65)-INT(U$6/$X65))-IF(SUM($B65:U65)&gt;0,V66,0))</f>
        <v>0</v>
      </c>
      <c r="W65" s="683" t="str">
        <f xml:space="preserve"> 'GT schd cost(W501D5A)'!A26</f>
        <v>Row 4 Vanes</v>
      </c>
      <c r="X65" s="678">
        <f>IF($AD$6=1,'GTDB(W501D5A)'!B29,'GTDB(W501D5A)'!G29)</f>
        <v>48000</v>
      </c>
      <c r="Y65" s="678">
        <f>IF($AD$6=1,'GTDB(W501D5A)'!C29,'GTDB(W501D5A)'!H29)</f>
        <v>2</v>
      </c>
      <c r="Z65" s="679">
        <v>1</v>
      </c>
      <c r="AA65" s="834">
        <f>'Initial_Spares(W501D5A)'!$E$23</f>
        <v>0</v>
      </c>
      <c r="AB65" s="642">
        <f>'GT schd cost(W501D5A)'!X26+'GT schd cost(W501D5A)'!X52</f>
        <v>0</v>
      </c>
    </row>
    <row r="66" spans="1:28" s="102" customFormat="1">
      <c r="A66" s="140" t="s">
        <v>936</v>
      </c>
      <c r="B66" s="603" t="s">
        <v>278</v>
      </c>
      <c r="C66" s="603">
        <f>IF(INT(C$6/$X65)*$X$7&gt;C64*($X$7+$Z65)*$Y65,C64*($X$7+$Z65)-SUM($B66:B66),INT(C$6/$X65)*$X$7-C64*($X$7+$Z65)*($Y65-1)-SUM($B66:B66))+IF($Y65&gt;1,IF(INT(C$6/$X65)&gt;0,$Z65-$AA65,0),-$AA65)</f>
        <v>0</v>
      </c>
      <c r="D66" s="603">
        <f>IF(INT(D$6/$X65)*$X$7&gt;D64*($X$7+$Z65)*$Y65,D64*($X$7+$Z65)-SUM($B66:C66),INT(D$6/$X65)*$X$7-D64*($X$7+$Z65)*($Y65-1)-SUM($B66:C66))+IF($Y65&gt;1,IF(INT(D$6/$X65)&gt;0,$Z65-$AA65,0),-$AA65)</f>
        <v>0</v>
      </c>
      <c r="E66" s="603">
        <f>IF(INT(E$6/$X65)*$X$7&gt;E64*($X$7+$Z65)*$Y65,E64*($X$7+$Z65)-SUM($B66:D66),INT(E$6/$X65)*$X$7-E64*($X$7+$Z65)*($Y65-1)-SUM($B66:D66))+IF($Y65&gt;1,IF(INT(E$6/$X65)&gt;0,$Z65-$AA65,0),-$AA65)</f>
        <v>0</v>
      </c>
      <c r="F66" s="603">
        <f>IF(INT(F$6/$X65)*$X$7&gt;F64*($X$7+$Z65)*$Y65,F64*($X$7+$Z65)-SUM($B66:E66),INT(F$6/$X65)*$X$7-F64*($X$7+$Z65)*($Y65-1)-SUM($B66:E66))+IF($Y65&gt;1,IF(INT(F$6/$X65)&gt;0,$Z65-$AA65,0),-$AA65)</f>
        <v>0</v>
      </c>
      <c r="G66" s="603">
        <f>IF(INT(G$6/$X65)*$X$7&gt;G64*($X$7+$Z65)*$Y65,G64*($X$7+$Z65)-SUM($B66:F66),INT(G$6/$X65)*$X$7-G64*($X$7+$Z65)*($Y65-1)-SUM($B66:F66))+IF($Y65&gt;1,IF(INT(G$6/$X65)&gt;0,$Z65-$AA65,0),-$AA65)</f>
        <v>0</v>
      </c>
      <c r="H66" s="603">
        <f>IF(INT(H$6/$X65)*$X$7&gt;H64*($X$7+$Z65)*$Y65,H64*($X$7+$Z65)-SUM($B66:G66),INT(H$6/$X65)*$X$7-H64*($X$7+$Z65)*($Y65-1)-SUM($B66:G66))+IF($Y65&gt;1,IF(INT(H$6/$X65)&gt;0,$Z65-$AA65,0),-$AA65)</f>
        <v>0</v>
      </c>
      <c r="I66" s="603">
        <f>IF(INT(I$6/$X65)*$X$7&gt;I64*($X$7+$Z65)*$Y65,I64*($X$7+$Z65)-SUM($B66:H66),INT(I$6/$X65)*$X$7-I64*($X$7+$Z65)*($Y65-1)-SUM($B66:H66))+IF($Y65&gt;1,IF(INT(I$6/$X65)&gt;0,$Z65-$AA65,0),-$AA65)</f>
        <v>0</v>
      </c>
      <c r="J66" s="603">
        <f>IF(INT(J$6/$X65)*$X$7&gt;J64*($X$7+$Z65)*$Y65,J64*($X$7+$Z65)-SUM($B66:I66),INT(J$6/$X65)*$X$7-J64*($X$7+$Z65)*($Y65-1)-SUM($B66:I66))+IF($Y65&gt;1,IF(INT(J$6/$X65)&gt;0,$Z65-$AA65,0),-$AA65)</f>
        <v>0</v>
      </c>
      <c r="K66" s="603">
        <f>IF(INT(K$6/$X65)*$X$7&gt;K64*($X$7+$Z65)*$Y65,K64*($X$7+$Z65)-SUM($B66:J66),INT(K$6/$X65)*$X$7-K64*($X$7+$Z65)*($Y65-1)-SUM($B66:J66))+IF($Y65&gt;1,IF(INT(K$6/$X65)&gt;0,$Z65-$AA65,0),-$AA65)</f>
        <v>0</v>
      </c>
      <c r="L66" s="603">
        <f>IF(INT(L$6/$X65)*$X$7&gt;L64*($X$7+$Z65)*$Y65,L64*($X$7+$Z65)-SUM($B66:K66),INT(L$6/$X65)*$X$7-L64*($X$7+$Z65)*($Y65-1)-SUM($B66:K66))+IF($Y65&gt;1,IF(INT(L$6/$X65)&gt;0,$Z65-$AA65,0),-$AA65)</f>
        <v>0</v>
      </c>
      <c r="M66" s="603">
        <f>IF(INT(M$6/$X65)*$X$7&gt;M64*($X$7+$Z65)*$Y65,M64*($X$7+$Z65)-SUM($B66:L66),INT(M$6/$X65)*$X$7-M64*($X$7+$Z65)*($Y65-1)-SUM($B66:L66))+IF($Y65&gt;1,IF(INT(M$6/$X65)&gt;0,$Z65-$AA65,0),-$AA65)</f>
        <v>0</v>
      </c>
      <c r="N66" s="603">
        <f>IF(INT(N$6/$X65)*$X$7&gt;N64*($X$7+$Z65)*$Y65,N64*($X$7+$Z65)-SUM($B66:M66),INT(N$6/$X65)*$X$7-N64*($X$7+$Z65)*($Y65-1)-SUM($B66:M66))+IF($Y65&gt;1,IF(INT(N$6/$X65)&gt;0,$Z65-$AA65,0),-$AA65)</f>
        <v>0</v>
      </c>
      <c r="O66" s="603">
        <f>IF(INT(O$6/$X65)*$X$7&gt;O64*($X$7+$Z65)*$Y65,O64*($X$7+$Z65)-SUM($B66:N66),INT(O$6/$X65)*$X$7-O64*($X$7+$Z65)*($Y65-1)-SUM($B66:N66))+IF($Y65&gt;1,IF(INT(O$6/$X65)&gt;0,$Z65-$AA65,0),-$AA65)</f>
        <v>0</v>
      </c>
      <c r="P66" s="603">
        <f>IF(INT(P$6/$X65)*$X$7&gt;P64*($X$7+$Z65)*$Y65,P64*($X$7+$Z65)-SUM($B66:O66),INT(P$6/$X65)*$X$7-P64*($X$7+$Z65)*($Y65-1)-SUM($B66:O66))+IF($Y65&gt;1,IF(INT(P$6/$X65)&gt;0,$Z65-$AA65,0),-$AA65)</f>
        <v>0</v>
      </c>
      <c r="Q66" s="603">
        <f>IF(INT(Q$6/$X65)*$X$7&gt;Q64*($X$7+$Z65)*$Y65,Q64*($X$7+$Z65)-SUM($B66:P66),INT(Q$6/$X65)*$X$7-Q64*($X$7+$Z65)*($Y65-1)-SUM($B66:P66))+IF($Y65&gt;1,IF(INT(Q$6/$X65)&gt;0,$Z65-$AA65,0),-$AA65)</f>
        <v>0</v>
      </c>
      <c r="R66" s="603">
        <f>IF(INT(R$6/$X65)*$X$7&gt;R64*($X$7+$Z65)*$Y65,R64*($X$7+$Z65)-SUM($B66:Q66),INT(R$6/$X65)*$X$7-R64*($X$7+$Z65)*($Y65-1)-SUM($B66:Q66))+IF($Y65&gt;1,IF(INT(R$6/$X65)&gt;0,$Z65-$AA65,0),-$AA65)</f>
        <v>0</v>
      </c>
      <c r="S66" s="603">
        <f>IF(INT(S$6/$X65)*$X$7&gt;S64*($X$7+$Z65)*$Y65,S64*($X$7+$Z65)-SUM($B66:R66),INT(S$6/$X65)*$X$7-S64*($X$7+$Z65)*($Y65-1)-SUM($B66:R66))+IF($Y65&gt;1,IF(INT(S$6/$X65)&gt;0,$Z65-$AA65,0),-$AA65)</f>
        <v>0</v>
      </c>
      <c r="T66" s="603">
        <f>IF(INT(T$6/$X65)*$X$7&gt;T64*($X$7+$Z65)*$Y65,T64*($X$7+$Z65)-SUM($B66:S66),INT(T$6/$X65)*$X$7-T64*($X$7+$Z65)*($Y65-1)-SUM($B66:S66))+IF($Y65&gt;1,IF(INT(T$6/$X65)&gt;0,$Z65-$AA65,0),-$AA65)</f>
        <v>0</v>
      </c>
      <c r="U66" s="603">
        <f>IF(INT(U$6/$X65)*$X$7&gt;U64*($X$7+$Z65)*$Y65,U64*($X$7+$Z65)-SUM($B66:T66),INT(U$6/$X65)*$X$7-U64*($X$7+$Z65)*($Y65-1)-SUM($B66:T66))+IF($Y65&gt;1,IF(INT(U$6/$X65)&gt;0,$Z65-$AA65,0),-$AA65)</f>
        <v>0</v>
      </c>
      <c r="V66" s="603">
        <f>IF(INT(V$6/$X65)*$X$7&gt;V64*($X$7+$Z65)*$Y65,V64*($X$7+$Z65)-SUM($B66:U66),INT(V$6/$X65)*$X$7-V64*($X$7+$Z65)*($Y65-1)-SUM($B66:U66))+IF($Y65&gt;1,IF(INT(V$6/$X65)&gt;0,$Z65-$AA65,0),-$AA65)</f>
        <v>0</v>
      </c>
      <c r="W66" s="681"/>
      <c r="X66"/>
      <c r="Y66"/>
      <c r="Z66"/>
    </row>
    <row r="67" spans="1:28" s="102" customFormat="1">
      <c r="W67" s="663"/>
    </row>
    <row r="68" spans="1:28" s="102" customFormat="1" hidden="1">
      <c r="A68" s="140" t="s">
        <v>934</v>
      </c>
      <c r="B68" s="603"/>
      <c r="C68" s="140">
        <f t="shared" ref="C68:V68" si="20">INT((INT(C$6/$X69)*$X$7+$X$7+$Z69-1)/($X$7+$Z69)/$Y69)</f>
        <v>0</v>
      </c>
      <c r="D68" s="140">
        <f t="shared" si="20"/>
        <v>0</v>
      </c>
      <c r="E68" s="140">
        <f t="shared" si="20"/>
        <v>0</v>
      </c>
      <c r="F68" s="140">
        <f t="shared" si="20"/>
        <v>0</v>
      </c>
      <c r="G68" s="140">
        <f t="shared" si="20"/>
        <v>0</v>
      </c>
      <c r="H68" s="140">
        <f t="shared" si="20"/>
        <v>0</v>
      </c>
      <c r="I68" s="140">
        <f t="shared" si="20"/>
        <v>0</v>
      </c>
      <c r="J68" s="140">
        <f t="shared" si="20"/>
        <v>0</v>
      </c>
      <c r="K68" s="140">
        <f t="shared" si="20"/>
        <v>0</v>
      </c>
      <c r="L68" s="140">
        <f t="shared" si="20"/>
        <v>0</v>
      </c>
      <c r="M68" s="140">
        <f t="shared" si="20"/>
        <v>0</v>
      </c>
      <c r="N68" s="140">
        <f t="shared" si="20"/>
        <v>0</v>
      </c>
      <c r="O68" s="140">
        <f t="shared" si="20"/>
        <v>0</v>
      </c>
      <c r="P68" s="140">
        <f t="shared" si="20"/>
        <v>0</v>
      </c>
      <c r="Q68" s="140">
        <f t="shared" si="20"/>
        <v>0</v>
      </c>
      <c r="R68" s="140">
        <f t="shared" si="20"/>
        <v>0</v>
      </c>
      <c r="S68" s="140">
        <f t="shared" si="20"/>
        <v>0</v>
      </c>
      <c r="T68" s="140">
        <f t="shared" si="20"/>
        <v>0</v>
      </c>
      <c r="U68" s="140">
        <f t="shared" si="20"/>
        <v>0</v>
      </c>
      <c r="V68" s="140">
        <f t="shared" si="20"/>
        <v>0</v>
      </c>
    </row>
    <row r="69" spans="1:28" s="102" customFormat="1">
      <c r="A69" s="140" t="s">
        <v>935</v>
      </c>
      <c r="B69" s="603" t="s">
        <v>278</v>
      </c>
      <c r="C69" s="603">
        <f>IF($Y69=1,0,$X$7*(INT(C$6/$X69)-INT(B$6/$X69))-IF(SUM($B69:B69)&gt;0,C70,0))</f>
        <v>0</v>
      </c>
      <c r="D69" s="603">
        <f>IF($Y69=1,0,$X$7*(INT(D$6/$X69)-INT(C$6/$X69))-IF(SUM($B69:C69)&gt;0,D70,0))</f>
        <v>0</v>
      </c>
      <c r="E69" s="603">
        <f>IF($Y69=1,0,$X$7*(INT(E$6/$X69)-INT(D$6/$X69))-IF(SUM($B69:D69)&gt;0,E70,0))</f>
        <v>0</v>
      </c>
      <c r="F69" s="603">
        <f>IF($Y69=1,0,$X$7*(INT(F$6/$X69)-INT(E$6/$X69))-IF(SUM($B69:E69)&gt;0,F70,0))</f>
        <v>0</v>
      </c>
      <c r="G69" s="603">
        <f>IF($Y69=1,0,$X$7*(INT(G$6/$X69)-INT(F$6/$X69))-IF(SUM($B69:F69)&gt;0,G70,0))</f>
        <v>0</v>
      </c>
      <c r="H69" s="603">
        <f>IF($Y69=1,0,$X$7*(INT(H$6/$X69)-INT(G$6/$X69))-IF(SUM($B69:G69)&gt;0,H70,0))</f>
        <v>0</v>
      </c>
      <c r="I69" s="603">
        <f>IF($Y69=1,0,$X$7*(INT(I$6/$X69)-INT(H$6/$X69))-IF(SUM($B69:H69)&gt;0,I70,0))</f>
        <v>0</v>
      </c>
      <c r="J69" s="603">
        <f>IF($Y69=1,0,$X$7*(INT(J$6/$X69)-INT(I$6/$X69))-IF(SUM($B69:I69)&gt;0,J70,0))</f>
        <v>0</v>
      </c>
      <c r="K69" s="603">
        <f>IF($Y69=1,0,$X$7*(INT(K$6/$X69)-INT(J$6/$X69))-IF(SUM($B69:J69)&gt;0,K70,0))</f>
        <v>0</v>
      </c>
      <c r="L69" s="603">
        <f>IF($Y69=1,0,$X$7*(INT(L$6/$X69)-INT(K$6/$X69))-IF(SUM($B69:K69)&gt;0,L70,0))</f>
        <v>0</v>
      </c>
      <c r="M69" s="603">
        <f>IF($Y69=1,0,$X$7*(INT(M$6/$X69)-INT(L$6/$X69))-IF(SUM($B69:L69)&gt;0,M70,0))</f>
        <v>0</v>
      </c>
      <c r="N69" s="603">
        <f>IF($Y69=1,0,$X$7*(INT(N$6/$X69)-INT(M$6/$X69))-IF(SUM($B69:M69)&gt;0,N70,0))</f>
        <v>0</v>
      </c>
      <c r="O69" s="603">
        <f>IF($Y69=1,0,$X$7*(INT(O$6/$X69)-INT(N$6/$X69))-IF(SUM($B69:N69)&gt;0,O70,0))</f>
        <v>0</v>
      </c>
      <c r="P69" s="603">
        <f>IF($Y69=1,0,$X$7*(INT(P$6/$X69)-INT(O$6/$X69))-IF(SUM($B69:O69)&gt;0,P70,0))</f>
        <v>0</v>
      </c>
      <c r="Q69" s="603">
        <f>IF($Y69=1,0,$X$7*(INT(Q$6/$X69)-INT(P$6/$X69))-IF(SUM($B69:P69)&gt;0,Q70,0))</f>
        <v>0</v>
      </c>
      <c r="R69" s="603">
        <f>IF($Y69=1,0,$X$7*(INT(R$6/$X69)-INT(Q$6/$X69))-IF(SUM($B69:Q69)&gt;0,R70,0))</f>
        <v>0</v>
      </c>
      <c r="S69" s="603">
        <f>IF($Y69=1,0,$X$7*(INT(S$6/$X69)-INT(R$6/$X69))-IF(SUM($B69:R69)&gt;0,S70,0))</f>
        <v>0</v>
      </c>
      <c r="T69" s="603">
        <f>IF($Y69=1,0,$X$7*(INT(T$6/$X69)-INT(S$6/$X69))-IF(SUM($B69:S69)&gt;0,T70,0))</f>
        <v>0</v>
      </c>
      <c r="U69" s="603">
        <f>IF($Y69=1,0,$X$7*(INT(U$6/$X69)-INT(T$6/$X69))-IF(SUM($B69:T69)&gt;0,U70,0))</f>
        <v>0</v>
      </c>
      <c r="V69" s="603">
        <f>IF($Y69=1,0,$X$7*(INT(V$6/$X69)-INT(U$6/$X69))-IF(SUM($B69:U69)&gt;0,V70,0))</f>
        <v>0</v>
      </c>
      <c r="W69" s="678" t="str">
        <f xml:space="preserve"> 'GT schd cost(W501D5A)'!A27</f>
        <v>Row 1 ring segments</v>
      </c>
      <c r="X69" s="678">
        <f>IF($AD$6=1,'GTDB(W501D5A)'!B30,'GTDB(W501D5A)'!G30)</f>
        <v>24000</v>
      </c>
      <c r="Y69" s="678">
        <f>IF($AD$6=1,'GTDB(W501D5A)'!C30,'GTDB(W501D5A)'!H30)</f>
        <v>2</v>
      </c>
      <c r="Z69" s="679">
        <v>1</v>
      </c>
      <c r="AA69" s="834">
        <f>'Initial_Spares(W501D5A)'!$E$24</f>
        <v>0</v>
      </c>
      <c r="AB69" s="684">
        <f>'GT schd cost(W501D5A)'!X27+'GT schd cost(W501D5A)'!X53</f>
        <v>0</v>
      </c>
    </row>
    <row r="70" spans="1:28" s="102" customFormat="1">
      <c r="A70" s="140" t="s">
        <v>936</v>
      </c>
      <c r="B70" s="603" t="s">
        <v>278</v>
      </c>
      <c r="C70" s="603">
        <f>IF(INT(C$6/$X69)*$X$7&gt;C68*($X$7+$Z69)*$Y69,C68*($X$7+$Z69)-SUM($B70:B70),INT(C$6/$X69)*$X$7-C68*($X$7+$Z69)*($Y69-1)-SUM($B70:B70))+IF($Y69&gt;1,IF(INT(C$6/$X69)&gt;0,$Z69-$AA69,0),-$AA69)</f>
        <v>0</v>
      </c>
      <c r="D70" s="603">
        <f>IF(INT(D$6/$X69)*$X$7&gt;D68*($X$7+$Z69)*$Y69,D68*($X$7+$Z69)-SUM($B70:C70),INT(D$6/$X69)*$X$7-D68*($X$7+$Z69)*($Y69-1)-SUM($B70:C70))+IF($Y69&gt;1,IF(INT(D$6/$X69)&gt;0,$Z69-$AA69,0),-$AA69)</f>
        <v>0</v>
      </c>
      <c r="E70" s="603">
        <f>IF(INT(E$6/$X69)*$X$7&gt;E68*($X$7+$Z69)*$Y69,E68*($X$7+$Z69)-SUM($B70:D70),INT(E$6/$X69)*$X$7-E68*($X$7+$Z69)*($Y69-1)-SUM($B70:D70))+IF($Y69&gt;1,IF(INT(E$6/$X69)&gt;0,$Z69-$AA69,0),-$AA69)</f>
        <v>0</v>
      </c>
      <c r="F70" s="603">
        <f>IF(INT(F$6/$X69)*$X$7&gt;F68*($X$7+$Z69)*$Y69,F68*($X$7+$Z69)-SUM($B70:E70),INT(F$6/$X69)*$X$7-F68*($X$7+$Z69)*($Y69-1)-SUM($B70:E70))+IF($Y69&gt;1,IF(INT(F$6/$X69)&gt;0,$Z69-$AA69,0),-$AA69)</f>
        <v>0</v>
      </c>
      <c r="G70" s="603">
        <f>IF(INT(G$6/$X69)*$X$7&gt;G68*($X$7+$Z69)*$Y69,G68*($X$7+$Z69)-SUM($B70:F70),INT(G$6/$X69)*$X$7-G68*($X$7+$Z69)*($Y69-1)-SUM($B70:F70))+IF($Y69&gt;1,IF(INT(G$6/$X69)&gt;0,$Z69-$AA69,0),-$AA69)</f>
        <v>0</v>
      </c>
      <c r="H70" s="603">
        <f>IF(INT(H$6/$X69)*$X$7&gt;H68*($X$7+$Z69)*$Y69,H68*($X$7+$Z69)-SUM($B70:G70),INT(H$6/$X69)*$X$7-H68*($X$7+$Z69)*($Y69-1)-SUM($B70:G70))+IF($Y69&gt;1,IF(INT(H$6/$X69)&gt;0,$Z69-$AA69,0),-$AA69)</f>
        <v>0</v>
      </c>
      <c r="I70" s="603">
        <f>IF(INT(I$6/$X69)*$X$7&gt;I68*($X$7+$Z69)*$Y69,I68*($X$7+$Z69)-SUM($B70:H70),INT(I$6/$X69)*$X$7-I68*($X$7+$Z69)*($Y69-1)-SUM($B70:H70))+IF($Y69&gt;1,IF(INT(I$6/$X69)&gt;0,$Z69-$AA69,0),-$AA69)</f>
        <v>0</v>
      </c>
      <c r="J70" s="603">
        <f>IF(INT(J$6/$X69)*$X$7&gt;J68*($X$7+$Z69)*$Y69,J68*($X$7+$Z69)-SUM($B70:I70),INT(J$6/$X69)*$X$7-J68*($X$7+$Z69)*($Y69-1)-SUM($B70:I70))+IF($Y69&gt;1,IF(INT(J$6/$X69)&gt;0,$Z69-$AA69,0),-$AA69)</f>
        <v>0</v>
      </c>
      <c r="K70" s="603">
        <f>IF(INT(K$6/$X69)*$X$7&gt;K68*($X$7+$Z69)*$Y69,K68*($X$7+$Z69)-SUM($B70:J70),INT(K$6/$X69)*$X$7-K68*($X$7+$Z69)*($Y69-1)-SUM($B70:J70))+IF($Y69&gt;1,IF(INT(K$6/$X69)&gt;0,$Z69-$AA69,0),-$AA69)</f>
        <v>0</v>
      </c>
      <c r="L70" s="603">
        <f>IF(INT(L$6/$X69)*$X$7&gt;L68*($X$7+$Z69)*$Y69,L68*($X$7+$Z69)-SUM($B70:K70),INT(L$6/$X69)*$X$7-L68*($X$7+$Z69)*($Y69-1)-SUM($B70:K70))+IF($Y69&gt;1,IF(INT(L$6/$X69)&gt;0,$Z69-$AA69,0),-$AA69)</f>
        <v>0</v>
      </c>
      <c r="M70" s="603">
        <f>IF(INT(M$6/$X69)*$X$7&gt;M68*($X$7+$Z69)*$Y69,M68*($X$7+$Z69)-SUM($B70:L70),INT(M$6/$X69)*$X$7-M68*($X$7+$Z69)*($Y69-1)-SUM($B70:L70))+IF($Y69&gt;1,IF(INT(M$6/$X69)&gt;0,$Z69-$AA69,0),-$AA69)</f>
        <v>0</v>
      </c>
      <c r="N70" s="603">
        <f>IF(INT(N$6/$X69)*$X$7&gt;N68*($X$7+$Z69)*$Y69,N68*($X$7+$Z69)-SUM($B70:M70),INT(N$6/$X69)*$X$7-N68*($X$7+$Z69)*($Y69-1)-SUM($B70:M70))+IF($Y69&gt;1,IF(INT(N$6/$X69)&gt;0,$Z69-$AA69,0),-$AA69)</f>
        <v>0</v>
      </c>
      <c r="O70" s="603">
        <f>IF(INT(O$6/$X69)*$X$7&gt;O68*($X$7+$Z69)*$Y69,O68*($X$7+$Z69)-SUM($B70:N70),INT(O$6/$X69)*$X$7-O68*($X$7+$Z69)*($Y69-1)-SUM($B70:N70))+IF($Y69&gt;1,IF(INT(O$6/$X69)&gt;0,$Z69-$AA69,0),-$AA69)</f>
        <v>0</v>
      </c>
      <c r="P70" s="603">
        <f>IF(INT(P$6/$X69)*$X$7&gt;P68*($X$7+$Z69)*$Y69,P68*($X$7+$Z69)-SUM($B70:O70),INT(P$6/$X69)*$X$7-P68*($X$7+$Z69)*($Y69-1)-SUM($B70:O70))+IF($Y69&gt;1,IF(INT(P$6/$X69)&gt;0,$Z69-$AA69,0),-$AA69)</f>
        <v>0</v>
      </c>
      <c r="Q70" s="603">
        <f>IF(INT(Q$6/$X69)*$X$7&gt;Q68*($X$7+$Z69)*$Y69,Q68*($X$7+$Z69)-SUM($B70:P70),INT(Q$6/$X69)*$X$7-Q68*($X$7+$Z69)*($Y69-1)-SUM($B70:P70))+IF($Y69&gt;1,IF(INT(Q$6/$X69)&gt;0,$Z69-$AA69,0),-$AA69)</f>
        <v>0</v>
      </c>
      <c r="R70" s="603">
        <f>IF(INT(R$6/$X69)*$X$7&gt;R68*($X$7+$Z69)*$Y69,R68*($X$7+$Z69)-SUM($B70:Q70),INT(R$6/$X69)*$X$7-R68*($X$7+$Z69)*($Y69-1)-SUM($B70:Q70))+IF($Y69&gt;1,IF(INT(R$6/$X69)&gt;0,$Z69-$AA69,0),-$AA69)</f>
        <v>0</v>
      </c>
      <c r="S70" s="603">
        <f>IF(INT(S$6/$X69)*$X$7&gt;S68*($X$7+$Z69)*$Y69,S68*($X$7+$Z69)-SUM($B70:R70),INT(S$6/$X69)*$X$7-S68*($X$7+$Z69)*($Y69-1)-SUM($B70:R70))+IF($Y69&gt;1,IF(INT(S$6/$X69)&gt;0,$Z69-$AA69,0),-$AA69)</f>
        <v>0</v>
      </c>
      <c r="T70" s="603">
        <f>IF(INT(T$6/$X69)*$X$7&gt;T68*($X$7+$Z69)*$Y69,T68*($X$7+$Z69)-SUM($B70:S70),INT(T$6/$X69)*$X$7-T68*($X$7+$Z69)*($Y69-1)-SUM($B70:S70))+IF($Y69&gt;1,IF(INT(T$6/$X69)&gt;0,$Z69-$AA69,0),-$AA69)</f>
        <v>0</v>
      </c>
      <c r="U70" s="603">
        <f>IF(INT(U$6/$X69)*$X$7&gt;U68*($X$7+$Z69)*$Y69,U68*($X$7+$Z69)-SUM($B70:T70),INT(U$6/$X69)*$X$7-U68*($X$7+$Z69)*($Y69-1)-SUM($B70:T70))+IF($Y69&gt;1,IF(INT(U$6/$X69)&gt;0,$Z69-$AA69,0),-$AA69)</f>
        <v>0</v>
      </c>
      <c r="V70" s="603">
        <f>IF(INT(V$6/$X69)*$X$7&gt;V68*($X$7+$Z69)*$Y69,V68*($X$7+$Z69)-SUM($B70:U70),INT(V$6/$X69)*$X$7-V68*($X$7+$Z69)*($Y69-1)-SUM($B70:U70))+IF($Y69&gt;1,IF(INT(V$6/$X69)&gt;0,$Z69-$AA69,0),-$AA69)</f>
        <v>0</v>
      </c>
      <c r="W70" s="681"/>
      <c r="X70"/>
      <c r="Y70"/>
      <c r="Z70"/>
    </row>
    <row r="71" spans="1:28" s="102" customFormat="1">
      <c r="B71" s="615"/>
      <c r="C71" s="615"/>
      <c r="D71" s="615"/>
      <c r="E71" s="615"/>
      <c r="F71" s="615"/>
      <c r="G71" s="615"/>
      <c r="H71" s="615"/>
      <c r="I71" s="615"/>
      <c r="J71" s="615"/>
      <c r="K71" s="615"/>
      <c r="W71" s="663"/>
    </row>
    <row r="72" spans="1:28" s="102" customFormat="1" hidden="1">
      <c r="A72" s="140" t="s">
        <v>934</v>
      </c>
      <c r="B72" s="603"/>
      <c r="C72" s="140">
        <f t="shared" ref="C72:V72" si="21">INT((INT(C$6/$X73)*$X$7+$X$7+$Z73-1)/($X$7+$Z73)/$Y73)</f>
        <v>0</v>
      </c>
      <c r="D72" s="140">
        <f t="shared" si="21"/>
        <v>0</v>
      </c>
      <c r="E72" s="140">
        <f t="shared" si="21"/>
        <v>0</v>
      </c>
      <c r="F72" s="140">
        <f t="shared" si="21"/>
        <v>0</v>
      </c>
      <c r="G72" s="140">
        <f t="shared" si="21"/>
        <v>0</v>
      </c>
      <c r="H72" s="140">
        <f t="shared" si="21"/>
        <v>0</v>
      </c>
      <c r="I72" s="140">
        <f t="shared" si="21"/>
        <v>0</v>
      </c>
      <c r="J72" s="140">
        <f t="shared" si="21"/>
        <v>0</v>
      </c>
      <c r="K72" s="140">
        <f t="shared" si="21"/>
        <v>0</v>
      </c>
      <c r="L72" s="140">
        <f t="shared" si="21"/>
        <v>0</v>
      </c>
      <c r="M72" s="140">
        <f t="shared" si="21"/>
        <v>0</v>
      </c>
      <c r="N72" s="140">
        <f t="shared" si="21"/>
        <v>0</v>
      </c>
      <c r="O72" s="140">
        <f t="shared" si="21"/>
        <v>0</v>
      </c>
      <c r="P72" s="140">
        <f t="shared" si="21"/>
        <v>0</v>
      </c>
      <c r="Q72" s="140">
        <f t="shared" si="21"/>
        <v>0</v>
      </c>
      <c r="R72" s="140">
        <f t="shared" si="21"/>
        <v>0</v>
      </c>
      <c r="S72" s="140">
        <f t="shared" si="21"/>
        <v>0</v>
      </c>
      <c r="T72" s="140">
        <f t="shared" si="21"/>
        <v>0</v>
      </c>
      <c r="U72" s="140">
        <f t="shared" si="21"/>
        <v>0</v>
      </c>
      <c r="V72" s="140">
        <f t="shared" si="21"/>
        <v>0</v>
      </c>
    </row>
    <row r="73" spans="1:28" s="102" customFormat="1">
      <c r="A73" s="140" t="s">
        <v>935</v>
      </c>
      <c r="B73" s="603" t="s">
        <v>278</v>
      </c>
      <c r="C73" s="603">
        <f>IF($Y73=1,0,$X$7*(INT(C$6/$X73)-INT(B$6/$X73))-IF(SUM($B73:B73)&gt;0,C74,0))</f>
        <v>0</v>
      </c>
      <c r="D73" s="603">
        <f>IF($Y73=1,0,$X$7*(INT(D$6/$X73)-INT(C$6/$X73))-IF(SUM($B73:C73)&gt;0,D74,0))</f>
        <v>0</v>
      </c>
      <c r="E73" s="603">
        <f>IF($Y73=1,0,$X$7*(INT(E$6/$X73)-INT(D$6/$X73))-IF(SUM($B73:D73)&gt;0,E74,0))</f>
        <v>0</v>
      </c>
      <c r="F73" s="603">
        <f>IF($Y73=1,0,$X$7*(INT(F$6/$X73)-INT(E$6/$X73))-IF(SUM($B73:E73)&gt;0,F74,0))</f>
        <v>0</v>
      </c>
      <c r="G73" s="603">
        <f>IF($Y73=1,0,$X$7*(INT(G$6/$X73)-INT(F$6/$X73))-IF(SUM($B73:F73)&gt;0,G74,0))</f>
        <v>0</v>
      </c>
      <c r="H73" s="603">
        <f>IF($Y73=1,0,$X$7*(INT(H$6/$X73)-INT(G$6/$X73))-IF(SUM($B73:G73)&gt;0,H74,0))</f>
        <v>0</v>
      </c>
      <c r="I73" s="603">
        <f>IF($Y73=1,0,$X$7*(INT(I$6/$X73)-INT(H$6/$X73))-IF(SUM($B73:H73)&gt;0,I74,0))</f>
        <v>0</v>
      </c>
      <c r="J73" s="603">
        <f>IF($Y73=1,0,$X$7*(INT(J$6/$X73)-INT(I$6/$X73))-IF(SUM($B73:I73)&gt;0,J74,0))</f>
        <v>0</v>
      </c>
      <c r="K73" s="603">
        <f>IF($Y73=1,0,$X$7*(INT(K$6/$X73)-INT(J$6/$X73))-IF(SUM($B73:J73)&gt;0,K74,0))</f>
        <v>0</v>
      </c>
      <c r="L73" s="603">
        <f>IF($Y73=1,0,$X$7*(INT(L$6/$X73)-INT(K$6/$X73))-IF(SUM($B73:K73)&gt;0,L74,0))</f>
        <v>0</v>
      </c>
      <c r="M73" s="603">
        <f>IF($Y73=1,0,$X$7*(INT(M$6/$X73)-INT(L$6/$X73))-IF(SUM($B73:L73)&gt;0,M74,0))</f>
        <v>0</v>
      </c>
      <c r="N73" s="603">
        <f>IF($Y73=1,0,$X$7*(INT(N$6/$X73)-INT(M$6/$X73))-IF(SUM($B73:M73)&gt;0,N74,0))</f>
        <v>0</v>
      </c>
      <c r="O73" s="603">
        <f>IF($Y73=1,0,$X$7*(INT(O$6/$X73)-INT(N$6/$X73))-IF(SUM($B73:N73)&gt;0,O74,0))</f>
        <v>0</v>
      </c>
      <c r="P73" s="603">
        <f>IF($Y73=1,0,$X$7*(INT(P$6/$X73)-INT(O$6/$X73))-IF(SUM($B73:O73)&gt;0,P74,0))</f>
        <v>0</v>
      </c>
      <c r="Q73" s="603">
        <f>IF($Y73=1,0,$X$7*(INT(Q$6/$X73)-INT(P$6/$X73))-IF(SUM($B73:P73)&gt;0,Q74,0))</f>
        <v>0</v>
      </c>
      <c r="R73" s="603">
        <f>IF($Y73=1,0,$X$7*(INT(R$6/$X73)-INT(Q$6/$X73))-IF(SUM($B73:Q73)&gt;0,R74,0))</f>
        <v>0</v>
      </c>
      <c r="S73" s="603">
        <f>IF($Y73=1,0,$X$7*(INT(S$6/$X73)-INT(R$6/$X73))-IF(SUM($B73:R73)&gt;0,S74,0))</f>
        <v>0</v>
      </c>
      <c r="T73" s="603">
        <f>IF($Y73=1,0,$X$7*(INT(T$6/$X73)-INT(S$6/$X73))-IF(SUM($B73:S73)&gt;0,T74,0))</f>
        <v>0</v>
      </c>
      <c r="U73" s="603">
        <f>IF($Y73=1,0,$X$7*(INT(U$6/$X73)-INT(T$6/$X73))-IF(SUM($B73:T73)&gt;0,U74,0))</f>
        <v>0</v>
      </c>
      <c r="V73" s="603">
        <f>IF($Y73=1,0,$X$7*(INT(V$6/$X73)-INT(U$6/$X73))-IF(SUM($B73:U73)&gt;0,V74,0))</f>
        <v>0</v>
      </c>
      <c r="W73" s="728" t="str">
        <f xml:space="preserve"> 'GT schd cost(W501D5A)'!A28</f>
        <v>Row 2 ring segments</v>
      </c>
      <c r="X73" s="678">
        <f>IF($AD$6=1,'GTDB(W501D5A)'!B31,'GTDB(W501D5A)'!G31)</f>
        <v>24000</v>
      </c>
      <c r="Y73" s="678">
        <f>IF($AD$6=1,'GTDB(W501D5A)'!C31,'GTDB(W501D5A)'!H31)</f>
        <v>2</v>
      </c>
      <c r="Z73" s="679">
        <v>1</v>
      </c>
      <c r="AA73" s="834">
        <f>'Initial_Spares(W501D5A)'!$E$25</f>
        <v>0</v>
      </c>
      <c r="AB73" s="642">
        <f>'GT schd cost(W501D5A)'!X28+'GT schd cost(W501D5A)'!X54</f>
        <v>0</v>
      </c>
    </row>
    <row r="74" spans="1:28" s="102" customFormat="1">
      <c r="A74" s="140" t="s">
        <v>936</v>
      </c>
      <c r="B74" s="603" t="s">
        <v>278</v>
      </c>
      <c r="C74" s="603">
        <f>IF(INT(C$6/$X73)*$X$7&gt;C72*($X$7+$Z73)*$Y73,C72*($X$7+$Z73)-SUM($B74:B74),INT(C$6/$X73)*$X$7-C72*($X$7+$Z73)*($Y73-1)-SUM($B74:B74))+IF($Y73&gt;1,IF(INT(C$6/$X73)&gt;0,$Z73-$AA73,0),-$AA73)</f>
        <v>0</v>
      </c>
      <c r="D74" s="603">
        <f>IF(INT(D$6/$X73)*$X$7&gt;D72*($X$7+$Z73)*$Y73,D72*($X$7+$Z73)-SUM($B74:C74),INT(D$6/$X73)*$X$7-D72*($X$7+$Z73)*($Y73-1)-SUM($B74:C74))+IF($Y73&gt;1,IF(INT(D$6/$X73)&gt;0,$Z73-$AA73,0),-$AA73)</f>
        <v>0</v>
      </c>
      <c r="E74" s="603">
        <f>IF(INT(E$6/$X73)*$X$7&gt;E72*($X$7+$Z73)*$Y73,E72*($X$7+$Z73)-SUM($B74:D74),INT(E$6/$X73)*$X$7-E72*($X$7+$Z73)*($Y73-1)-SUM($B74:D74))+IF($Y73&gt;1,IF(INT(E$6/$X73)&gt;0,$Z73-$AA73,0),-$AA73)</f>
        <v>0</v>
      </c>
      <c r="F74" s="603">
        <f>IF(INT(F$6/$X73)*$X$7&gt;F72*($X$7+$Z73)*$Y73,F72*($X$7+$Z73)-SUM($B74:E74),INT(F$6/$X73)*$X$7-F72*($X$7+$Z73)*($Y73-1)-SUM($B74:E74))+IF($Y73&gt;1,IF(INT(F$6/$X73)&gt;0,$Z73-$AA73,0),-$AA73)</f>
        <v>0</v>
      </c>
      <c r="G74" s="603">
        <f>IF(INT(G$6/$X73)*$X$7&gt;G72*($X$7+$Z73)*$Y73,G72*($X$7+$Z73)-SUM($B74:F74),INT(G$6/$X73)*$X$7-G72*($X$7+$Z73)*($Y73-1)-SUM($B74:F74))+IF($Y73&gt;1,IF(INT(G$6/$X73)&gt;0,$Z73-$AA73,0),-$AA73)</f>
        <v>0</v>
      </c>
      <c r="H74" s="603">
        <f>IF(INT(H$6/$X73)*$X$7&gt;H72*($X$7+$Z73)*$Y73,H72*($X$7+$Z73)-SUM($B74:G74),INT(H$6/$X73)*$X$7-H72*($X$7+$Z73)*($Y73-1)-SUM($B74:G74))+IF($Y73&gt;1,IF(INT(H$6/$X73)&gt;0,$Z73-$AA73,0),-$AA73)</f>
        <v>0</v>
      </c>
      <c r="I74" s="603">
        <f>IF(INT(I$6/$X73)*$X$7&gt;I72*($X$7+$Z73)*$Y73,I72*($X$7+$Z73)-SUM($B74:H74),INT(I$6/$X73)*$X$7-I72*($X$7+$Z73)*($Y73-1)-SUM($B74:H74))+IF($Y73&gt;1,IF(INT(I$6/$X73)&gt;0,$Z73-$AA73,0),-$AA73)</f>
        <v>0</v>
      </c>
      <c r="J74" s="603">
        <f>IF(INT(J$6/$X73)*$X$7&gt;J72*($X$7+$Z73)*$Y73,J72*($X$7+$Z73)-SUM($B74:I74),INT(J$6/$X73)*$X$7-J72*($X$7+$Z73)*($Y73-1)-SUM($B74:I74))+IF($Y73&gt;1,IF(INT(J$6/$X73)&gt;0,$Z73-$AA73,0),-$AA73)</f>
        <v>0</v>
      </c>
      <c r="K74" s="603">
        <f>IF(INT(K$6/$X73)*$X$7&gt;K72*($X$7+$Z73)*$Y73,K72*($X$7+$Z73)-SUM($B74:J74),INT(K$6/$X73)*$X$7-K72*($X$7+$Z73)*($Y73-1)-SUM($B74:J74))+IF($Y73&gt;1,IF(INT(K$6/$X73)&gt;0,$Z73-$AA73,0),-$AA73)</f>
        <v>0</v>
      </c>
      <c r="L74" s="603">
        <f>IF(INT(L$6/$X73)*$X$7&gt;L72*($X$7+$Z73)*$Y73,L72*($X$7+$Z73)-SUM($B74:K74),INT(L$6/$X73)*$X$7-L72*($X$7+$Z73)*($Y73-1)-SUM($B74:K74))+IF($Y73&gt;1,IF(INT(L$6/$X73)&gt;0,$Z73-$AA73,0),-$AA73)</f>
        <v>0</v>
      </c>
      <c r="M74" s="603">
        <f>IF(INT(M$6/$X73)*$X$7&gt;M72*($X$7+$Z73)*$Y73,M72*($X$7+$Z73)-SUM($B74:L74),INT(M$6/$X73)*$X$7-M72*($X$7+$Z73)*($Y73-1)-SUM($B74:L74))+IF($Y73&gt;1,IF(INT(M$6/$X73)&gt;0,$Z73-$AA73,0),-$AA73)</f>
        <v>0</v>
      </c>
      <c r="N74" s="603">
        <f>IF(INT(N$6/$X73)*$X$7&gt;N72*($X$7+$Z73)*$Y73,N72*($X$7+$Z73)-SUM($B74:M74),INT(N$6/$X73)*$X$7-N72*($X$7+$Z73)*($Y73-1)-SUM($B74:M74))+IF($Y73&gt;1,IF(INT(N$6/$X73)&gt;0,$Z73-$AA73,0),-$AA73)</f>
        <v>0</v>
      </c>
      <c r="O74" s="603">
        <f>IF(INT(O$6/$X73)*$X$7&gt;O72*($X$7+$Z73)*$Y73,O72*($X$7+$Z73)-SUM($B74:N74),INT(O$6/$X73)*$X$7-O72*($X$7+$Z73)*($Y73-1)-SUM($B74:N74))+IF($Y73&gt;1,IF(INT(O$6/$X73)&gt;0,$Z73-$AA73,0),-$AA73)</f>
        <v>0</v>
      </c>
      <c r="P74" s="603">
        <f>IF(INT(P$6/$X73)*$X$7&gt;P72*($X$7+$Z73)*$Y73,P72*($X$7+$Z73)-SUM($B74:O74),INT(P$6/$X73)*$X$7-P72*($X$7+$Z73)*($Y73-1)-SUM($B74:O74))+IF($Y73&gt;1,IF(INT(P$6/$X73)&gt;0,$Z73-$AA73,0),-$AA73)</f>
        <v>0</v>
      </c>
      <c r="Q74" s="603">
        <f>IF(INT(Q$6/$X73)*$X$7&gt;Q72*($X$7+$Z73)*$Y73,Q72*($X$7+$Z73)-SUM($B74:P74),INT(Q$6/$X73)*$X$7-Q72*($X$7+$Z73)*($Y73-1)-SUM($B74:P74))+IF($Y73&gt;1,IF(INT(Q$6/$X73)&gt;0,$Z73-$AA73,0),-$AA73)</f>
        <v>0</v>
      </c>
      <c r="R74" s="603">
        <f>IF(INT(R$6/$X73)*$X$7&gt;R72*($X$7+$Z73)*$Y73,R72*($X$7+$Z73)-SUM($B74:Q74),INT(R$6/$X73)*$X$7-R72*($X$7+$Z73)*($Y73-1)-SUM($B74:Q74))+IF($Y73&gt;1,IF(INT(R$6/$X73)&gt;0,$Z73-$AA73,0),-$AA73)</f>
        <v>0</v>
      </c>
      <c r="S74" s="603">
        <f>IF(INT(S$6/$X73)*$X$7&gt;S72*($X$7+$Z73)*$Y73,S72*($X$7+$Z73)-SUM($B74:R74),INT(S$6/$X73)*$X$7-S72*($X$7+$Z73)*($Y73-1)-SUM($B74:R74))+IF($Y73&gt;1,IF(INT(S$6/$X73)&gt;0,$Z73-$AA73,0),-$AA73)</f>
        <v>0</v>
      </c>
      <c r="T74" s="603">
        <f>IF(INT(T$6/$X73)*$X$7&gt;T72*($X$7+$Z73)*$Y73,T72*($X$7+$Z73)-SUM($B74:S74),INT(T$6/$X73)*$X$7-T72*($X$7+$Z73)*($Y73-1)-SUM($B74:S74))+IF($Y73&gt;1,IF(INT(T$6/$X73)&gt;0,$Z73-$AA73,0),-$AA73)</f>
        <v>0</v>
      </c>
      <c r="U74" s="603">
        <f>IF(INT(U$6/$X73)*$X$7&gt;U72*($X$7+$Z73)*$Y73,U72*($X$7+$Z73)-SUM($B74:T74),INT(U$6/$X73)*$X$7-U72*($X$7+$Z73)*($Y73-1)-SUM($B74:T74))+IF($Y73&gt;1,IF(INT(U$6/$X73)&gt;0,$Z73-$AA73,0),-$AA73)</f>
        <v>0</v>
      </c>
      <c r="V74" s="603">
        <f>IF(INT(V$6/$X73)*$X$7&gt;V72*($X$7+$Z73)*$Y73,V72*($X$7+$Z73)-SUM($B74:U74),INT(V$6/$X73)*$X$7-V72*($X$7+$Z73)*($Y73-1)-SUM($B74:U74))+IF($Y73&gt;1,IF(INT(V$6/$X73)&gt;0,$Z73-$AA73,0),-$AA73)</f>
        <v>0</v>
      </c>
      <c r="W74" s="681"/>
      <c r="X74"/>
      <c r="Y74"/>
      <c r="Z74"/>
    </row>
    <row r="75" spans="1:28" s="102" customFormat="1">
      <c r="B75" s="615"/>
      <c r="C75" s="615"/>
      <c r="D75" s="615"/>
      <c r="E75" s="615"/>
      <c r="F75" s="615"/>
      <c r="G75" s="615"/>
      <c r="H75" s="615"/>
      <c r="J75" s="615"/>
      <c r="K75" s="615"/>
      <c r="L75" s="615"/>
      <c r="M75" s="615"/>
      <c r="W75" s="663"/>
    </row>
    <row r="76" spans="1:28" s="102" customFormat="1" hidden="1">
      <c r="A76" s="140" t="s">
        <v>934</v>
      </c>
      <c r="B76" s="603"/>
      <c r="C76" s="140">
        <f t="shared" ref="C76:V76" si="22">INT((INT(C$6/$X77)*$X$7+$X$7+$Z77-1)/($X$7+$Z77)/$Y77)</f>
        <v>0</v>
      </c>
      <c r="D76" s="140">
        <f t="shared" si="22"/>
        <v>0</v>
      </c>
      <c r="E76" s="140">
        <f t="shared" si="22"/>
        <v>0</v>
      </c>
      <c r="F76" s="140">
        <f t="shared" si="22"/>
        <v>0</v>
      </c>
      <c r="G76" s="140">
        <f t="shared" si="22"/>
        <v>0</v>
      </c>
      <c r="H76" s="140">
        <f t="shared" si="22"/>
        <v>0</v>
      </c>
      <c r="I76" s="140">
        <f t="shared" si="22"/>
        <v>0</v>
      </c>
      <c r="J76" s="140">
        <f t="shared" si="22"/>
        <v>0</v>
      </c>
      <c r="K76" s="140">
        <f t="shared" si="22"/>
        <v>0</v>
      </c>
      <c r="L76" s="140">
        <f t="shared" si="22"/>
        <v>0</v>
      </c>
      <c r="M76" s="140">
        <f t="shared" si="22"/>
        <v>0</v>
      </c>
      <c r="N76" s="140">
        <f t="shared" si="22"/>
        <v>0</v>
      </c>
      <c r="O76" s="140">
        <f t="shared" si="22"/>
        <v>0</v>
      </c>
      <c r="P76" s="140">
        <f t="shared" si="22"/>
        <v>0</v>
      </c>
      <c r="Q76" s="140">
        <f t="shared" si="22"/>
        <v>0</v>
      </c>
      <c r="R76" s="140">
        <f t="shared" si="22"/>
        <v>0</v>
      </c>
      <c r="S76" s="140">
        <f t="shared" si="22"/>
        <v>0</v>
      </c>
      <c r="T76" s="140">
        <f t="shared" si="22"/>
        <v>0</v>
      </c>
      <c r="U76" s="140">
        <f t="shared" si="22"/>
        <v>0</v>
      </c>
      <c r="V76" s="140">
        <f t="shared" si="22"/>
        <v>0</v>
      </c>
    </row>
    <row r="77" spans="1:28" s="102" customFormat="1">
      <c r="A77" s="140" t="s">
        <v>935</v>
      </c>
      <c r="B77" s="603" t="s">
        <v>278</v>
      </c>
      <c r="C77" s="603">
        <f>IF($Y77=1,0,$X$7*(INT(C$6/$X77)-INT(B$6/$X77))-IF(SUM($B77:B77)&gt;0,C78,0))</f>
        <v>0</v>
      </c>
      <c r="D77" s="603">
        <f>IF($Y77=1,0,$X$7*(INT(D$6/$X77)-INT(C$6/$X77))-IF(SUM($B77:C77)&gt;0,D78,0))</f>
        <v>0</v>
      </c>
      <c r="E77" s="603">
        <f>IF($Y77=1,0,$X$7*(INT(E$6/$X77)-INT(D$6/$X77))-IF(SUM($B77:D77)&gt;0,E78,0))</f>
        <v>0</v>
      </c>
      <c r="F77" s="603">
        <f>IF($Y77=1,0,$X$7*(INT(F$6/$X77)-INT(E$6/$X77))-IF(SUM($B77:E77)&gt;0,F78,0))</f>
        <v>0</v>
      </c>
      <c r="G77" s="603">
        <f>IF($Y77=1,0,$X$7*(INT(G$6/$X77)-INT(F$6/$X77))-IF(SUM($B77:F77)&gt;0,G78,0))</f>
        <v>0</v>
      </c>
      <c r="H77" s="603">
        <f>IF($Y77=1,0,$X$7*(INT(H$6/$X77)-INT(G$6/$X77))-IF(SUM($B77:G77)&gt;0,H78,0))</f>
        <v>0</v>
      </c>
      <c r="I77" s="603">
        <f>IF($Y77=1,0,$X$7*(INT(I$6/$X77)-INT(H$6/$X77))-IF(SUM($B77:H77)&gt;0,I78,0))</f>
        <v>0</v>
      </c>
      <c r="J77" s="603">
        <f>IF($Y77=1,0,$X$7*(INT(J$6/$X77)-INT(I$6/$X77))-IF(SUM($B77:I77)&gt;0,J78,0))</f>
        <v>0</v>
      </c>
      <c r="K77" s="603">
        <f>IF($Y77=1,0,$X$7*(INT(K$6/$X77)-INT(J$6/$X77))-IF(SUM($B77:J77)&gt;0,K78,0))</f>
        <v>0</v>
      </c>
      <c r="L77" s="603">
        <f>IF($Y77=1,0,$X$7*(INT(L$6/$X77)-INT(K$6/$X77))-IF(SUM($B77:K77)&gt;0,L78,0))</f>
        <v>0</v>
      </c>
      <c r="M77" s="603">
        <f>IF($Y77=1,0,$X$7*(INT(M$6/$X77)-INT(L$6/$X77))-IF(SUM($B77:L77)&gt;0,M78,0))</f>
        <v>0</v>
      </c>
      <c r="N77" s="603">
        <f>IF($Y77=1,0,$X$7*(INT(N$6/$X77)-INT(M$6/$X77))-IF(SUM($B77:M77)&gt;0,N78,0))</f>
        <v>0</v>
      </c>
      <c r="O77" s="603">
        <f>IF($Y77=1,0,$X$7*(INT(O$6/$X77)-INT(N$6/$X77))-IF(SUM($B77:N77)&gt;0,O78,0))</f>
        <v>0</v>
      </c>
      <c r="P77" s="603">
        <f>IF($Y77=1,0,$X$7*(INT(P$6/$X77)-INT(O$6/$X77))-IF(SUM($B77:O77)&gt;0,P78,0))</f>
        <v>0</v>
      </c>
      <c r="Q77" s="603">
        <f>IF($Y77=1,0,$X$7*(INT(Q$6/$X77)-INT(P$6/$X77))-IF(SUM($B77:P77)&gt;0,Q78,0))</f>
        <v>0</v>
      </c>
      <c r="R77" s="603">
        <f>IF($Y77=1,0,$X$7*(INT(R$6/$X77)-INT(Q$6/$X77))-IF(SUM($B77:Q77)&gt;0,R78,0))</f>
        <v>0</v>
      </c>
      <c r="S77" s="603">
        <f>IF($Y77=1,0,$X$7*(INT(S$6/$X77)-INT(R$6/$X77))-IF(SUM($B77:R77)&gt;0,S78,0))</f>
        <v>0</v>
      </c>
      <c r="T77" s="603">
        <f>IF($Y77=1,0,$X$7*(INT(T$6/$X77)-INT(S$6/$X77))-IF(SUM($B77:S77)&gt;0,T78,0))</f>
        <v>0</v>
      </c>
      <c r="U77" s="603">
        <f>IF($Y77=1,0,$X$7*(INT(U$6/$X77)-INT(T$6/$X77))-IF(SUM($B77:T77)&gt;0,U78,0))</f>
        <v>0</v>
      </c>
      <c r="V77" s="603">
        <f>IF($Y77=1,0,$X$7*(INT(V$6/$X77)-INT(U$6/$X77))-IF(SUM($B77:U77)&gt;0,V78,0))</f>
        <v>0</v>
      </c>
      <c r="W77" s="728" t="str">
        <f xml:space="preserve"> 'GT schd cost(W501D5A)'!A29</f>
        <v>Row 3 rings segments</v>
      </c>
      <c r="X77" s="678">
        <f>IF($AD$6=1,'GTDB(W501D5A)'!B32,'GTDB(W501D5A)'!G32)</f>
        <v>48000</v>
      </c>
      <c r="Y77" s="678">
        <f>IF($AD$6=1,'GTDB(W501D5A)'!C32,'GTDB(W501D5A)'!H32)</f>
        <v>1.5</v>
      </c>
      <c r="Z77" s="679">
        <v>1</v>
      </c>
      <c r="AA77" s="834">
        <f>'Initial_Spares(W501D5A)'!$E$26</f>
        <v>0</v>
      </c>
      <c r="AB77" s="642">
        <f>'GT schd cost(W501D5A)'!X29+'GT schd cost(W501D5A)'!X55</f>
        <v>0</v>
      </c>
    </row>
    <row r="78" spans="1:28" s="102" customFormat="1">
      <c r="A78" s="140" t="s">
        <v>936</v>
      </c>
      <c r="B78" s="603" t="s">
        <v>278</v>
      </c>
      <c r="C78" s="603">
        <f>IF(INT(C$6/$X77)*$X$7&gt;C76*($X$7+$Z77)*$Y77,C76*($X$7+$Z77)-SUM($B78:B78),INT(C$6/$X77)*$X$7-C76*($X$7+$Z77)*($Y77-1)-SUM($B78:B78))+IF($Y77&gt;1,IF(INT(C$6/$X77)&gt;0,$Z77-$AA77,0),-$AA77)</f>
        <v>0</v>
      </c>
      <c r="D78" s="603">
        <f>IF(INT(D$6/$X77)*$X$7&gt;D76*($X$7+$Z77)*$Y77,D76*($X$7+$Z77)-SUM($B78:C78),INT(D$6/$X77)*$X$7-D76*($X$7+$Z77)*($Y77-1)-SUM($B78:C78))+IF($Y77&gt;1,IF(INT(D$6/$X77)&gt;0,$Z77-$AA77,0),-$AA77)</f>
        <v>0</v>
      </c>
      <c r="E78" s="603">
        <f>IF(INT(E$6/$X77)*$X$7&gt;E76*($X$7+$Z77)*$Y77,E76*($X$7+$Z77)-SUM($B78:D78),INT(E$6/$X77)*$X$7-E76*($X$7+$Z77)*($Y77-1)-SUM($B78:D78))+IF($Y77&gt;1,IF(INT(E$6/$X77)&gt;0,$Z77-$AA77,0),-$AA77)</f>
        <v>0</v>
      </c>
      <c r="F78" s="603">
        <f>IF(INT(F$6/$X77)*$X$7&gt;F76*($X$7+$Z77)*$Y77,F76*($X$7+$Z77)-SUM($B78:E78),INT(F$6/$X77)*$X$7-F76*($X$7+$Z77)*($Y77-1)-SUM($B78:E78))+IF($Y77&gt;1,IF(INT(F$6/$X77)&gt;0,$Z77-$AA77,0),-$AA77)</f>
        <v>0</v>
      </c>
      <c r="G78" s="603">
        <f>IF(INT(G$6/$X77)*$X$7&gt;G76*($X$7+$Z77)*$Y77,G76*($X$7+$Z77)-SUM($B78:F78),INT(G$6/$X77)*$X$7-G76*($X$7+$Z77)*($Y77-1)-SUM($B78:F78))+IF($Y77&gt;1,IF(INT(G$6/$X77)&gt;0,$Z77-$AA77,0),-$AA77)</f>
        <v>0</v>
      </c>
      <c r="H78" s="603">
        <f>IF(INT(H$6/$X77)*$X$7&gt;H76*($X$7+$Z77)*$Y77,H76*($X$7+$Z77)-SUM($B78:G78),INT(H$6/$X77)*$X$7-H76*($X$7+$Z77)*($Y77-1)-SUM($B78:G78))+IF($Y77&gt;1,IF(INT(H$6/$X77)&gt;0,$Z77-$AA77,0),-$AA77)</f>
        <v>0</v>
      </c>
      <c r="I78" s="603">
        <f>IF(INT(I$6/$X77)*$X$7&gt;I76*($X$7+$Z77)*$Y77,I76*($X$7+$Z77)-SUM($B78:H78),INT(I$6/$X77)*$X$7-I76*($X$7+$Z77)*($Y77-1)-SUM($B78:H78))+IF($Y77&gt;1,IF(INT(I$6/$X77)&gt;0,$Z77-$AA77,0),-$AA77)</f>
        <v>0</v>
      </c>
      <c r="J78" s="603">
        <f>IF(INT(J$6/$X77)*$X$7&gt;J76*($X$7+$Z77)*$Y77,J76*($X$7+$Z77)-SUM($B78:I78),INT(J$6/$X77)*$X$7-J76*($X$7+$Z77)*($Y77-1)-SUM($B78:I78))+IF($Y77&gt;1,IF(INT(J$6/$X77)&gt;0,$Z77-$AA77,0),-$AA77)</f>
        <v>0</v>
      </c>
      <c r="K78" s="603">
        <f>IF(INT(K$6/$X77)*$X$7&gt;K76*($X$7+$Z77)*$Y77,K76*($X$7+$Z77)-SUM($B78:J78),INT(K$6/$X77)*$X$7-K76*($X$7+$Z77)*($Y77-1)-SUM($B78:J78))+IF($Y77&gt;1,IF(INT(K$6/$X77)&gt;0,$Z77-$AA77,0),-$AA77)</f>
        <v>0</v>
      </c>
      <c r="L78" s="603">
        <f>IF(INT(L$6/$X77)*$X$7&gt;L76*($X$7+$Z77)*$Y77,L76*($X$7+$Z77)-SUM($B78:K78),INT(L$6/$X77)*$X$7-L76*($X$7+$Z77)*($Y77-1)-SUM($B78:K78))+IF($Y77&gt;1,IF(INT(L$6/$X77)&gt;0,$Z77-$AA77,0),-$AA77)</f>
        <v>0</v>
      </c>
      <c r="M78" s="603">
        <f>IF(INT(M$6/$X77)*$X$7&gt;M76*($X$7+$Z77)*$Y77,M76*($X$7+$Z77)-SUM($B78:L78),INT(M$6/$X77)*$X$7-M76*($X$7+$Z77)*($Y77-1)-SUM($B78:L78))+IF($Y77&gt;1,IF(INT(M$6/$X77)&gt;0,$Z77-$AA77,0),-$AA77)</f>
        <v>0</v>
      </c>
      <c r="N78" s="603">
        <f>IF(INT(N$6/$X77)*$X$7&gt;N76*($X$7+$Z77)*$Y77,N76*($X$7+$Z77)-SUM($B78:M78),INT(N$6/$X77)*$X$7-N76*($X$7+$Z77)*($Y77-1)-SUM($B78:M78))+IF($Y77&gt;1,IF(INT(N$6/$X77)&gt;0,$Z77-$AA77,0),-$AA77)</f>
        <v>0</v>
      </c>
      <c r="O78" s="603">
        <f>IF(INT(O$6/$X77)*$X$7&gt;O76*($X$7+$Z77)*$Y77,O76*($X$7+$Z77)-SUM($B78:N78),INT(O$6/$X77)*$X$7-O76*($X$7+$Z77)*($Y77-1)-SUM($B78:N78))+IF($Y77&gt;1,IF(INT(O$6/$X77)&gt;0,$Z77-$AA77,0),-$AA77)</f>
        <v>0</v>
      </c>
      <c r="P78" s="603">
        <f>IF(INT(P$6/$X77)*$X$7&gt;P76*($X$7+$Z77)*$Y77,P76*($X$7+$Z77)-SUM($B78:O78),INT(P$6/$X77)*$X$7-P76*($X$7+$Z77)*($Y77-1)-SUM($B78:O78))+IF($Y77&gt;1,IF(INT(P$6/$X77)&gt;0,$Z77-$AA77,0),-$AA77)</f>
        <v>0</v>
      </c>
      <c r="Q78" s="603">
        <f>IF(INT(Q$6/$X77)*$X$7&gt;Q76*($X$7+$Z77)*$Y77,Q76*($X$7+$Z77)-SUM($B78:P78),INT(Q$6/$X77)*$X$7-Q76*($X$7+$Z77)*($Y77-1)-SUM($B78:P78))+IF($Y77&gt;1,IF(INT(Q$6/$X77)&gt;0,$Z77-$AA77,0),-$AA77)</f>
        <v>0</v>
      </c>
      <c r="R78" s="603">
        <f>IF(INT(R$6/$X77)*$X$7&gt;R76*($X$7+$Z77)*$Y77,R76*($X$7+$Z77)-SUM($B78:Q78),INT(R$6/$X77)*$X$7-R76*($X$7+$Z77)*($Y77-1)-SUM($B78:Q78))+IF($Y77&gt;1,IF(INT(R$6/$X77)&gt;0,$Z77-$AA77,0),-$AA77)</f>
        <v>0</v>
      </c>
      <c r="S78" s="603">
        <f>IF(INT(S$6/$X77)*$X$7&gt;S76*($X$7+$Z77)*$Y77,S76*($X$7+$Z77)-SUM($B78:R78),INT(S$6/$X77)*$X$7-S76*($X$7+$Z77)*($Y77-1)-SUM($B78:R78))+IF($Y77&gt;1,IF(INT(S$6/$X77)&gt;0,$Z77-$AA77,0),-$AA77)</f>
        <v>0</v>
      </c>
      <c r="T78" s="603">
        <f>IF(INT(T$6/$X77)*$X$7&gt;T76*($X$7+$Z77)*$Y77,T76*($X$7+$Z77)-SUM($B78:S78),INT(T$6/$X77)*$X$7-T76*($X$7+$Z77)*($Y77-1)-SUM($B78:S78))+IF($Y77&gt;1,IF(INT(T$6/$X77)&gt;0,$Z77-$AA77,0),-$AA77)</f>
        <v>0</v>
      </c>
      <c r="U78" s="603">
        <f>IF(INT(U$6/$X77)*$X$7&gt;U76*($X$7+$Z77)*$Y77,U76*($X$7+$Z77)-SUM($B78:T78),INT(U$6/$X77)*$X$7-U76*($X$7+$Z77)*($Y77-1)-SUM($B78:T78))+IF($Y77&gt;1,IF(INT(U$6/$X77)&gt;0,$Z77-$AA77,0),-$AA77)</f>
        <v>0</v>
      </c>
      <c r="V78" s="603">
        <f>IF(INT(V$6/$X77)*$X$7&gt;V76*($X$7+$Z77)*$Y77,V76*($X$7+$Z77)-SUM($B78:U78),INT(V$6/$X77)*$X$7-V76*($X$7+$Z77)*($Y77-1)-SUM($B78:U78))+IF($Y77&gt;1,IF(INT(V$6/$X77)&gt;0,$Z77-$AA77,0),-$AA77)</f>
        <v>0</v>
      </c>
      <c r="W78" s="681"/>
      <c r="X78"/>
      <c r="Y78"/>
      <c r="Z78"/>
    </row>
    <row r="79" spans="1:28" s="102" customFormat="1">
      <c r="W79" s="663"/>
    </row>
    <row r="80" spans="1:28" s="102" customFormat="1" hidden="1">
      <c r="A80" s="140" t="s">
        <v>934</v>
      </c>
      <c r="B80" s="603"/>
      <c r="C80" s="140">
        <f t="shared" ref="C80:V80" si="23">INT((INT(C$6/$X81)*$X$7+$X$7+$Z81-1)/($X$7+$Z81)/$Y81)</f>
        <v>0</v>
      </c>
      <c r="D80" s="140">
        <f t="shared" si="23"/>
        <v>0</v>
      </c>
      <c r="E80" s="140">
        <f t="shared" si="23"/>
        <v>0</v>
      </c>
      <c r="F80" s="140">
        <f t="shared" si="23"/>
        <v>0</v>
      </c>
      <c r="G80" s="140">
        <f t="shared" si="23"/>
        <v>0</v>
      </c>
      <c r="H80" s="140">
        <f t="shared" si="23"/>
        <v>0</v>
      </c>
      <c r="I80" s="140">
        <f t="shared" si="23"/>
        <v>0</v>
      </c>
      <c r="J80" s="140">
        <f t="shared" si="23"/>
        <v>0</v>
      </c>
      <c r="K80" s="140">
        <f t="shared" si="23"/>
        <v>0</v>
      </c>
      <c r="L80" s="140">
        <f t="shared" si="23"/>
        <v>0</v>
      </c>
      <c r="M80" s="140">
        <f t="shared" si="23"/>
        <v>0</v>
      </c>
      <c r="N80" s="140">
        <f t="shared" si="23"/>
        <v>0</v>
      </c>
      <c r="O80" s="140">
        <f t="shared" si="23"/>
        <v>0</v>
      </c>
      <c r="P80" s="140">
        <f t="shared" si="23"/>
        <v>0</v>
      </c>
      <c r="Q80" s="140">
        <f t="shared" si="23"/>
        <v>0</v>
      </c>
      <c r="R80" s="140">
        <f t="shared" si="23"/>
        <v>0</v>
      </c>
      <c r="S80" s="140">
        <f t="shared" si="23"/>
        <v>0</v>
      </c>
      <c r="T80" s="140">
        <f t="shared" si="23"/>
        <v>0</v>
      </c>
      <c r="U80" s="140">
        <f t="shared" si="23"/>
        <v>0</v>
      </c>
      <c r="V80" s="140">
        <f t="shared" si="23"/>
        <v>0</v>
      </c>
    </row>
    <row r="81" spans="1:28" s="102" customFormat="1">
      <c r="A81" s="140" t="s">
        <v>935</v>
      </c>
      <c r="B81" s="603" t="s">
        <v>278</v>
      </c>
      <c r="C81" s="603">
        <f>IF($Y81=1,0,$X$7*(INT(C$6/$X81)-INT(B$6/$X81))-IF(SUM($B81:B81)&gt;0,C82,0))</f>
        <v>0</v>
      </c>
      <c r="D81" s="603">
        <f>IF($Y81=1,0,$X$7*(INT(D$6/$X81)-INT(C$6/$X81))-IF(SUM($B81:C81)&gt;0,D82,0))</f>
        <v>0</v>
      </c>
      <c r="E81" s="603">
        <f>IF($Y81=1,0,$X$7*(INT(E$6/$X81)-INT(D$6/$X81))-IF(SUM($B81:D81)&gt;0,E82,0))</f>
        <v>0</v>
      </c>
      <c r="F81" s="603">
        <f>IF($Y81=1,0,$X$7*(INT(F$6/$X81)-INT(E$6/$X81))-IF(SUM($B81:E81)&gt;0,F82,0))</f>
        <v>0</v>
      </c>
      <c r="G81" s="603">
        <f>IF($Y81=1,0,$X$7*(INT(G$6/$X81)-INT(F$6/$X81))-IF(SUM($B81:F81)&gt;0,G82,0))</f>
        <v>0</v>
      </c>
      <c r="H81" s="603">
        <f>IF($Y81=1,0,$X$7*(INT(H$6/$X81)-INT(G$6/$X81))-IF(SUM($B81:G81)&gt;0,H82,0))</f>
        <v>0</v>
      </c>
      <c r="I81" s="603">
        <f>IF($Y81=1,0,$X$7*(INT(I$6/$X81)-INT(H$6/$X81))-IF(SUM($B81:H81)&gt;0,I82,0))</f>
        <v>0</v>
      </c>
      <c r="J81" s="603">
        <f>IF($Y81=1,0,$X$7*(INT(J$6/$X81)-INT(I$6/$X81))-IF(SUM($B81:I81)&gt;0,J82,0))</f>
        <v>0</v>
      </c>
      <c r="K81" s="603">
        <f>IF($Y81=1,0,$X$7*(INT(K$6/$X81)-INT(J$6/$X81))-IF(SUM($B81:J81)&gt;0,K82,0))</f>
        <v>0</v>
      </c>
      <c r="L81" s="603">
        <f>IF($Y81=1,0,$X$7*(INT(L$6/$X81)-INT(K$6/$X81))-IF(SUM($B81:K81)&gt;0,L82,0))</f>
        <v>0</v>
      </c>
      <c r="M81" s="603">
        <f>IF($Y81=1,0,$X$7*(INT(M$6/$X81)-INT(L$6/$X81))-IF(SUM($B81:L81)&gt;0,M82,0))</f>
        <v>0</v>
      </c>
      <c r="N81" s="603">
        <f>IF($Y81=1,0,$X$7*(INT(N$6/$X81)-INT(M$6/$X81))-IF(SUM($B81:M81)&gt;0,N82,0))</f>
        <v>0</v>
      </c>
      <c r="O81" s="603">
        <f>IF($Y81=1,0,$X$7*(INT(O$6/$X81)-INT(N$6/$X81))-IF(SUM($B81:N81)&gt;0,O82,0))</f>
        <v>0</v>
      </c>
      <c r="P81" s="603">
        <f>IF($Y81=1,0,$X$7*(INT(P$6/$X81)-INT(O$6/$X81))-IF(SUM($B81:O81)&gt;0,P82,0))</f>
        <v>0</v>
      </c>
      <c r="Q81" s="603">
        <f>IF($Y81=1,0,$X$7*(INT(Q$6/$X81)-INT(P$6/$X81))-IF(SUM($B81:P81)&gt;0,Q82,0))</f>
        <v>0</v>
      </c>
      <c r="R81" s="603">
        <f>IF($Y81=1,0,$X$7*(INT(R$6/$X81)-INT(Q$6/$X81))-IF(SUM($B81:Q81)&gt;0,R82,0))</f>
        <v>0</v>
      </c>
      <c r="S81" s="603">
        <f>IF($Y81=1,0,$X$7*(INT(S$6/$X81)-INT(R$6/$X81))-IF(SUM($B81:R81)&gt;0,S82,0))</f>
        <v>0</v>
      </c>
      <c r="T81" s="603">
        <f>IF($Y81=1,0,$X$7*(INT(T$6/$X81)-INT(S$6/$X81))-IF(SUM($B81:S81)&gt;0,T82,0))</f>
        <v>0</v>
      </c>
      <c r="U81" s="603">
        <f>IF($Y81=1,0,$X$7*(INT(U$6/$X81)-INT(T$6/$X81))-IF(SUM($B81:T81)&gt;0,U82,0))</f>
        <v>0</v>
      </c>
      <c r="V81" s="603">
        <f>IF($Y81=1,0,$X$7*(INT(V$6/$X81)-INT(U$6/$X81))-IF(SUM($B81:U81)&gt;0,V82,0))</f>
        <v>0</v>
      </c>
      <c r="W81" s="728" t="str">
        <f xml:space="preserve"> 'GT schd cost(W501D5A)'!A30</f>
        <v>Row 4 rings segments</v>
      </c>
      <c r="X81" s="678">
        <f>IF($AD$6=1,'GTDB(W501D5A)'!B33,'GTDB(W501D5A)'!G33)</f>
        <v>48000</v>
      </c>
      <c r="Y81" s="678">
        <f>IF($AD$6=1,'GTDB(W501D5A)'!C33,'GTDB(W501D5A)'!H33)</f>
        <v>2</v>
      </c>
      <c r="Z81" s="679">
        <v>1</v>
      </c>
      <c r="AA81" s="834">
        <f>'Initial_Spares(W501D5A)'!$E$27</f>
        <v>0</v>
      </c>
      <c r="AB81" s="642">
        <f>'GT schd cost(W501D5A)'!X30+'GT schd cost(W501D5A)'!X56</f>
        <v>0</v>
      </c>
    </row>
    <row r="82" spans="1:28" s="102" customFormat="1">
      <c r="A82" s="140" t="s">
        <v>936</v>
      </c>
      <c r="B82" s="603" t="s">
        <v>278</v>
      </c>
      <c r="C82" s="603">
        <f>IF(INT(C$6/$X81)*$X$7&gt;C80*($X$7+$Z81)*$Y81,C80*($X$7+$Z81)-SUM($B82:B82),INT(C$6/$X81)*$X$7-C80*($X$7+$Z81)*($Y81-1)-SUM($B82:B82))+IF($Y81&gt;1,IF(INT(C$6/$X81)&gt;0,$Z81-$AA81,0),-$AA81)</f>
        <v>0</v>
      </c>
      <c r="D82" s="603">
        <f>IF(INT(D$6/$X81)*$X$7&gt;D80*($X$7+$Z81)*$Y81,D80*($X$7+$Z81)-SUM($B82:C82),INT(D$6/$X81)*$X$7-D80*($X$7+$Z81)*($Y81-1)-SUM($B82:C82))+IF($Y81&gt;1,IF(INT(D$6/$X81)&gt;0,$Z81-$AA81,0),-$AA81)</f>
        <v>0</v>
      </c>
      <c r="E82" s="603">
        <f>IF(INT(E$6/$X81)*$X$7&gt;E80*($X$7+$Z81)*$Y81,E80*($X$7+$Z81)-SUM($B82:D82),INT(E$6/$X81)*$X$7-E80*($X$7+$Z81)*($Y81-1)-SUM($B82:D82))+IF($Y81&gt;1,IF(INT(E$6/$X81)&gt;0,$Z81-$AA81,0),-$AA81)</f>
        <v>0</v>
      </c>
      <c r="F82" s="603">
        <f>IF(INT(F$6/$X81)*$X$7&gt;F80*($X$7+$Z81)*$Y81,F80*($X$7+$Z81)-SUM($B82:E82),INT(F$6/$X81)*$X$7-F80*($X$7+$Z81)*($Y81-1)-SUM($B82:E82))+IF($Y81&gt;1,IF(INT(F$6/$X81)&gt;0,$Z81-$AA81,0),-$AA81)</f>
        <v>0</v>
      </c>
      <c r="G82" s="603">
        <f>IF(INT(G$6/$X81)*$X$7&gt;G80*($X$7+$Z81)*$Y81,G80*($X$7+$Z81)-SUM($B82:F82),INT(G$6/$X81)*$X$7-G80*($X$7+$Z81)*($Y81-1)-SUM($B82:F82))+IF($Y81&gt;1,IF(INT(G$6/$X81)&gt;0,$Z81-$AA81,0),-$AA81)</f>
        <v>0</v>
      </c>
      <c r="H82" s="603">
        <f>IF(INT(H$6/$X81)*$X$7&gt;H80*($X$7+$Z81)*$Y81,H80*($X$7+$Z81)-SUM($B82:G82),INT(H$6/$X81)*$X$7-H80*($X$7+$Z81)*($Y81-1)-SUM($B82:G82))+IF($Y81&gt;1,IF(INT(H$6/$X81)&gt;0,$Z81-$AA81,0),-$AA81)</f>
        <v>0</v>
      </c>
      <c r="I82" s="603">
        <f>IF(INT(I$6/$X81)*$X$7&gt;I80*($X$7+$Z81)*$Y81,I80*($X$7+$Z81)-SUM($B82:H82),INT(I$6/$X81)*$X$7-I80*($X$7+$Z81)*($Y81-1)-SUM($B82:H82))+IF($Y81&gt;1,IF(INT(I$6/$X81)&gt;0,$Z81-$AA81,0),-$AA81)</f>
        <v>0</v>
      </c>
      <c r="J82" s="603">
        <f>IF(INT(J$6/$X81)*$X$7&gt;J80*($X$7+$Z81)*$Y81,J80*($X$7+$Z81)-SUM($B82:I82),INT(J$6/$X81)*$X$7-J80*($X$7+$Z81)*($Y81-1)-SUM($B82:I82))+IF($Y81&gt;1,IF(INT(J$6/$X81)&gt;0,$Z81-$AA81,0),-$AA81)</f>
        <v>0</v>
      </c>
      <c r="K82" s="603">
        <f>IF(INT(K$6/$X81)*$X$7&gt;K80*($X$7+$Z81)*$Y81,K80*($X$7+$Z81)-SUM($B82:J82),INT(K$6/$X81)*$X$7-K80*($X$7+$Z81)*($Y81-1)-SUM($B82:J82))+IF($Y81&gt;1,IF(INT(K$6/$X81)&gt;0,$Z81-$AA81,0),-$AA81)</f>
        <v>0</v>
      </c>
      <c r="L82" s="603">
        <f>IF(INT(L$6/$X81)*$X$7&gt;L80*($X$7+$Z81)*$Y81,L80*($X$7+$Z81)-SUM($B82:K82),INT(L$6/$X81)*$X$7-L80*($X$7+$Z81)*($Y81-1)-SUM($B82:K82))+IF($Y81&gt;1,IF(INT(L$6/$X81)&gt;0,$Z81-$AA81,0),-$AA81)</f>
        <v>0</v>
      </c>
      <c r="M82" s="603">
        <f>IF(INT(M$6/$X81)*$X$7&gt;M80*($X$7+$Z81)*$Y81,M80*($X$7+$Z81)-SUM($B82:L82),INT(M$6/$X81)*$X$7-M80*($X$7+$Z81)*($Y81-1)-SUM($B82:L82))+IF($Y81&gt;1,IF(INT(M$6/$X81)&gt;0,$Z81-$AA81,0),-$AA81)</f>
        <v>0</v>
      </c>
      <c r="N82" s="603">
        <f>IF(INT(N$6/$X81)*$X$7&gt;N80*($X$7+$Z81)*$Y81,N80*($X$7+$Z81)-SUM($B82:M82),INT(N$6/$X81)*$X$7-N80*($X$7+$Z81)*($Y81-1)-SUM($B82:M82))+IF($Y81&gt;1,IF(INT(N$6/$X81)&gt;0,$Z81-$AA81,0),-$AA81)</f>
        <v>0</v>
      </c>
      <c r="O82" s="603">
        <f>IF(INT(O$6/$X81)*$X$7&gt;O80*($X$7+$Z81)*$Y81,O80*($X$7+$Z81)-SUM($B82:N82),INT(O$6/$X81)*$X$7-O80*($X$7+$Z81)*($Y81-1)-SUM($B82:N82))+IF($Y81&gt;1,IF(INT(O$6/$X81)&gt;0,$Z81-$AA81,0),-$AA81)</f>
        <v>0</v>
      </c>
      <c r="P82" s="603">
        <f>IF(INT(P$6/$X81)*$X$7&gt;P80*($X$7+$Z81)*$Y81,P80*($X$7+$Z81)-SUM($B82:O82),INT(P$6/$X81)*$X$7-P80*($X$7+$Z81)*($Y81-1)-SUM($B82:O82))+IF($Y81&gt;1,IF(INT(P$6/$X81)&gt;0,$Z81-$AA81,0),-$AA81)</f>
        <v>0</v>
      </c>
      <c r="Q82" s="603">
        <f>IF(INT(Q$6/$X81)*$X$7&gt;Q80*($X$7+$Z81)*$Y81,Q80*($X$7+$Z81)-SUM($B82:P82),INT(Q$6/$X81)*$X$7-Q80*($X$7+$Z81)*($Y81-1)-SUM($B82:P82))+IF($Y81&gt;1,IF(INT(Q$6/$X81)&gt;0,$Z81-$AA81,0),-$AA81)</f>
        <v>0</v>
      </c>
      <c r="R82" s="603">
        <f>IF(INT(R$6/$X81)*$X$7&gt;R80*($X$7+$Z81)*$Y81,R80*($X$7+$Z81)-SUM($B82:Q82),INT(R$6/$X81)*$X$7-R80*($X$7+$Z81)*($Y81-1)-SUM($B82:Q82))+IF($Y81&gt;1,IF(INT(R$6/$X81)&gt;0,$Z81-$AA81,0),-$AA81)</f>
        <v>0</v>
      </c>
      <c r="S82" s="603">
        <f>IF(INT(S$6/$X81)*$X$7&gt;S80*($X$7+$Z81)*$Y81,S80*($X$7+$Z81)-SUM($B82:R82),INT(S$6/$X81)*$X$7-S80*($X$7+$Z81)*($Y81-1)-SUM($B82:R82))+IF($Y81&gt;1,IF(INT(S$6/$X81)&gt;0,$Z81-$AA81,0),-$AA81)</f>
        <v>0</v>
      </c>
      <c r="T82" s="603">
        <f>IF(INT(T$6/$X81)*$X$7&gt;T80*($X$7+$Z81)*$Y81,T80*($X$7+$Z81)-SUM($B82:S82),INT(T$6/$X81)*$X$7-T80*($X$7+$Z81)*($Y81-1)-SUM($B82:S82))+IF($Y81&gt;1,IF(INT(T$6/$X81)&gt;0,$Z81-$AA81,0),-$AA81)</f>
        <v>0</v>
      </c>
      <c r="U82" s="603">
        <f>IF(INT(U$6/$X81)*$X$7&gt;U80*($X$7+$Z81)*$Y81,U80*($X$7+$Z81)-SUM($B82:T82),INT(U$6/$X81)*$X$7-U80*($X$7+$Z81)*($Y81-1)-SUM($B82:T82))+IF($Y81&gt;1,IF(INT(U$6/$X81)&gt;0,$Z81-$AA81,0),-$AA81)</f>
        <v>0</v>
      </c>
      <c r="V82" s="603">
        <f>IF(INT(V$6/$X81)*$X$7&gt;V80*($X$7+$Z81)*$Y81,V80*($X$7+$Z81)-SUM($B82:U82),INT(V$6/$X81)*$X$7-V80*($X$7+$Z81)*($Y81-1)-SUM($B82:U82))+IF($Y81&gt;1,IF(INT(V$6/$X81)&gt;0,$Z81-$AA81,0),-$AA81)</f>
        <v>0</v>
      </c>
      <c r="W82" s="681"/>
      <c r="X82"/>
      <c r="Y82"/>
      <c r="Z82"/>
    </row>
    <row r="83" spans="1:28" s="102" customFormat="1">
      <c r="B83" s="615"/>
      <c r="C83" s="615"/>
      <c r="D83" s="615"/>
      <c r="E83" s="615"/>
      <c r="F83" s="615"/>
      <c r="G83" s="615"/>
      <c r="H83" s="615"/>
      <c r="I83" s="615"/>
      <c r="J83" s="615"/>
      <c r="K83" s="615"/>
      <c r="W83" s="663"/>
    </row>
    <row r="84" spans="1:28" s="102" customFormat="1" hidden="1">
      <c r="A84" s="140" t="s">
        <v>934</v>
      </c>
      <c r="B84" s="603"/>
      <c r="C84" s="140">
        <f t="shared" ref="C84:V84" si="24">INT((INT(C$6/$X85)*$X$7+$X$7+$Z85-1)/($X$7+$Z85)/$Y85)</f>
        <v>0</v>
      </c>
      <c r="D84" s="140">
        <f t="shared" si="24"/>
        <v>0</v>
      </c>
      <c r="E84" s="140">
        <f t="shared" si="24"/>
        <v>0</v>
      </c>
      <c r="F84" s="140">
        <f t="shared" si="24"/>
        <v>0</v>
      </c>
      <c r="G84" s="140">
        <f t="shared" si="24"/>
        <v>0</v>
      </c>
      <c r="H84" s="140">
        <f t="shared" si="24"/>
        <v>0</v>
      </c>
      <c r="I84" s="140">
        <f t="shared" si="24"/>
        <v>0</v>
      </c>
      <c r="J84" s="140">
        <f t="shared" si="24"/>
        <v>0</v>
      </c>
      <c r="K84" s="140">
        <f t="shared" si="24"/>
        <v>0</v>
      </c>
      <c r="L84" s="140">
        <f t="shared" si="24"/>
        <v>0</v>
      </c>
      <c r="M84" s="140">
        <f t="shared" si="24"/>
        <v>0</v>
      </c>
      <c r="N84" s="140">
        <f t="shared" si="24"/>
        <v>0</v>
      </c>
      <c r="O84" s="140">
        <f t="shared" si="24"/>
        <v>0</v>
      </c>
      <c r="P84" s="140">
        <f t="shared" si="24"/>
        <v>0</v>
      </c>
      <c r="Q84" s="140">
        <f t="shared" si="24"/>
        <v>0</v>
      </c>
      <c r="R84" s="140">
        <f t="shared" si="24"/>
        <v>0</v>
      </c>
      <c r="S84" s="140">
        <f t="shared" si="24"/>
        <v>0</v>
      </c>
      <c r="T84" s="140">
        <f t="shared" si="24"/>
        <v>0</v>
      </c>
      <c r="U84" s="140">
        <f t="shared" si="24"/>
        <v>0</v>
      </c>
      <c r="V84" s="140">
        <f t="shared" si="24"/>
        <v>0</v>
      </c>
    </row>
    <row r="85" spans="1:28" s="102" customFormat="1">
      <c r="A85" s="140" t="s">
        <v>935</v>
      </c>
      <c r="B85" s="603" t="s">
        <v>278</v>
      </c>
      <c r="C85" s="603">
        <f>IF($Y85=1,0,$X$7*(INT(C$6/$X85)-INT(B$6/$X85))-IF(SUM($B85:B85)&gt;0,C86,0))</f>
        <v>0</v>
      </c>
      <c r="D85" s="603">
        <f>IF($Y85=1,0,$X$7*(INT(D$6/$X85)-INT(C$6/$X85))-IF(SUM($B85:C85)&gt;0,D86,0))</f>
        <v>0</v>
      </c>
      <c r="E85" s="603">
        <f>IF($Y85=1,0,$X$7*(INT(E$6/$X85)-INT(D$6/$X85))-IF(SUM($B85:D85)&gt;0,E86,0))</f>
        <v>0</v>
      </c>
      <c r="F85" s="603">
        <f>IF($Y85=1,0,$X$7*(INT(F$6/$X85)-INT(E$6/$X85))-IF(SUM($B85:E85)&gt;0,F86,0))</f>
        <v>0</v>
      </c>
      <c r="G85" s="603">
        <f>IF($Y85=1,0,$X$7*(INT(G$6/$X85)-INT(F$6/$X85))-IF(SUM($B85:F85)&gt;0,G86,0))</f>
        <v>0</v>
      </c>
      <c r="H85" s="603">
        <f>IF($Y85=1,0,$X$7*(INT(H$6/$X85)-INT(G$6/$X85))-IF(SUM($B85:G85)&gt;0,H86,0))</f>
        <v>0</v>
      </c>
      <c r="I85" s="603">
        <f>IF($Y85=1,0,$X$7*(INT(I$6/$X85)-INT(H$6/$X85))-IF(SUM($B85:H85)&gt;0,I86,0))</f>
        <v>0</v>
      </c>
      <c r="J85" s="603">
        <f>IF($Y85=1,0,$X$7*(INT(J$6/$X85)-INT(I$6/$X85))-IF(SUM($B85:I85)&gt;0,J86,0))</f>
        <v>0</v>
      </c>
      <c r="K85" s="603">
        <f>IF($Y85=1,0,$X$7*(INT(K$6/$X85)-INT(J$6/$X85))-IF(SUM($B85:J85)&gt;0,K86,0))</f>
        <v>0</v>
      </c>
      <c r="L85" s="603">
        <f>IF($Y85=1,0,$X$7*(INT(L$6/$X85)-INT(K$6/$X85))-IF(SUM($B85:K85)&gt;0,L86,0))</f>
        <v>0</v>
      </c>
      <c r="M85" s="603">
        <f>IF($Y85=1,0,$X$7*(INT(M$6/$X85)-INT(L$6/$X85))-IF(SUM($B85:L85)&gt;0,M86,0))</f>
        <v>0</v>
      </c>
      <c r="N85" s="603">
        <f>IF($Y85=1,0,$X$7*(INT(N$6/$X85)-INT(M$6/$X85))-IF(SUM($B85:M85)&gt;0,N86,0))</f>
        <v>0</v>
      </c>
      <c r="O85" s="603">
        <f>IF($Y85=1,0,$X$7*(INT(O$6/$X85)-INT(N$6/$X85))-IF(SUM($B85:N85)&gt;0,O86,0))</f>
        <v>0</v>
      </c>
      <c r="P85" s="603">
        <f>IF($Y85=1,0,$X$7*(INT(P$6/$X85)-INT(O$6/$X85))-IF(SUM($B85:O85)&gt;0,P86,0))</f>
        <v>0</v>
      </c>
      <c r="Q85" s="603">
        <f>IF($Y85=1,0,$X$7*(INT(Q$6/$X85)-INT(P$6/$X85))-IF(SUM($B85:P85)&gt;0,Q86,0))</f>
        <v>0</v>
      </c>
      <c r="R85" s="603">
        <f>IF($Y85=1,0,$X$7*(INT(R$6/$X85)-INT(Q$6/$X85))-IF(SUM($B85:Q85)&gt;0,R86,0))</f>
        <v>0</v>
      </c>
      <c r="S85" s="603">
        <f>IF($Y85=1,0,$X$7*(INT(S$6/$X85)-INT(R$6/$X85))-IF(SUM($B85:R85)&gt;0,S86,0))</f>
        <v>0</v>
      </c>
      <c r="T85" s="603">
        <f>IF($Y85=1,0,$X$7*(INT(T$6/$X85)-INT(S$6/$X85))-IF(SUM($B85:S85)&gt;0,T86,0))</f>
        <v>0</v>
      </c>
      <c r="U85" s="603">
        <f>IF($Y85=1,0,$X$7*(INT(U$6/$X85)-INT(T$6/$X85))-IF(SUM($B85:T85)&gt;0,U86,0))</f>
        <v>0</v>
      </c>
      <c r="V85" s="603">
        <f>IF($Y85=1,0,$X$7*(INT(V$6/$X85)-INT(U$6/$X85))-IF(SUM($B85:U85)&gt;0,V86,0))</f>
        <v>0</v>
      </c>
      <c r="W85" s="728" t="str">
        <f xml:space="preserve"> 'GT schd cost(W501D5A)'!A31</f>
        <v>Comp Rotor Blades</v>
      </c>
      <c r="X85" s="678">
        <f>IF($AD$6=1,'GTDB(W501D5A)'!B34,'GTDB(W501D5A)'!G34)</f>
        <v>48000</v>
      </c>
      <c r="Y85" s="678">
        <f>IF($AD$6=1,'GTDB(W501D5A)'!C34,'GTDB(W501D5A)'!H34)</f>
        <v>2</v>
      </c>
      <c r="Z85" s="679">
        <v>1</v>
      </c>
      <c r="AA85" s="834">
        <f>'Initial_Spares(W501D5A)'!$E$28</f>
        <v>0</v>
      </c>
      <c r="AB85" s="642">
        <f>'GT schd cost(W501D5A)'!X31+'GT schd cost(W501D5A)'!X57</f>
        <v>0</v>
      </c>
    </row>
    <row r="86" spans="1:28" s="102" customFormat="1">
      <c r="A86" s="140" t="s">
        <v>936</v>
      </c>
      <c r="B86" s="603" t="s">
        <v>278</v>
      </c>
      <c r="C86" s="603">
        <f>IF(INT(C$6/$X85)*$X$7&gt;C84*($X$7+$Z85)*$Y85,C84*($X$7+$Z85)-SUM($B86:B86),INT(C$6/$X85)*$X$7-C84*($X$7+$Z85)*($Y85-1)-SUM($B86:B86))+IF($Y85&gt;1,IF(INT(C$6/$X85)&gt;0,$Z85-$AA85,0),-$AA85)</f>
        <v>0</v>
      </c>
      <c r="D86" s="603">
        <f>IF(INT(D$6/$X85)*$X$7&gt;D84*($X$7+$Z85)*$Y85,D84*($X$7+$Z85)-SUM($B86:C86),INT(D$6/$X85)*$X$7-D84*($X$7+$Z85)*($Y85-1)-SUM($B86:C86))+IF($Y85&gt;1,IF(INT(D$6/$X85)&gt;0,$Z85-$AA85,0),-$AA85)</f>
        <v>0</v>
      </c>
      <c r="E86" s="603">
        <f>IF(INT(E$6/$X85)*$X$7&gt;E84*($X$7+$Z85)*$Y85,E84*($X$7+$Z85)-SUM($B86:D86),INT(E$6/$X85)*$X$7-E84*($X$7+$Z85)*($Y85-1)-SUM($B86:D86))+IF($Y85&gt;1,IF(INT(E$6/$X85)&gt;0,$Z85-$AA85,0),-$AA85)</f>
        <v>0</v>
      </c>
      <c r="F86" s="603">
        <f>IF(INT(F$6/$X85)*$X$7&gt;F84*($X$7+$Z85)*$Y85,F84*($X$7+$Z85)-SUM($B86:E86),INT(F$6/$X85)*$X$7-F84*($X$7+$Z85)*($Y85-1)-SUM($B86:E86))+IF($Y85&gt;1,IF(INT(F$6/$X85)&gt;0,$Z85-$AA85,0),-$AA85)</f>
        <v>0</v>
      </c>
      <c r="G86" s="603">
        <f>IF(INT(G$6/$X85)*$X$7&gt;G84*($X$7+$Z85)*$Y85,G84*($X$7+$Z85)-SUM($B86:F86),INT(G$6/$X85)*$X$7-G84*($X$7+$Z85)*($Y85-1)-SUM($B86:F86))+IF($Y85&gt;1,IF(INT(G$6/$X85)&gt;0,$Z85-$AA85,0),-$AA85)</f>
        <v>0</v>
      </c>
      <c r="H86" s="603">
        <f>IF(INT(H$6/$X85)*$X$7&gt;H84*($X$7+$Z85)*$Y85,H84*($X$7+$Z85)-SUM($B86:G86),INT(H$6/$X85)*$X$7-H84*($X$7+$Z85)*($Y85-1)-SUM($B86:G86))+IF($Y85&gt;1,IF(INT(H$6/$X85)&gt;0,$Z85-$AA85,0),-$AA85)</f>
        <v>0</v>
      </c>
      <c r="I86" s="603">
        <f>IF(INT(I$6/$X85)*$X$7&gt;I84*($X$7+$Z85)*$Y85,I84*($X$7+$Z85)-SUM($B86:H86),INT(I$6/$X85)*$X$7-I84*($X$7+$Z85)*($Y85-1)-SUM($B86:H86))+IF($Y85&gt;1,IF(INT(I$6/$X85)&gt;0,$Z85-$AA85,0),-$AA85)</f>
        <v>0</v>
      </c>
      <c r="J86" s="603">
        <f>IF(INT(J$6/$X85)*$X$7&gt;J84*($X$7+$Z85)*$Y85,J84*($X$7+$Z85)-SUM($B86:I86),INT(J$6/$X85)*$X$7-J84*($X$7+$Z85)*($Y85-1)-SUM($B86:I86))+IF($Y85&gt;1,IF(INT(J$6/$X85)&gt;0,$Z85-$AA85,0),-$AA85)</f>
        <v>0</v>
      </c>
      <c r="K86" s="603">
        <f>IF(INT(K$6/$X85)*$X$7&gt;K84*($X$7+$Z85)*$Y85,K84*($X$7+$Z85)-SUM($B86:J86),INT(K$6/$X85)*$X$7-K84*($X$7+$Z85)*($Y85-1)-SUM($B86:J86))+IF($Y85&gt;1,IF(INT(K$6/$X85)&gt;0,$Z85-$AA85,0),-$AA85)</f>
        <v>0</v>
      </c>
      <c r="L86" s="603">
        <f>IF(INT(L$6/$X85)*$X$7&gt;L84*($X$7+$Z85)*$Y85,L84*($X$7+$Z85)-SUM($B86:K86),INT(L$6/$X85)*$X$7-L84*($X$7+$Z85)*($Y85-1)-SUM($B86:K86))+IF($Y85&gt;1,IF(INT(L$6/$X85)&gt;0,$Z85-$AA85,0),-$AA85)</f>
        <v>0</v>
      </c>
      <c r="M86" s="603">
        <f>IF(INT(M$6/$X85)*$X$7&gt;M84*($X$7+$Z85)*$Y85,M84*($X$7+$Z85)-SUM($B86:L86),INT(M$6/$X85)*$X$7-M84*($X$7+$Z85)*($Y85-1)-SUM($B86:L86))+IF($Y85&gt;1,IF(INT(M$6/$X85)&gt;0,$Z85-$AA85,0),-$AA85)</f>
        <v>0</v>
      </c>
      <c r="N86" s="603">
        <f>IF(INT(N$6/$X85)*$X$7&gt;N84*($X$7+$Z85)*$Y85,N84*($X$7+$Z85)-SUM($B86:M86),INT(N$6/$X85)*$X$7-N84*($X$7+$Z85)*($Y85-1)-SUM($B86:M86))+IF($Y85&gt;1,IF(INT(N$6/$X85)&gt;0,$Z85-$AA85,0),-$AA85)</f>
        <v>0</v>
      </c>
      <c r="O86" s="603">
        <f>IF(INT(O$6/$X85)*$X$7&gt;O84*($X$7+$Z85)*$Y85,O84*($X$7+$Z85)-SUM($B86:N86),INT(O$6/$X85)*$X$7-O84*($X$7+$Z85)*($Y85-1)-SUM($B86:N86))+IF($Y85&gt;1,IF(INT(O$6/$X85)&gt;0,$Z85-$AA85,0),-$AA85)</f>
        <v>0</v>
      </c>
      <c r="P86" s="603">
        <f>IF(INT(P$6/$X85)*$X$7&gt;P84*($X$7+$Z85)*$Y85,P84*($X$7+$Z85)-SUM($B86:O86),INT(P$6/$X85)*$X$7-P84*($X$7+$Z85)*($Y85-1)-SUM($B86:O86))+IF($Y85&gt;1,IF(INT(P$6/$X85)&gt;0,$Z85-$AA85,0),-$AA85)</f>
        <v>0</v>
      </c>
      <c r="Q86" s="603">
        <f>IF(INT(Q$6/$X85)*$X$7&gt;Q84*($X$7+$Z85)*$Y85,Q84*($X$7+$Z85)-SUM($B86:P86),INT(Q$6/$X85)*$X$7-Q84*($X$7+$Z85)*($Y85-1)-SUM($B86:P86))+IF($Y85&gt;1,IF(INT(Q$6/$X85)&gt;0,$Z85-$AA85,0),-$AA85)</f>
        <v>0</v>
      </c>
      <c r="R86" s="603">
        <f>IF(INT(R$6/$X85)*$X$7&gt;R84*($X$7+$Z85)*$Y85,R84*($X$7+$Z85)-SUM($B86:Q86),INT(R$6/$X85)*$X$7-R84*($X$7+$Z85)*($Y85-1)-SUM($B86:Q86))+IF($Y85&gt;1,IF(INT(R$6/$X85)&gt;0,$Z85-$AA85,0),-$AA85)</f>
        <v>0</v>
      </c>
      <c r="S86" s="603">
        <f>IF(INT(S$6/$X85)*$X$7&gt;S84*($X$7+$Z85)*$Y85,S84*($X$7+$Z85)-SUM($B86:R86),INT(S$6/$X85)*$X$7-S84*($X$7+$Z85)*($Y85-1)-SUM($B86:R86))+IF($Y85&gt;1,IF(INT(S$6/$X85)&gt;0,$Z85-$AA85,0),-$AA85)</f>
        <v>0</v>
      </c>
      <c r="T86" s="603">
        <f>IF(INT(T$6/$X85)*$X$7&gt;T84*($X$7+$Z85)*$Y85,T84*($X$7+$Z85)-SUM($B86:S86),INT(T$6/$X85)*$X$7-T84*($X$7+$Z85)*($Y85-1)-SUM($B86:S86))+IF($Y85&gt;1,IF(INT(T$6/$X85)&gt;0,$Z85-$AA85,0),-$AA85)</f>
        <v>0</v>
      </c>
      <c r="U86" s="603">
        <f>IF(INT(U$6/$X85)*$X$7&gt;U84*($X$7+$Z85)*$Y85,U84*($X$7+$Z85)-SUM($B86:T86),INT(U$6/$X85)*$X$7-U84*($X$7+$Z85)*($Y85-1)-SUM($B86:T86))+IF($Y85&gt;1,IF(INT(U$6/$X85)&gt;0,$Z85-$AA85,0),-$AA85)</f>
        <v>0</v>
      </c>
      <c r="V86" s="603">
        <f>IF(INT(V$6/$X85)*$X$7&gt;V84*($X$7+$Z85)*$Y85,V84*($X$7+$Z85)-SUM($B86:U86),INT(V$6/$X85)*$X$7-V84*($X$7+$Z85)*($Y85-1)-SUM($B86:U86))+IF($Y85&gt;1,IF(INT(V$6/$X85)&gt;0,$Z85-$AA85,0),-$AA85)</f>
        <v>0</v>
      </c>
      <c r="W86" s="681"/>
      <c r="X86"/>
      <c r="Y86"/>
    </row>
    <row r="87" spans="1:28" s="102" customFormat="1">
      <c r="B87" s="615"/>
      <c r="C87" s="615"/>
      <c r="D87" s="615"/>
      <c r="E87" s="615"/>
      <c r="F87" s="615"/>
      <c r="G87" s="615"/>
      <c r="H87" s="615"/>
      <c r="J87" s="615"/>
      <c r="K87" s="615"/>
      <c r="L87" s="615"/>
      <c r="M87" s="615"/>
      <c r="W87" s="663"/>
    </row>
    <row r="88" spans="1:28" s="102" customFormat="1" hidden="1">
      <c r="A88" s="140" t="s">
        <v>934</v>
      </c>
      <c r="B88" s="603"/>
      <c r="C88" s="140">
        <f t="shared" ref="C88:V88" si="25">INT((INT(C$6/$X89)*$X$7+$X$7+$Z89-1)/($X$7+$Z89)/$Y89)</f>
        <v>0</v>
      </c>
      <c r="D88" s="140">
        <f t="shared" si="25"/>
        <v>0</v>
      </c>
      <c r="E88" s="140">
        <f t="shared" si="25"/>
        <v>0</v>
      </c>
      <c r="F88" s="140">
        <f t="shared" si="25"/>
        <v>0</v>
      </c>
      <c r="G88" s="140">
        <f t="shared" si="25"/>
        <v>0</v>
      </c>
      <c r="H88" s="140">
        <f t="shared" si="25"/>
        <v>0</v>
      </c>
      <c r="I88" s="140">
        <f t="shared" si="25"/>
        <v>0</v>
      </c>
      <c r="J88" s="140">
        <f t="shared" si="25"/>
        <v>0</v>
      </c>
      <c r="K88" s="140">
        <f t="shared" si="25"/>
        <v>0</v>
      </c>
      <c r="L88" s="140">
        <f t="shared" si="25"/>
        <v>0</v>
      </c>
      <c r="M88" s="140">
        <f t="shared" si="25"/>
        <v>0</v>
      </c>
      <c r="N88" s="140">
        <f t="shared" si="25"/>
        <v>0</v>
      </c>
      <c r="O88" s="140">
        <f t="shared" si="25"/>
        <v>0</v>
      </c>
      <c r="P88" s="140">
        <f t="shared" si="25"/>
        <v>0</v>
      </c>
      <c r="Q88" s="140">
        <f t="shared" si="25"/>
        <v>0</v>
      </c>
      <c r="R88" s="140">
        <f t="shared" si="25"/>
        <v>0</v>
      </c>
      <c r="S88" s="140">
        <f t="shared" si="25"/>
        <v>0</v>
      </c>
      <c r="T88" s="140">
        <f t="shared" si="25"/>
        <v>0</v>
      </c>
      <c r="U88" s="140">
        <f t="shared" si="25"/>
        <v>0</v>
      </c>
      <c r="V88" s="140">
        <f t="shared" si="25"/>
        <v>0</v>
      </c>
    </row>
    <row r="89" spans="1:28" s="102" customFormat="1">
      <c r="A89" s="140" t="s">
        <v>935</v>
      </c>
      <c r="B89" s="603" t="s">
        <v>278</v>
      </c>
      <c r="C89" s="603">
        <f>IF($Y89=1,0,$X$7*(INT(C$6/$X89)-INT(B$6/$X89))-IF(SUM($B89:B89)&gt;0,C90,0))</f>
        <v>0</v>
      </c>
      <c r="D89" s="603">
        <f>IF($Y89=1,0,$X$7*(INT(D$6/$X89)-INT(C$6/$X89))-IF(SUM($B89:C89)&gt;0,D90,0))</f>
        <v>0</v>
      </c>
      <c r="E89" s="603">
        <f>IF($Y89=1,0,$X$7*(INT(E$6/$X89)-INT(D$6/$X89))-IF(SUM($B89:D89)&gt;0,E90,0))</f>
        <v>0</v>
      </c>
      <c r="F89" s="603">
        <f>IF($Y89=1,0,$X$7*(INT(F$6/$X89)-INT(E$6/$X89))-IF(SUM($B89:E89)&gt;0,F90,0))</f>
        <v>0</v>
      </c>
      <c r="G89" s="603">
        <f>IF($Y89=1,0,$X$7*(INT(G$6/$X89)-INT(F$6/$X89))-IF(SUM($B89:F89)&gt;0,G90,0))</f>
        <v>0</v>
      </c>
      <c r="H89" s="603">
        <f>IF($Y89=1,0,$X$7*(INT(H$6/$X89)-INT(G$6/$X89))-IF(SUM($B89:G89)&gt;0,H90,0))</f>
        <v>0</v>
      </c>
      <c r="I89" s="603">
        <f>IF($Y89=1,0,$X$7*(INT(I$6/$X89)-INT(H$6/$X89))-IF(SUM($B89:H89)&gt;0,I90,0))</f>
        <v>0</v>
      </c>
      <c r="J89" s="603">
        <f>IF($Y89=1,0,$X$7*(INT(J$6/$X89)-INT(I$6/$X89))-IF(SUM($B89:I89)&gt;0,J90,0))</f>
        <v>0</v>
      </c>
      <c r="K89" s="603">
        <f>IF($Y89=1,0,$X$7*(INT(K$6/$X89)-INT(J$6/$X89))-IF(SUM($B89:J89)&gt;0,K90,0))</f>
        <v>0</v>
      </c>
      <c r="L89" s="603">
        <f>IF($Y89=1,0,$X$7*(INT(L$6/$X89)-INT(K$6/$X89))-IF(SUM($B89:K89)&gt;0,L90,0))</f>
        <v>0</v>
      </c>
      <c r="M89" s="603">
        <f>IF($Y89=1,0,$X$7*(INT(M$6/$X89)-INT(L$6/$X89))-IF(SUM($B89:L89)&gt;0,M90,0))</f>
        <v>0</v>
      </c>
      <c r="N89" s="603">
        <f>IF($Y89=1,0,$X$7*(INT(N$6/$X89)-INT(M$6/$X89))-IF(SUM($B89:M89)&gt;0,N90,0))</f>
        <v>0</v>
      </c>
      <c r="O89" s="603">
        <f>IF($Y89=1,0,$X$7*(INT(O$6/$X89)-INT(N$6/$X89))-IF(SUM($B89:N89)&gt;0,O90,0))</f>
        <v>0</v>
      </c>
      <c r="P89" s="603">
        <f>IF($Y89=1,0,$X$7*(INT(P$6/$X89)-INT(O$6/$X89))-IF(SUM($B89:O89)&gt;0,P90,0))</f>
        <v>0</v>
      </c>
      <c r="Q89" s="603">
        <f>IF($Y89=1,0,$X$7*(INT(Q$6/$X89)-INT(P$6/$X89))-IF(SUM($B89:P89)&gt;0,Q90,0))</f>
        <v>0</v>
      </c>
      <c r="R89" s="603">
        <f>IF($Y89=1,0,$X$7*(INT(R$6/$X89)-INT(Q$6/$X89))-IF(SUM($B89:Q89)&gt;0,R90,0))</f>
        <v>0</v>
      </c>
      <c r="S89" s="603">
        <f>IF($Y89=1,0,$X$7*(INT(S$6/$X89)-INT(R$6/$X89))-IF(SUM($B89:R89)&gt;0,S90,0))</f>
        <v>0</v>
      </c>
      <c r="T89" s="603">
        <f>IF($Y89=1,0,$X$7*(INT(T$6/$X89)-INT(S$6/$X89))-IF(SUM($B89:S89)&gt;0,T90,0))</f>
        <v>0</v>
      </c>
      <c r="U89" s="603">
        <f>IF($Y89=1,0,$X$7*(INT(U$6/$X89)-INT(T$6/$X89))-IF(SUM($B89:T89)&gt;0,U90,0))</f>
        <v>0</v>
      </c>
      <c r="V89" s="603">
        <f>IF($Y89=1,0,$X$7*(INT(V$6/$X89)-INT(U$6/$X89))-IF(SUM($B89:U89)&gt;0,V90,0))</f>
        <v>0</v>
      </c>
      <c r="W89" s="728" t="str">
        <f xml:space="preserve"> 'GT schd cost(W501D5A)'!A32</f>
        <v>Comp Diaphragms</v>
      </c>
      <c r="X89" s="678">
        <f>IF($AD$6=1,'GTDB(W501D5A)'!B35,'GTDB(W501D5A)'!G35)</f>
        <v>48000</v>
      </c>
      <c r="Y89" s="678">
        <f>IF($AD$6=1,'GTDB(W501D5A)'!C35,'GTDB(W501D5A)'!H35)</f>
        <v>2</v>
      </c>
      <c r="Z89" s="679">
        <v>1</v>
      </c>
      <c r="AA89" s="834">
        <f>'Initial_Spares(W501D5A)'!$E$29</f>
        <v>0</v>
      </c>
      <c r="AB89" s="642">
        <f>'GT schd cost(W501D5A)'!X32+'GT schd cost(W501D5A)'!X58</f>
        <v>0</v>
      </c>
    </row>
    <row r="90" spans="1:28" s="102" customFormat="1">
      <c r="A90" s="140" t="s">
        <v>936</v>
      </c>
      <c r="B90" s="603" t="s">
        <v>278</v>
      </c>
      <c r="C90" s="603">
        <f>IF(INT(C$6/$X89)*$X$7&gt;C88*($X$7+$Z89)*$Y89,C88*($X$7+$Z89)-SUM($B90:B90),INT(C$6/$X89)*$X$7-C88*($X$7+$Z89)*($Y89-1)-SUM($B90:B90))+IF($Y89&gt;1,IF(INT(C$6/$X89)&gt;0,$Z89-$AA89,0),-$AA89)</f>
        <v>0</v>
      </c>
      <c r="D90" s="603">
        <f>IF(INT(D$6/$X89)*$X$7&gt;D88*($X$7+$Z89)*$Y89,D88*($X$7+$Z89)-SUM($B90:C90),INT(D$6/$X89)*$X$7-D88*($X$7+$Z89)*($Y89-1)-SUM($B90:C90))+IF($Y89&gt;1,IF(INT(D$6/$X89)&gt;0,$Z89-$AA89,0),-$AA89)</f>
        <v>0</v>
      </c>
      <c r="E90" s="603">
        <f>IF(INT(E$6/$X89)*$X$7&gt;E88*($X$7+$Z89)*$Y89,E88*($X$7+$Z89)-SUM($B90:D90),INT(E$6/$X89)*$X$7-E88*($X$7+$Z89)*($Y89-1)-SUM($B90:D90))+IF($Y89&gt;1,IF(INT(E$6/$X89)&gt;0,$Z89-$AA89,0),-$AA89)</f>
        <v>0</v>
      </c>
      <c r="F90" s="603">
        <f>IF(INT(F$6/$X89)*$X$7&gt;F88*($X$7+$Z89)*$Y89,F88*($X$7+$Z89)-SUM($B90:E90),INT(F$6/$X89)*$X$7-F88*($X$7+$Z89)*($Y89-1)-SUM($B90:E90))+IF($Y89&gt;1,IF(INT(F$6/$X89)&gt;0,$Z89-$AA89,0),-$AA89)</f>
        <v>0</v>
      </c>
      <c r="G90" s="603">
        <f>IF(INT(G$6/$X89)*$X$7&gt;G88*($X$7+$Z89)*$Y89,G88*($X$7+$Z89)-SUM($B90:F90),INT(G$6/$X89)*$X$7-G88*($X$7+$Z89)*($Y89-1)-SUM($B90:F90))+IF($Y89&gt;1,IF(INT(G$6/$X89)&gt;0,$Z89-$AA89,0),-$AA89)</f>
        <v>0</v>
      </c>
      <c r="H90" s="603">
        <f>IF(INT(H$6/$X89)*$X$7&gt;H88*($X$7+$Z89)*$Y89,H88*($X$7+$Z89)-SUM($B90:G90),INT(H$6/$X89)*$X$7-H88*($X$7+$Z89)*($Y89-1)-SUM($B90:G90))+IF($Y89&gt;1,IF(INT(H$6/$X89)&gt;0,$Z89-$AA89,0),-$AA89)</f>
        <v>0</v>
      </c>
      <c r="I90" s="603">
        <f>IF(INT(I$6/$X89)*$X$7&gt;I88*($X$7+$Z89)*$Y89,I88*($X$7+$Z89)-SUM($B90:H90),INT(I$6/$X89)*$X$7-I88*($X$7+$Z89)*($Y89-1)-SUM($B90:H90))+IF($Y89&gt;1,IF(INT(I$6/$X89)&gt;0,$Z89-$AA89,0),-$AA89)</f>
        <v>0</v>
      </c>
      <c r="J90" s="603">
        <f>IF(INT(J$6/$X89)*$X$7&gt;J88*($X$7+$Z89)*$Y89,J88*($X$7+$Z89)-SUM($B90:I90),INT(J$6/$X89)*$X$7-J88*($X$7+$Z89)*($Y89-1)-SUM($B90:I90))+IF($Y89&gt;1,IF(INT(J$6/$X89)&gt;0,$Z89-$AA89,0),-$AA89)</f>
        <v>0</v>
      </c>
      <c r="K90" s="603">
        <f>IF(INT(K$6/$X89)*$X$7&gt;K88*($X$7+$Z89)*$Y89,K88*($X$7+$Z89)-SUM($B90:J90),INT(K$6/$X89)*$X$7-K88*($X$7+$Z89)*($Y89-1)-SUM($B90:J90))+IF($Y89&gt;1,IF(INT(K$6/$X89)&gt;0,$Z89-$AA89,0),-$AA89)</f>
        <v>0</v>
      </c>
      <c r="L90" s="603">
        <f>IF(INT(L$6/$X89)*$X$7&gt;L88*($X$7+$Z89)*$Y89,L88*($X$7+$Z89)-SUM($B90:K90),INT(L$6/$X89)*$X$7-L88*($X$7+$Z89)*($Y89-1)-SUM($B90:K90))+IF($Y89&gt;1,IF(INT(L$6/$X89)&gt;0,$Z89-$AA89,0),-$AA89)</f>
        <v>0</v>
      </c>
      <c r="M90" s="603">
        <f>IF(INT(M$6/$X89)*$X$7&gt;M88*($X$7+$Z89)*$Y89,M88*($X$7+$Z89)-SUM($B90:L90),INT(M$6/$X89)*$X$7-M88*($X$7+$Z89)*($Y89-1)-SUM($B90:L90))+IF($Y89&gt;1,IF(INT(M$6/$X89)&gt;0,$Z89-$AA89,0),-$AA89)</f>
        <v>0</v>
      </c>
      <c r="N90" s="603">
        <f>IF(INT(N$6/$X89)*$X$7&gt;N88*($X$7+$Z89)*$Y89,N88*($X$7+$Z89)-SUM($B90:M90),INT(N$6/$X89)*$X$7-N88*($X$7+$Z89)*($Y89-1)-SUM($B90:M90))+IF($Y89&gt;1,IF(INT(N$6/$X89)&gt;0,$Z89-$AA89,0),-$AA89)</f>
        <v>0</v>
      </c>
      <c r="O90" s="603">
        <f>IF(INT(O$6/$X89)*$X$7&gt;O88*($X$7+$Z89)*$Y89,O88*($X$7+$Z89)-SUM($B90:N90),INT(O$6/$X89)*$X$7-O88*($X$7+$Z89)*($Y89-1)-SUM($B90:N90))+IF($Y89&gt;1,IF(INT(O$6/$X89)&gt;0,$Z89-$AA89,0),-$AA89)</f>
        <v>0</v>
      </c>
      <c r="P90" s="603">
        <f>IF(INT(P$6/$X89)*$X$7&gt;P88*($X$7+$Z89)*$Y89,P88*($X$7+$Z89)-SUM($B90:O90),INT(P$6/$X89)*$X$7-P88*($X$7+$Z89)*($Y89-1)-SUM($B90:O90))+IF($Y89&gt;1,IF(INT(P$6/$X89)&gt;0,$Z89-$AA89,0),-$AA89)</f>
        <v>0</v>
      </c>
      <c r="Q90" s="603">
        <f>IF(INT(Q$6/$X89)*$X$7&gt;Q88*($X$7+$Z89)*$Y89,Q88*($X$7+$Z89)-SUM($B90:P90),INT(Q$6/$X89)*$X$7-Q88*($X$7+$Z89)*($Y89-1)-SUM($B90:P90))+IF($Y89&gt;1,IF(INT(Q$6/$X89)&gt;0,$Z89-$AA89,0),-$AA89)</f>
        <v>0</v>
      </c>
      <c r="R90" s="603">
        <f>IF(INT(R$6/$X89)*$X$7&gt;R88*($X$7+$Z89)*$Y89,R88*($X$7+$Z89)-SUM($B90:Q90),INT(R$6/$X89)*$X$7-R88*($X$7+$Z89)*($Y89-1)-SUM($B90:Q90))+IF($Y89&gt;1,IF(INT(R$6/$X89)&gt;0,$Z89-$AA89,0),-$AA89)</f>
        <v>0</v>
      </c>
      <c r="S90" s="603">
        <f>IF(INT(S$6/$X89)*$X$7&gt;S88*($X$7+$Z89)*$Y89,S88*($X$7+$Z89)-SUM($B90:R90),INT(S$6/$X89)*$X$7-S88*($X$7+$Z89)*($Y89-1)-SUM($B90:R90))+IF($Y89&gt;1,IF(INT(S$6/$X89)&gt;0,$Z89-$AA89,0),-$AA89)</f>
        <v>0</v>
      </c>
      <c r="T90" s="603">
        <f>IF(INT(T$6/$X89)*$X$7&gt;T88*($X$7+$Z89)*$Y89,T88*($X$7+$Z89)-SUM($B90:S90),INT(T$6/$X89)*$X$7-T88*($X$7+$Z89)*($Y89-1)-SUM($B90:S90))+IF($Y89&gt;1,IF(INT(T$6/$X89)&gt;0,$Z89-$AA89,0),-$AA89)</f>
        <v>0</v>
      </c>
      <c r="U90" s="603">
        <f>IF(INT(U$6/$X89)*$X$7&gt;U88*($X$7+$Z89)*$Y89,U88*($X$7+$Z89)-SUM($B90:T90),INT(U$6/$X89)*$X$7-U88*($X$7+$Z89)*($Y89-1)-SUM($B90:T90))+IF($Y89&gt;1,IF(INT(U$6/$X89)&gt;0,$Z89-$AA89,0),-$AA89)</f>
        <v>0</v>
      </c>
      <c r="V90" s="603">
        <f>IF(INT(V$6/$X89)*$X$7&gt;V88*($X$7+$Z89)*$Y89,V88*($X$7+$Z89)-SUM($B90:U90),INT(V$6/$X89)*$X$7-V88*($X$7+$Z89)*($Y89-1)-SUM($B90:U90))+IF($Y89&gt;1,IF(INT(V$6/$X89)&gt;0,$Z89-$AA89,0),-$AA89)</f>
        <v>0</v>
      </c>
      <c r="W90" s="78"/>
      <c r="X90"/>
      <c r="Y90"/>
    </row>
    <row r="91" spans="1:28" s="102" customFormat="1">
      <c r="X91" s="663"/>
    </row>
    <row r="92" spans="1:28" s="102" customFormat="1" hidden="1">
      <c r="A92" s="140" t="s">
        <v>934</v>
      </c>
      <c r="B92" s="603"/>
      <c r="C92" s="140" t="e">
        <f>INT((INT(C$6/#REF!)*$X$7+$X$7+#REF!-1)/($X$7+#REF!)/#REF!)</f>
        <v>#REF!</v>
      </c>
      <c r="D92" s="140" t="e">
        <f>INT((INT(D$6/#REF!)*$X$7+$X$7+#REF!-1)/($X$7+#REF!)/#REF!)</f>
        <v>#REF!</v>
      </c>
      <c r="E92" s="140" t="e">
        <f>INT((INT(E$6/#REF!)*$X$7+$X$7+#REF!-1)/($X$7+#REF!)/#REF!)</f>
        <v>#REF!</v>
      </c>
      <c r="F92" s="140" t="e">
        <f>INT((INT(F$6/#REF!)*$X$7+$X$7+#REF!-1)/($X$7+#REF!)/#REF!)</f>
        <v>#REF!</v>
      </c>
      <c r="G92" s="140" t="e">
        <f>INT((INT(G$6/#REF!)*$X$7+$X$7+#REF!-1)/($X$7+#REF!)/#REF!)</f>
        <v>#REF!</v>
      </c>
      <c r="H92" s="140" t="e">
        <f>INT((INT(H$6/#REF!)*$X$7+$X$7+#REF!-1)/($X$7+#REF!)/#REF!)</f>
        <v>#REF!</v>
      </c>
      <c r="I92" s="140" t="e">
        <f>INT((INT(I$6/#REF!)*$X$7+$X$7+#REF!-1)/($X$7+#REF!)/#REF!)</f>
        <v>#REF!</v>
      </c>
      <c r="J92" s="140" t="e">
        <f>INT((INT(J$6/#REF!)*$X$7+$X$7+#REF!-1)/($X$7+#REF!)/#REF!)</f>
        <v>#REF!</v>
      </c>
      <c r="K92" s="140" t="e">
        <f>INT((INT(K$6/#REF!)*$X$7+$X$7+#REF!-1)/($X$7+#REF!)/#REF!)</f>
        <v>#REF!</v>
      </c>
      <c r="L92" s="140" t="e">
        <f>INT((INT(L$6/#REF!)*$X$7+$X$7+#REF!-1)/($X$7+#REF!)/#REF!)</f>
        <v>#REF!</v>
      </c>
      <c r="M92" s="140" t="e">
        <f>INT((INT(M$6/#REF!)*$X$7+$X$7+#REF!-1)/($X$7+#REF!)/#REF!)</f>
        <v>#REF!</v>
      </c>
      <c r="N92" s="140" t="e">
        <f>INT((INT(N$6/#REF!)*$X$7+$X$7+#REF!-1)/($X$7+#REF!)/#REF!)</f>
        <v>#REF!</v>
      </c>
      <c r="O92" s="140" t="e">
        <f>INT((INT(O$6/#REF!)*$X$7+$X$7+#REF!-1)/($X$7+#REF!)/#REF!)</f>
        <v>#REF!</v>
      </c>
      <c r="P92" s="140" t="e">
        <f>INT((INT(P$6/#REF!)*$X$7+$X$7+#REF!-1)/($X$7+#REF!)/#REF!)</f>
        <v>#REF!</v>
      </c>
      <c r="Q92" s="140" t="e">
        <f>INT((INT(Q$6/#REF!)*$X$7+$X$7+#REF!-1)/($X$7+#REF!)/#REF!)</f>
        <v>#REF!</v>
      </c>
      <c r="R92" s="140" t="e">
        <f>INT((INT(R$6/#REF!)*$X$7+$X$7+#REF!-1)/($X$7+#REF!)/#REF!)</f>
        <v>#REF!</v>
      </c>
      <c r="S92" s="140" t="e">
        <f>INT((INT(S$6/#REF!)*$X$7+$X$7+#REF!-1)/($X$7+#REF!)/#REF!)</f>
        <v>#REF!</v>
      </c>
      <c r="T92" s="140" t="e">
        <f>INT((INT(T$6/#REF!)*$X$7+$X$7+#REF!-1)/($X$7+#REF!)/#REF!)</f>
        <v>#REF!</v>
      </c>
      <c r="U92" s="140" t="e">
        <f>INT((INT(U$6/#REF!)*$X$7+$X$7+#REF!-1)/($X$7+#REF!)/#REF!)</f>
        <v>#REF!</v>
      </c>
      <c r="V92" s="140" t="e">
        <f>INT((INT(V$6/#REF!)*$X$7+$X$7+#REF!-1)/($X$7+#REF!)/#REF!)</f>
        <v>#REF!</v>
      </c>
    </row>
  </sheetData>
  <pageMargins left="0.75" right="0.75" top="1" bottom="1" header="0.5" footer="0.5"/>
  <pageSetup scale="47" firstPageNumber="34" orientation="landscape" useFirstPageNumber="1" horizontalDpi="4294967292" r:id="rId1"/>
  <headerFooter alignWithMargins="0">
    <oddHeader>&amp;LHERMOSILLO</oddHeader>
    <oddFooter xml:space="preserve">&amp;Ldkwok&amp;C
&amp;R&amp;F
</oddFooter>
  </headerFooter>
  <rowBreaks count="1" manualBreakCount="1">
    <brk id="74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Option Button 1">
              <controlPr defaultSize="0" autoFill="0" autoLine="0" autoPict="0">
                <anchor moveWithCells="1">
                  <from>
                    <xdr:col>26</xdr:col>
                    <xdr:colOff>123825</xdr:colOff>
                    <xdr:row>4</xdr:row>
                    <xdr:rowOff>76200</xdr:rowOff>
                  </from>
                  <to>
                    <xdr:col>27</xdr:col>
                    <xdr:colOff>647700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Option Button 2">
              <controlPr defaultSize="0" autoFill="0" autoLine="0" autoPict="0">
                <anchor moveWithCells="1">
                  <from>
                    <xdr:col>26</xdr:col>
                    <xdr:colOff>142875</xdr:colOff>
                    <xdr:row>5</xdr:row>
                    <xdr:rowOff>161925</xdr:rowOff>
                  </from>
                  <to>
                    <xdr:col>27</xdr:col>
                    <xdr:colOff>523875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1"/>
  <dimension ref="A2:P49"/>
  <sheetViews>
    <sheetView topLeftCell="A3" zoomScale="75" zoomScaleNormal="100" workbookViewId="0">
      <selection activeCell="A46" sqref="A46"/>
    </sheetView>
  </sheetViews>
  <sheetFormatPr defaultRowHeight="12.75"/>
  <cols>
    <col min="1" max="1" width="26" customWidth="1"/>
    <col min="2" max="2" width="10.140625" bestFit="1" customWidth="1"/>
    <col min="7" max="7" width="9.28515625" customWidth="1"/>
  </cols>
  <sheetData>
    <row r="2" spans="1:13" ht="21" customHeight="1">
      <c r="A2" s="685" t="s">
        <v>937</v>
      </c>
      <c r="B2" s="102"/>
      <c r="C2" s="102"/>
      <c r="D2" s="102"/>
      <c r="E2" s="102"/>
    </row>
    <row r="3" spans="1:13" ht="11.25" customHeight="1">
      <c r="A3" s="685"/>
      <c r="B3" s="102"/>
      <c r="C3" s="102"/>
      <c r="D3" s="102"/>
      <c r="E3" s="102"/>
    </row>
    <row r="4" spans="1:13">
      <c r="A4" s="615" t="s">
        <v>938</v>
      </c>
      <c r="B4" s="686" t="s">
        <v>1153</v>
      </c>
      <c r="C4" s="686"/>
      <c r="D4" s="102"/>
      <c r="E4" s="102"/>
    </row>
    <row r="5" spans="1:13">
      <c r="A5" s="615" t="s">
        <v>939</v>
      </c>
      <c r="B5" s="686" t="s">
        <v>1153</v>
      </c>
      <c r="C5" s="686"/>
      <c r="D5" s="102"/>
      <c r="E5" s="102" t="s">
        <v>278</v>
      </c>
    </row>
    <row r="6" spans="1:13">
      <c r="A6" s="615" t="s">
        <v>940</v>
      </c>
      <c r="B6" s="720">
        <v>36663</v>
      </c>
      <c r="C6" s="102"/>
      <c r="D6" s="102"/>
      <c r="E6" s="102" t="s">
        <v>278</v>
      </c>
    </row>
    <row r="7" spans="1:13">
      <c r="A7" s="615" t="s">
        <v>941</v>
      </c>
      <c r="B7" s="102" t="s">
        <v>1011</v>
      </c>
      <c r="C7" s="102"/>
      <c r="D7" s="102"/>
      <c r="E7" s="102"/>
    </row>
    <row r="8" spans="1:13">
      <c r="A8" s="615" t="s">
        <v>278</v>
      </c>
      <c r="B8" s="102"/>
      <c r="C8" s="102"/>
      <c r="D8" s="102"/>
      <c r="E8" s="102"/>
    </row>
    <row r="9" spans="1:13">
      <c r="A9" s="615" t="s">
        <v>278</v>
      </c>
      <c r="B9" s="102" t="s">
        <v>278</v>
      </c>
      <c r="C9" s="102"/>
      <c r="D9" s="102"/>
      <c r="E9" s="102"/>
    </row>
    <row r="10" spans="1:13" s="687" customFormat="1"/>
    <row r="11" spans="1:13" s="687" customFormat="1" ht="26.25" thickBot="1">
      <c r="A11" s="688" t="s">
        <v>278</v>
      </c>
      <c r="B11" s="688" t="s">
        <v>942</v>
      </c>
      <c r="C11" s="688" t="s">
        <v>943</v>
      </c>
      <c r="D11" s="688" t="s">
        <v>944</v>
      </c>
      <c r="G11" s="688" t="s">
        <v>945</v>
      </c>
    </row>
    <row r="12" spans="1:13">
      <c r="A12" s="689" t="s">
        <v>946</v>
      </c>
      <c r="B12" s="690">
        <v>8000</v>
      </c>
      <c r="C12" s="716">
        <v>106</v>
      </c>
      <c r="D12" s="716">
        <v>90.1</v>
      </c>
      <c r="G12" s="690">
        <v>400</v>
      </c>
    </row>
    <row r="13" spans="1:13">
      <c r="A13" s="140" t="s">
        <v>947</v>
      </c>
      <c r="B13" s="691">
        <v>24000</v>
      </c>
      <c r="C13" s="648">
        <v>212</v>
      </c>
      <c r="D13" s="648">
        <v>121.9</v>
      </c>
      <c r="G13" s="691">
        <v>800</v>
      </c>
    </row>
    <row r="14" spans="1:13">
      <c r="A14" s="140" t="s">
        <v>948</v>
      </c>
      <c r="B14" s="691">
        <v>48000</v>
      </c>
      <c r="C14" s="648">
        <v>598.9</v>
      </c>
      <c r="D14" s="648">
        <v>174.9</v>
      </c>
      <c r="G14" s="691">
        <v>2400</v>
      </c>
      <c r="M14" s="670"/>
    </row>
    <row r="16" spans="1:13" s="687" customFormat="1" ht="39" thickBot="1">
      <c r="A16" s="692" t="s">
        <v>949</v>
      </c>
      <c r="B16" s="692" t="s">
        <v>950</v>
      </c>
      <c r="C16" s="692" t="s">
        <v>951</v>
      </c>
      <c r="D16" s="692" t="s">
        <v>952</v>
      </c>
      <c r="E16" s="692" t="s">
        <v>953</v>
      </c>
      <c r="F16" s="693"/>
      <c r="G16" s="688" t="s">
        <v>954</v>
      </c>
      <c r="H16" s="688" t="s">
        <v>955</v>
      </c>
    </row>
    <row r="17" spans="1:16">
      <c r="A17" s="729" t="s">
        <v>327</v>
      </c>
      <c r="B17" s="730">
        <v>8000</v>
      </c>
      <c r="C17" s="730">
        <v>6</v>
      </c>
      <c r="D17" s="729">
        <v>117.6</v>
      </c>
      <c r="E17" s="729">
        <v>490.58800000000002</v>
      </c>
      <c r="F17" s="663"/>
      <c r="G17" s="699">
        <v>400</v>
      </c>
      <c r="H17" s="731">
        <v>4</v>
      </c>
      <c r="L17" s="670"/>
    </row>
    <row r="18" spans="1:16">
      <c r="A18" s="697" t="s">
        <v>774</v>
      </c>
      <c r="B18" s="698">
        <v>8000</v>
      </c>
      <c r="C18" s="698">
        <v>6</v>
      </c>
      <c r="D18" s="697">
        <v>98.2</v>
      </c>
      <c r="E18" s="697">
        <v>714</v>
      </c>
      <c r="F18" s="663"/>
      <c r="G18" s="699">
        <v>400</v>
      </c>
      <c r="H18" s="700">
        <v>4</v>
      </c>
      <c r="P18" s="670"/>
    </row>
    <row r="19" spans="1:16">
      <c r="A19" s="697" t="s">
        <v>328</v>
      </c>
      <c r="B19" s="698">
        <v>8000</v>
      </c>
      <c r="C19" s="698">
        <v>3</v>
      </c>
      <c r="D19" s="697">
        <v>15</v>
      </c>
      <c r="E19" s="697">
        <v>49.938000000000002</v>
      </c>
      <c r="F19" s="663"/>
      <c r="G19" s="699">
        <v>400</v>
      </c>
      <c r="H19" s="700">
        <v>2</v>
      </c>
    </row>
    <row r="20" spans="1:16">
      <c r="A20" s="697" t="s">
        <v>956</v>
      </c>
      <c r="B20" s="698">
        <v>8000</v>
      </c>
      <c r="C20" s="698">
        <v>8</v>
      </c>
      <c r="D20" s="697">
        <v>96.75</v>
      </c>
      <c r="E20" s="697">
        <v>521.64</v>
      </c>
      <c r="F20" s="663"/>
      <c r="G20" s="699">
        <v>400</v>
      </c>
      <c r="H20" s="700">
        <v>5</v>
      </c>
    </row>
    <row r="21" spans="1:16">
      <c r="A21" s="697" t="s">
        <v>329</v>
      </c>
      <c r="B21" s="698">
        <v>8000</v>
      </c>
      <c r="C21" s="698">
        <v>8</v>
      </c>
      <c r="D21" s="697">
        <v>14.7</v>
      </c>
      <c r="E21" s="697">
        <v>81.900000000000006</v>
      </c>
      <c r="F21" s="663"/>
      <c r="G21" s="699">
        <v>400</v>
      </c>
      <c r="H21" s="700">
        <v>5</v>
      </c>
    </row>
    <row r="22" spans="1:16">
      <c r="A22" s="650" t="s">
        <v>330</v>
      </c>
      <c r="B22" s="701">
        <v>24000</v>
      </c>
      <c r="C22" s="701">
        <v>2</v>
      </c>
      <c r="D22" s="650">
        <v>137.19999999999999</v>
      </c>
      <c r="E22" s="650">
        <v>560.11500000000001</v>
      </c>
      <c r="F22" s="663"/>
      <c r="G22" s="702">
        <v>800</v>
      </c>
      <c r="H22" s="703">
        <v>2</v>
      </c>
    </row>
    <row r="23" spans="1:16">
      <c r="A23" s="650" t="s">
        <v>331</v>
      </c>
      <c r="B23" s="701">
        <v>24000</v>
      </c>
      <c r="C23" s="701">
        <v>3</v>
      </c>
      <c r="D23" s="650">
        <v>115</v>
      </c>
      <c r="E23" s="650">
        <v>470.12</v>
      </c>
      <c r="F23" s="663"/>
      <c r="G23" s="702">
        <v>800</v>
      </c>
      <c r="H23" s="703">
        <v>3</v>
      </c>
      <c r="K23" s="670"/>
    </row>
    <row r="24" spans="1:16">
      <c r="A24" s="650" t="s">
        <v>332</v>
      </c>
      <c r="B24" s="701">
        <v>24000</v>
      </c>
      <c r="C24" s="701">
        <v>4</v>
      </c>
      <c r="D24" s="650">
        <v>111.13</v>
      </c>
      <c r="E24" s="650">
        <v>491.92</v>
      </c>
      <c r="F24" s="663"/>
      <c r="G24" s="713">
        <v>1600</v>
      </c>
      <c r="H24" s="715">
        <v>2</v>
      </c>
    </row>
    <row r="25" spans="1:16">
      <c r="A25" s="710" t="s">
        <v>333</v>
      </c>
      <c r="B25" s="711">
        <v>48000</v>
      </c>
      <c r="C25" s="711">
        <v>2</v>
      </c>
      <c r="D25" s="710">
        <v>113.93</v>
      </c>
      <c r="E25" s="710">
        <v>984.65599999999995</v>
      </c>
      <c r="F25" s="663"/>
      <c r="G25" s="713">
        <v>1600</v>
      </c>
      <c r="H25" s="715">
        <v>2</v>
      </c>
    </row>
    <row r="26" spans="1:16">
      <c r="A26" s="650" t="s">
        <v>334</v>
      </c>
      <c r="B26" s="701">
        <v>24000</v>
      </c>
      <c r="C26" s="701">
        <v>2</v>
      </c>
      <c r="D26" s="650">
        <v>177.5</v>
      </c>
      <c r="E26" s="650">
        <v>900.33600000000001</v>
      </c>
      <c r="F26" s="663"/>
      <c r="G26" s="702">
        <v>800</v>
      </c>
      <c r="H26" s="703">
        <v>2</v>
      </c>
    </row>
    <row r="27" spans="1:16">
      <c r="A27" s="650" t="s">
        <v>335</v>
      </c>
      <c r="B27" s="701">
        <v>24000</v>
      </c>
      <c r="C27" s="701">
        <v>3</v>
      </c>
      <c r="D27" s="650">
        <v>132.30000000000001</v>
      </c>
      <c r="E27" s="650">
        <v>617.05600000000004</v>
      </c>
      <c r="F27" s="663"/>
      <c r="G27" s="702">
        <v>800</v>
      </c>
      <c r="H27" s="703">
        <v>3</v>
      </c>
    </row>
    <row r="28" spans="1:16">
      <c r="A28" s="650" t="s">
        <v>336</v>
      </c>
      <c r="B28" s="701">
        <v>24000</v>
      </c>
      <c r="C28" s="701">
        <v>4</v>
      </c>
      <c r="D28" s="650">
        <v>77.400000000000006</v>
      </c>
      <c r="E28" s="650">
        <v>660.00199999999995</v>
      </c>
      <c r="F28" s="663"/>
      <c r="G28" s="702">
        <v>800</v>
      </c>
      <c r="H28" s="703">
        <v>4</v>
      </c>
      <c r="K28" s="670"/>
    </row>
    <row r="29" spans="1:16">
      <c r="A29" s="710" t="s">
        <v>337</v>
      </c>
      <c r="B29" s="711">
        <v>48000</v>
      </c>
      <c r="C29" s="711">
        <v>2</v>
      </c>
      <c r="D29" s="710">
        <v>90.405000000000001</v>
      </c>
      <c r="E29" s="710">
        <v>709.60400000000004</v>
      </c>
      <c r="F29" s="663"/>
      <c r="G29" s="713">
        <v>1600</v>
      </c>
      <c r="H29" s="715">
        <v>2</v>
      </c>
    </row>
    <row r="30" spans="1:16">
      <c r="A30" s="650" t="s">
        <v>338</v>
      </c>
      <c r="B30" s="701">
        <v>24000</v>
      </c>
      <c r="C30" s="701">
        <v>2</v>
      </c>
      <c r="D30" s="650">
        <v>14.5</v>
      </c>
      <c r="E30" s="650">
        <v>128.88</v>
      </c>
      <c r="F30" s="663"/>
      <c r="G30" s="702">
        <v>800</v>
      </c>
      <c r="H30" s="703">
        <v>2</v>
      </c>
    </row>
    <row r="31" spans="1:16">
      <c r="A31" s="650" t="s">
        <v>339</v>
      </c>
      <c r="B31" s="701">
        <v>24000</v>
      </c>
      <c r="C31" s="701">
        <v>2</v>
      </c>
      <c r="D31" s="650">
        <v>14.5</v>
      </c>
      <c r="E31" s="650">
        <v>117.504</v>
      </c>
      <c r="F31" s="663"/>
      <c r="G31" s="702">
        <v>800</v>
      </c>
      <c r="H31" s="703">
        <v>2</v>
      </c>
    </row>
    <row r="32" spans="1:16">
      <c r="A32" s="710" t="s">
        <v>340</v>
      </c>
      <c r="B32" s="711">
        <v>48000</v>
      </c>
      <c r="C32" s="711">
        <v>1.5</v>
      </c>
      <c r="D32" s="710">
        <v>13</v>
      </c>
      <c r="E32" s="710">
        <v>64.739999999999995</v>
      </c>
      <c r="F32" s="663"/>
      <c r="G32" s="713">
        <v>1600</v>
      </c>
      <c r="H32" s="732">
        <v>1.5</v>
      </c>
    </row>
    <row r="33" spans="1:8">
      <c r="A33" s="710" t="s">
        <v>341</v>
      </c>
      <c r="B33" s="711">
        <v>48000</v>
      </c>
      <c r="C33" s="711">
        <v>2</v>
      </c>
      <c r="D33" s="710">
        <v>13</v>
      </c>
      <c r="E33" s="710">
        <v>125.075</v>
      </c>
      <c r="F33" s="663"/>
      <c r="G33" s="713">
        <v>1600</v>
      </c>
      <c r="H33" s="732">
        <v>2</v>
      </c>
    </row>
    <row r="34" spans="1:8">
      <c r="A34" s="710" t="s">
        <v>342</v>
      </c>
      <c r="B34" s="711">
        <v>48000</v>
      </c>
      <c r="C34" s="711">
        <v>2</v>
      </c>
      <c r="D34" s="710">
        <v>63</v>
      </c>
      <c r="E34" s="710">
        <v>654.33500000000004</v>
      </c>
      <c r="F34" s="663"/>
      <c r="G34" s="713">
        <v>1600</v>
      </c>
      <c r="H34" s="732">
        <v>2</v>
      </c>
    </row>
    <row r="35" spans="1:8">
      <c r="A35" s="710" t="s">
        <v>343</v>
      </c>
      <c r="B35" s="711">
        <v>48000</v>
      </c>
      <c r="C35" s="711">
        <v>2</v>
      </c>
      <c r="D35" s="710">
        <v>63</v>
      </c>
      <c r="E35" s="710">
        <v>1817.5319999999999</v>
      </c>
      <c r="F35" s="663"/>
      <c r="G35" s="713">
        <v>1600</v>
      </c>
      <c r="H35" s="732">
        <v>2</v>
      </c>
    </row>
    <row r="36" spans="1:8" hidden="1">
      <c r="A36" s="641"/>
      <c r="B36" s="696"/>
      <c r="C36" s="696"/>
      <c r="D36" s="691"/>
      <c r="E36" s="641"/>
      <c r="F36" s="663"/>
      <c r="G36" s="691">
        <v>9999999</v>
      </c>
      <c r="H36" s="691">
        <v>999</v>
      </c>
    </row>
    <row r="37" spans="1:8" hidden="1">
      <c r="A37" s="641"/>
      <c r="B37" s="696"/>
      <c r="C37" s="696"/>
      <c r="D37" s="691"/>
      <c r="E37" s="641"/>
      <c r="F37" s="663"/>
      <c r="G37" s="691">
        <v>9999999</v>
      </c>
      <c r="H37" s="691">
        <v>999</v>
      </c>
    </row>
    <row r="38" spans="1:8" hidden="1">
      <c r="A38" s="733"/>
      <c r="B38" s="698"/>
      <c r="C38" s="698"/>
      <c r="D38" s="734"/>
      <c r="E38" s="697"/>
      <c r="F38" s="663"/>
      <c r="G38" s="734">
        <v>9999999</v>
      </c>
      <c r="H38" s="734">
        <v>999</v>
      </c>
    </row>
    <row r="39" spans="1:8" hidden="1">
      <c r="A39" s="733"/>
      <c r="B39" s="698"/>
      <c r="C39" s="698"/>
      <c r="D39" s="734"/>
      <c r="E39" s="734"/>
      <c r="F39" s="663"/>
      <c r="G39" s="734">
        <v>9999999</v>
      </c>
      <c r="H39" s="734">
        <v>999</v>
      </c>
    </row>
    <row r="40" spans="1:8" hidden="1">
      <c r="A40" s="734"/>
      <c r="B40" s="698"/>
      <c r="C40" s="698"/>
      <c r="D40" s="734"/>
      <c r="E40" s="734"/>
      <c r="F40" s="663"/>
      <c r="G40" s="734">
        <v>9999999</v>
      </c>
      <c r="H40" s="734">
        <v>999</v>
      </c>
    </row>
    <row r="41" spans="1:8" hidden="1">
      <c r="A41" s="650"/>
      <c r="B41" s="701"/>
      <c r="C41" s="701"/>
      <c r="D41" s="650"/>
      <c r="E41" s="650"/>
      <c r="F41" s="663"/>
      <c r="G41" s="705">
        <v>9999999</v>
      </c>
      <c r="H41" s="705">
        <v>999</v>
      </c>
    </row>
    <row r="42" spans="1:8" hidden="1">
      <c r="A42" s="650"/>
      <c r="B42" s="701"/>
      <c r="C42" s="701"/>
      <c r="D42" s="650"/>
      <c r="E42" s="650"/>
      <c r="F42" s="663"/>
      <c r="G42" s="705">
        <v>9999999</v>
      </c>
      <c r="H42" s="705">
        <v>999</v>
      </c>
    </row>
    <row r="43" spans="1:8" hidden="1">
      <c r="A43" s="650"/>
      <c r="B43" s="701"/>
      <c r="C43" s="701"/>
      <c r="D43" s="650"/>
      <c r="E43" s="650"/>
      <c r="F43" s="663"/>
      <c r="G43" s="705">
        <v>9999999</v>
      </c>
      <c r="H43" s="705">
        <v>999</v>
      </c>
    </row>
    <row r="45" spans="1:8">
      <c r="A45" s="706" t="s">
        <v>957</v>
      </c>
      <c r="B45" s="707"/>
      <c r="C45" s="707"/>
      <c r="D45" s="707"/>
      <c r="E45" s="708"/>
    </row>
    <row r="46" spans="1:8">
      <c r="A46" s="152" t="s">
        <v>97</v>
      </c>
      <c r="B46" s="102"/>
      <c r="C46" s="102"/>
      <c r="D46" s="102"/>
      <c r="E46" s="80"/>
    </row>
    <row r="47" spans="1:8">
      <c r="A47" s="152"/>
      <c r="B47" s="102"/>
      <c r="C47" s="102"/>
      <c r="D47" s="102"/>
      <c r="E47" s="80"/>
    </row>
    <row r="48" spans="1:8">
      <c r="A48" s="152"/>
      <c r="B48" s="102"/>
      <c r="C48" s="102"/>
      <c r="D48" s="102"/>
      <c r="E48" s="80"/>
    </row>
    <row r="49" spans="1:5">
      <c r="A49" s="709"/>
      <c r="B49" s="617"/>
      <c r="C49" s="617"/>
      <c r="D49" s="617"/>
      <c r="E49" s="618"/>
    </row>
  </sheetData>
  <pageMargins left="0.75" right="0.75" top="1" bottom="1" header="0.5" footer="0.5"/>
  <pageSetup scale="9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2:AF70"/>
  <sheetViews>
    <sheetView topLeftCell="N1" zoomScale="75" zoomScaleNormal="75" workbookViewId="0">
      <selection activeCell="C11" sqref="C11"/>
    </sheetView>
  </sheetViews>
  <sheetFormatPr defaultRowHeight="12.75"/>
  <cols>
    <col min="1" max="1" width="12.5703125" customWidth="1"/>
    <col min="3" max="3" width="9.28515625" bestFit="1" customWidth="1"/>
    <col min="5" max="5" width="9.28515625" customWidth="1"/>
    <col min="10" max="10" width="7.5703125" customWidth="1"/>
    <col min="11" max="11" width="7.42578125" customWidth="1"/>
    <col min="23" max="23" width="19" customWidth="1"/>
    <col min="24" max="24" width="10.42578125" customWidth="1"/>
    <col min="26" max="26" width="10.7109375" customWidth="1"/>
    <col min="28" max="28" width="10.7109375" customWidth="1"/>
  </cols>
  <sheetData>
    <row r="2" spans="1:32" ht="20.25">
      <c r="W2" s="652" t="s">
        <v>914</v>
      </c>
    </row>
    <row r="4" spans="1:32" ht="20.25">
      <c r="A4" s="652" t="s">
        <v>915</v>
      </c>
      <c r="B4" s="132"/>
      <c r="C4" s="132"/>
      <c r="D4" s="132"/>
      <c r="W4" s="653" t="str">
        <f>'GTDB(7EA)'!B4</f>
        <v>GE-7EA-H-V0</v>
      </c>
      <c r="X4" s="140" t="s">
        <v>916</v>
      </c>
      <c r="Y4" s="140" t="s">
        <v>917</v>
      </c>
      <c r="Z4" s="102" t="s">
        <v>278</v>
      </c>
      <c r="AA4" s="140" t="s">
        <v>918</v>
      </c>
    </row>
    <row r="5" spans="1:32">
      <c r="A5" s="140" t="s">
        <v>919</v>
      </c>
      <c r="B5" s="140" t="s">
        <v>278</v>
      </c>
      <c r="C5" s="140">
        <v>1</v>
      </c>
      <c r="D5" s="140">
        <v>2</v>
      </c>
      <c r="E5" s="140">
        <v>3</v>
      </c>
      <c r="F5" s="140">
        <v>4</v>
      </c>
      <c r="G5" s="140">
        <v>5</v>
      </c>
      <c r="H5" s="140">
        <v>6</v>
      </c>
      <c r="I5" s="140">
        <v>7</v>
      </c>
      <c r="J5" s="140">
        <v>8</v>
      </c>
      <c r="K5" s="140">
        <v>9</v>
      </c>
      <c r="L5" s="140">
        <v>10</v>
      </c>
      <c r="M5" s="140">
        <v>11</v>
      </c>
      <c r="N5" s="140">
        <v>12</v>
      </c>
      <c r="O5" s="140">
        <v>13</v>
      </c>
      <c r="P5" s="140">
        <v>14</v>
      </c>
      <c r="Q5" s="140">
        <v>15</v>
      </c>
      <c r="R5" s="140">
        <v>16</v>
      </c>
      <c r="S5" s="140">
        <v>17</v>
      </c>
      <c r="T5" s="140">
        <v>18</v>
      </c>
      <c r="U5" s="140">
        <v>19</v>
      </c>
      <c r="V5" s="420">
        <v>20</v>
      </c>
      <c r="W5" s="603" t="s">
        <v>920</v>
      </c>
      <c r="X5" s="654">
        <v>20</v>
      </c>
      <c r="Y5" s="654">
        <f>20-X5</f>
        <v>0</v>
      </c>
      <c r="Z5" s="102" t="s">
        <v>278</v>
      </c>
      <c r="AA5" s="655"/>
    </row>
    <row r="6" spans="1:32" ht="13.5" thickBot="1">
      <c r="A6" s="140" t="s">
        <v>921</v>
      </c>
      <c r="B6" s="617"/>
      <c r="C6" s="140">
        <f t="shared" ref="C6:V6" si="0">B6+IF(C5&gt;$X$5,$Y$6,$X$6)</f>
        <v>0</v>
      </c>
      <c r="D6" s="140">
        <f t="shared" si="0"/>
        <v>0</v>
      </c>
      <c r="E6" s="140">
        <f t="shared" si="0"/>
        <v>0</v>
      </c>
      <c r="F6" s="140">
        <f t="shared" si="0"/>
        <v>0</v>
      </c>
      <c r="G6" s="140">
        <f t="shared" si="0"/>
        <v>0</v>
      </c>
      <c r="H6" s="140">
        <f t="shared" si="0"/>
        <v>0</v>
      </c>
      <c r="I6" s="140">
        <f t="shared" si="0"/>
        <v>0</v>
      </c>
      <c r="J6" s="140">
        <f t="shared" si="0"/>
        <v>0</v>
      </c>
      <c r="K6" s="140">
        <f t="shared" si="0"/>
        <v>0</v>
      </c>
      <c r="L6" s="140">
        <f t="shared" si="0"/>
        <v>0</v>
      </c>
      <c r="M6" s="140">
        <f t="shared" si="0"/>
        <v>0</v>
      </c>
      <c r="N6" s="140">
        <f t="shared" si="0"/>
        <v>0</v>
      </c>
      <c r="O6" s="140">
        <f t="shared" si="0"/>
        <v>0</v>
      </c>
      <c r="P6" s="140">
        <f t="shared" si="0"/>
        <v>0</v>
      </c>
      <c r="Q6" s="140">
        <f t="shared" si="0"/>
        <v>0</v>
      </c>
      <c r="R6" s="140">
        <f t="shared" si="0"/>
        <v>0</v>
      </c>
      <c r="S6" s="140">
        <f t="shared" si="0"/>
        <v>0</v>
      </c>
      <c r="T6" s="140">
        <f t="shared" si="0"/>
        <v>0</v>
      </c>
      <c r="U6" s="140">
        <f t="shared" si="0"/>
        <v>0</v>
      </c>
      <c r="V6" s="140">
        <f t="shared" si="0"/>
        <v>0</v>
      </c>
      <c r="W6" s="656" t="s">
        <v>922</v>
      </c>
      <c r="X6" s="657">
        <v>0</v>
      </c>
      <c r="Y6" s="658">
        <v>8000</v>
      </c>
      <c r="Z6" s="659"/>
      <c r="AA6" s="655"/>
      <c r="AD6" s="660">
        <v>1</v>
      </c>
    </row>
    <row r="7" spans="1:32" ht="13.5" thickBot="1">
      <c r="A7" s="102"/>
      <c r="B7" s="102" t="s">
        <v>278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661" t="s">
        <v>923</v>
      </c>
      <c r="X7" s="662">
        <v>0</v>
      </c>
      <c r="Y7" s="663"/>
      <c r="Z7" s="102"/>
      <c r="AA7" s="664"/>
    </row>
    <row r="8" spans="1:32">
      <c r="A8" s="140" t="s">
        <v>924</v>
      </c>
      <c r="B8" s="140">
        <v>0</v>
      </c>
      <c r="C8" s="140">
        <f t="shared" ref="C8:V8" si="1">( INT(C6/$X8)*$X$7-INT(B6/$X8)*$X$7-C9-C10)</f>
        <v>0</v>
      </c>
      <c r="D8" s="140">
        <f t="shared" si="1"/>
        <v>0</v>
      </c>
      <c r="E8" s="140">
        <f t="shared" si="1"/>
        <v>0</v>
      </c>
      <c r="F8" s="140">
        <f t="shared" si="1"/>
        <v>0</v>
      </c>
      <c r="G8" s="140">
        <f t="shared" si="1"/>
        <v>0</v>
      </c>
      <c r="H8" s="140">
        <f t="shared" si="1"/>
        <v>0</v>
      </c>
      <c r="I8" s="140">
        <f t="shared" si="1"/>
        <v>0</v>
      </c>
      <c r="J8" s="140">
        <f t="shared" si="1"/>
        <v>0</v>
      </c>
      <c r="K8" s="140">
        <f t="shared" si="1"/>
        <v>0</v>
      </c>
      <c r="L8" s="140">
        <f t="shared" si="1"/>
        <v>0</v>
      </c>
      <c r="M8" s="140">
        <f t="shared" si="1"/>
        <v>0</v>
      </c>
      <c r="N8" s="140">
        <f t="shared" si="1"/>
        <v>0</v>
      </c>
      <c r="O8" s="140">
        <f t="shared" si="1"/>
        <v>0</v>
      </c>
      <c r="P8" s="140">
        <f t="shared" si="1"/>
        <v>0</v>
      </c>
      <c r="Q8" s="140">
        <f t="shared" si="1"/>
        <v>0</v>
      </c>
      <c r="R8" s="140">
        <f t="shared" si="1"/>
        <v>0</v>
      </c>
      <c r="S8" s="140">
        <f t="shared" si="1"/>
        <v>0</v>
      </c>
      <c r="T8" s="140">
        <f t="shared" si="1"/>
        <v>0</v>
      </c>
      <c r="U8" s="140">
        <f t="shared" si="1"/>
        <v>0</v>
      </c>
      <c r="V8" s="420">
        <f t="shared" si="1"/>
        <v>0</v>
      </c>
      <c r="W8" s="665" t="s">
        <v>925</v>
      </c>
      <c r="X8" s="666">
        <f>IF($AD$6=1,'GTDB(7EA)'!B12,'GTDB(7EA)'!G12)</f>
        <v>8000</v>
      </c>
      <c r="Y8" s="663"/>
      <c r="Z8" s="663"/>
    </row>
    <row r="9" spans="1:32">
      <c r="A9" s="140" t="s">
        <v>1223</v>
      </c>
      <c r="B9" s="140">
        <v>0</v>
      </c>
      <c r="C9" s="140">
        <f t="shared" ref="C9:V9" si="2">(INT(C6/$X9)-INT(B6/$X9))*$X$7-C10</f>
        <v>0</v>
      </c>
      <c r="D9" s="140">
        <f t="shared" si="2"/>
        <v>0</v>
      </c>
      <c r="E9" s="140">
        <f t="shared" si="2"/>
        <v>0</v>
      </c>
      <c r="F9" s="140">
        <f t="shared" si="2"/>
        <v>0</v>
      </c>
      <c r="G9" s="140">
        <f t="shared" si="2"/>
        <v>0</v>
      </c>
      <c r="H9" s="140">
        <f t="shared" si="2"/>
        <v>0</v>
      </c>
      <c r="I9" s="140">
        <f t="shared" si="2"/>
        <v>0</v>
      </c>
      <c r="J9" s="140">
        <f t="shared" si="2"/>
        <v>0</v>
      </c>
      <c r="K9" s="140">
        <f t="shared" si="2"/>
        <v>0</v>
      </c>
      <c r="L9" s="140">
        <f t="shared" si="2"/>
        <v>0</v>
      </c>
      <c r="M9" s="140">
        <f t="shared" si="2"/>
        <v>0</v>
      </c>
      <c r="N9" s="140">
        <f t="shared" si="2"/>
        <v>0</v>
      </c>
      <c r="O9" s="140">
        <f t="shared" si="2"/>
        <v>0</v>
      </c>
      <c r="P9" s="140">
        <f t="shared" si="2"/>
        <v>0</v>
      </c>
      <c r="Q9" s="140">
        <f t="shared" si="2"/>
        <v>0</v>
      </c>
      <c r="R9" s="140">
        <f t="shared" si="2"/>
        <v>0</v>
      </c>
      <c r="S9" s="140">
        <f t="shared" si="2"/>
        <v>0</v>
      </c>
      <c r="T9" s="140">
        <f t="shared" si="2"/>
        <v>0</v>
      </c>
      <c r="U9" s="140">
        <f t="shared" si="2"/>
        <v>0</v>
      </c>
      <c r="V9" s="420">
        <f t="shared" si="2"/>
        <v>0</v>
      </c>
      <c r="W9" s="667" t="s">
        <v>926</v>
      </c>
      <c r="X9" s="666">
        <f>IF($AD$6=1,'GTDB(7EA)'!B13,'GTDB(7EA)'!G13)</f>
        <v>24000</v>
      </c>
      <c r="Y9" s="663"/>
      <c r="Z9" s="663"/>
    </row>
    <row r="10" spans="1:32">
      <c r="A10" s="140" t="s">
        <v>1224</v>
      </c>
      <c r="B10" s="140">
        <v>0</v>
      </c>
      <c r="C10" s="140">
        <f t="shared" ref="C10:V10" si="3">(INT(C6/$X10)-INT(B6/$X10))*$X$7</f>
        <v>0</v>
      </c>
      <c r="D10" s="140">
        <f t="shared" si="3"/>
        <v>0</v>
      </c>
      <c r="E10" s="140">
        <f t="shared" si="3"/>
        <v>0</v>
      </c>
      <c r="F10" s="140">
        <f t="shared" si="3"/>
        <v>0</v>
      </c>
      <c r="G10" s="140">
        <f t="shared" si="3"/>
        <v>0</v>
      </c>
      <c r="H10" s="140">
        <f t="shared" si="3"/>
        <v>0</v>
      </c>
      <c r="I10" s="140">
        <f t="shared" si="3"/>
        <v>0</v>
      </c>
      <c r="J10" s="140">
        <f t="shared" si="3"/>
        <v>0</v>
      </c>
      <c r="K10" s="140">
        <f t="shared" si="3"/>
        <v>0</v>
      </c>
      <c r="L10" s="140">
        <f t="shared" si="3"/>
        <v>0</v>
      </c>
      <c r="M10" s="140">
        <f t="shared" si="3"/>
        <v>0</v>
      </c>
      <c r="N10" s="140">
        <f t="shared" si="3"/>
        <v>0</v>
      </c>
      <c r="O10" s="140">
        <f t="shared" si="3"/>
        <v>0</v>
      </c>
      <c r="P10" s="140">
        <f t="shared" si="3"/>
        <v>0</v>
      </c>
      <c r="Q10" s="140">
        <f t="shared" si="3"/>
        <v>0</v>
      </c>
      <c r="R10" s="140">
        <f t="shared" si="3"/>
        <v>0</v>
      </c>
      <c r="S10" s="140">
        <f t="shared" si="3"/>
        <v>0</v>
      </c>
      <c r="T10" s="140">
        <f t="shared" si="3"/>
        <v>0</v>
      </c>
      <c r="U10" s="140">
        <f t="shared" si="3"/>
        <v>0</v>
      </c>
      <c r="V10" s="420">
        <f t="shared" si="3"/>
        <v>0</v>
      </c>
      <c r="W10" s="667" t="s">
        <v>927</v>
      </c>
      <c r="X10" s="666">
        <f>IF($AD$6=1,'GTDB(7EA)'!B14,'GTDB(7EA)'!G14)</f>
        <v>48000</v>
      </c>
      <c r="Y10" s="663"/>
      <c r="Z10" s="663"/>
      <c r="AA10" t="s">
        <v>278</v>
      </c>
    </row>
    <row r="11" spans="1:32" ht="11.2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668"/>
      <c r="X11" s="669"/>
      <c r="Y11" s="663"/>
      <c r="Z11" s="663"/>
      <c r="AF11" s="670"/>
    </row>
    <row r="12" spans="1:32" hidden="1">
      <c r="A12" s="140" t="s">
        <v>924</v>
      </c>
      <c r="B12" s="140"/>
      <c r="C12" s="140" t="str">
        <f t="shared" ref="C12:V12" si="4">IF(C8=0," ",IF(C8/$X$7=1,"C",C8/$X$7&amp;"C"))</f>
        <v xml:space="preserve"> </v>
      </c>
      <c r="D12" s="140" t="str">
        <f t="shared" si="4"/>
        <v xml:space="preserve"> </v>
      </c>
      <c r="E12" s="140" t="str">
        <f t="shared" si="4"/>
        <v xml:space="preserve"> </v>
      </c>
      <c r="F12" s="140" t="str">
        <f t="shared" si="4"/>
        <v xml:space="preserve"> </v>
      </c>
      <c r="G12" s="140" t="str">
        <f t="shared" si="4"/>
        <v xml:space="preserve"> </v>
      </c>
      <c r="H12" s="140" t="str">
        <f t="shared" si="4"/>
        <v xml:space="preserve"> </v>
      </c>
      <c r="I12" s="140" t="str">
        <f t="shared" si="4"/>
        <v xml:space="preserve"> </v>
      </c>
      <c r="J12" s="140" t="str">
        <f t="shared" si="4"/>
        <v xml:space="preserve"> </v>
      </c>
      <c r="K12" s="140" t="str">
        <f t="shared" si="4"/>
        <v xml:space="preserve"> </v>
      </c>
      <c r="L12" s="140" t="str">
        <f t="shared" si="4"/>
        <v xml:space="preserve"> </v>
      </c>
      <c r="M12" s="140" t="str">
        <f t="shared" si="4"/>
        <v xml:space="preserve"> </v>
      </c>
      <c r="N12" s="140" t="str">
        <f t="shared" si="4"/>
        <v xml:space="preserve"> </v>
      </c>
      <c r="O12" s="140" t="str">
        <f t="shared" si="4"/>
        <v xml:space="preserve"> </v>
      </c>
      <c r="P12" s="140" t="str">
        <f t="shared" si="4"/>
        <v xml:space="preserve"> </v>
      </c>
      <c r="Q12" s="140" t="str">
        <f t="shared" si="4"/>
        <v xml:space="preserve"> </v>
      </c>
      <c r="R12" s="140" t="str">
        <f t="shared" si="4"/>
        <v xml:space="preserve"> </v>
      </c>
      <c r="S12" s="140" t="str">
        <f t="shared" si="4"/>
        <v xml:space="preserve"> </v>
      </c>
      <c r="T12" s="140" t="str">
        <f t="shared" si="4"/>
        <v xml:space="preserve"> </v>
      </c>
      <c r="U12" s="140" t="str">
        <f t="shared" si="4"/>
        <v xml:space="preserve"> </v>
      </c>
      <c r="V12" s="140" t="str">
        <f t="shared" si="4"/>
        <v xml:space="preserve"> </v>
      </c>
      <c r="W12" s="615"/>
      <c r="X12" s="671"/>
      <c r="Y12" s="672"/>
      <c r="Z12" s="672"/>
    </row>
    <row r="13" spans="1:32" hidden="1">
      <c r="A13" s="140" t="s">
        <v>1223</v>
      </c>
      <c r="B13" s="140"/>
      <c r="C13" s="140" t="str">
        <f t="shared" ref="C13:V13" si="5">IF(C9=0," ",IF(C9/$X$7=1,"H",C9/$X$7&amp;"H"))</f>
        <v xml:space="preserve"> </v>
      </c>
      <c r="D13" s="140" t="str">
        <f t="shared" si="5"/>
        <v xml:space="preserve"> </v>
      </c>
      <c r="E13" s="140" t="str">
        <f t="shared" si="5"/>
        <v xml:space="preserve"> </v>
      </c>
      <c r="F13" s="140" t="str">
        <f t="shared" si="5"/>
        <v xml:space="preserve"> </v>
      </c>
      <c r="G13" s="140" t="str">
        <f t="shared" si="5"/>
        <v xml:space="preserve"> </v>
      </c>
      <c r="H13" s="140" t="str">
        <f t="shared" si="5"/>
        <v xml:space="preserve"> </v>
      </c>
      <c r="I13" s="140" t="str">
        <f t="shared" si="5"/>
        <v xml:space="preserve"> </v>
      </c>
      <c r="J13" s="140" t="str">
        <f t="shared" si="5"/>
        <v xml:space="preserve"> </v>
      </c>
      <c r="K13" s="140" t="str">
        <f t="shared" si="5"/>
        <v xml:space="preserve"> </v>
      </c>
      <c r="L13" s="140" t="str">
        <f t="shared" si="5"/>
        <v xml:space="preserve"> </v>
      </c>
      <c r="M13" s="140" t="str">
        <f t="shared" si="5"/>
        <v xml:space="preserve"> </v>
      </c>
      <c r="N13" s="140" t="str">
        <f t="shared" si="5"/>
        <v xml:space="preserve"> </v>
      </c>
      <c r="O13" s="140" t="str">
        <f t="shared" si="5"/>
        <v xml:space="preserve"> </v>
      </c>
      <c r="P13" s="140" t="str">
        <f t="shared" si="5"/>
        <v xml:space="preserve"> </v>
      </c>
      <c r="Q13" s="140" t="str">
        <f t="shared" si="5"/>
        <v xml:space="preserve"> </v>
      </c>
      <c r="R13" s="140" t="str">
        <f t="shared" si="5"/>
        <v xml:space="preserve"> </v>
      </c>
      <c r="S13" s="140" t="str">
        <f t="shared" si="5"/>
        <v xml:space="preserve"> </v>
      </c>
      <c r="T13" s="140" t="str">
        <f t="shared" si="5"/>
        <v xml:space="preserve"> </v>
      </c>
      <c r="U13" s="140" t="str">
        <f t="shared" si="5"/>
        <v xml:space="preserve"> </v>
      </c>
      <c r="V13" s="140" t="str">
        <f t="shared" si="5"/>
        <v xml:space="preserve"> </v>
      </c>
      <c r="W13" s="615"/>
      <c r="X13" s="671"/>
      <c r="Y13" s="672"/>
      <c r="Z13" s="672"/>
    </row>
    <row r="14" spans="1:32" ht="12.75" hidden="1" customHeight="1">
      <c r="A14" s="140" t="s">
        <v>1224</v>
      </c>
      <c r="B14" s="140"/>
      <c r="C14" s="140" t="str">
        <f t="shared" ref="C14:V14" si="6">IF(C10=0," ",IF(C10/$X$7=1,"M",C10/$X$7&amp;"M"))</f>
        <v xml:space="preserve"> </v>
      </c>
      <c r="D14" s="140" t="str">
        <f t="shared" si="6"/>
        <v xml:space="preserve"> </v>
      </c>
      <c r="E14" s="140" t="str">
        <f t="shared" si="6"/>
        <v xml:space="preserve"> </v>
      </c>
      <c r="F14" s="140" t="str">
        <f t="shared" si="6"/>
        <v xml:space="preserve"> </v>
      </c>
      <c r="G14" s="140" t="str">
        <f t="shared" si="6"/>
        <v xml:space="preserve"> </v>
      </c>
      <c r="H14" s="140" t="str">
        <f t="shared" si="6"/>
        <v xml:space="preserve"> </v>
      </c>
      <c r="I14" s="140" t="str">
        <f t="shared" si="6"/>
        <v xml:space="preserve"> </v>
      </c>
      <c r="J14" s="140" t="str">
        <f t="shared" si="6"/>
        <v xml:space="preserve"> </v>
      </c>
      <c r="K14" s="140" t="str">
        <f t="shared" si="6"/>
        <v xml:space="preserve"> </v>
      </c>
      <c r="L14" s="140" t="str">
        <f t="shared" si="6"/>
        <v xml:space="preserve"> </v>
      </c>
      <c r="M14" s="140" t="str">
        <f t="shared" si="6"/>
        <v xml:space="preserve"> </v>
      </c>
      <c r="N14" s="140" t="str">
        <f t="shared" si="6"/>
        <v xml:space="preserve"> </v>
      </c>
      <c r="O14" s="140" t="str">
        <f t="shared" si="6"/>
        <v xml:space="preserve"> </v>
      </c>
      <c r="P14" s="140" t="str">
        <f t="shared" si="6"/>
        <v xml:space="preserve"> </v>
      </c>
      <c r="Q14" s="140" t="str">
        <f t="shared" si="6"/>
        <v xml:space="preserve"> </v>
      </c>
      <c r="R14" s="140" t="str">
        <f t="shared" si="6"/>
        <v xml:space="preserve"> </v>
      </c>
      <c r="S14" s="140" t="str">
        <f t="shared" si="6"/>
        <v xml:space="preserve"> </v>
      </c>
      <c r="T14" s="140" t="str">
        <f t="shared" si="6"/>
        <v xml:space="preserve"> </v>
      </c>
      <c r="U14" s="140" t="str">
        <f t="shared" si="6"/>
        <v xml:space="preserve"> </v>
      </c>
      <c r="V14" s="140" t="str">
        <f t="shared" si="6"/>
        <v xml:space="preserve"> </v>
      </c>
      <c r="W14" s="78" t="s">
        <v>278</v>
      </c>
    </row>
    <row r="15" spans="1:32" ht="36.7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673"/>
      <c r="W15" s="674" t="s">
        <v>928</v>
      </c>
      <c r="X15" s="675" t="s">
        <v>929</v>
      </c>
      <c r="Y15" s="675" t="s">
        <v>930</v>
      </c>
      <c r="Z15" s="675" t="s">
        <v>931</v>
      </c>
      <c r="AA15" s="676" t="s">
        <v>932</v>
      </c>
      <c r="AB15" s="675" t="s">
        <v>933</v>
      </c>
    </row>
    <row r="16" spans="1:32" hidden="1">
      <c r="A16" s="140" t="s">
        <v>934</v>
      </c>
      <c r="B16" s="603"/>
      <c r="C16" s="140">
        <f t="shared" ref="C16:V16" si="7">INT((INT(C$6/$X17)*$X$7+$X$7+$Z17-1)/($X$7+$Z17)/$Y17)</f>
        <v>0</v>
      </c>
      <c r="D16" s="140">
        <f t="shared" si="7"/>
        <v>0</v>
      </c>
      <c r="E16" s="140">
        <f t="shared" si="7"/>
        <v>0</v>
      </c>
      <c r="F16" s="140">
        <f t="shared" si="7"/>
        <v>0</v>
      </c>
      <c r="G16" s="140">
        <f t="shared" si="7"/>
        <v>0</v>
      </c>
      <c r="H16" s="140">
        <f t="shared" si="7"/>
        <v>0</v>
      </c>
      <c r="I16" s="140">
        <f t="shared" si="7"/>
        <v>0</v>
      </c>
      <c r="J16" s="140">
        <f t="shared" si="7"/>
        <v>0</v>
      </c>
      <c r="K16" s="140">
        <f t="shared" si="7"/>
        <v>0</v>
      </c>
      <c r="L16" s="140">
        <f t="shared" si="7"/>
        <v>0</v>
      </c>
      <c r="M16" s="140">
        <f t="shared" si="7"/>
        <v>0</v>
      </c>
      <c r="N16" s="140">
        <f t="shared" si="7"/>
        <v>0</v>
      </c>
      <c r="O16" s="140">
        <f t="shared" si="7"/>
        <v>0</v>
      </c>
      <c r="P16" s="140">
        <f t="shared" si="7"/>
        <v>0</v>
      </c>
      <c r="Q16" s="140">
        <f t="shared" si="7"/>
        <v>0</v>
      </c>
      <c r="R16" s="140">
        <f t="shared" si="7"/>
        <v>0</v>
      </c>
      <c r="S16" s="140">
        <f t="shared" si="7"/>
        <v>0</v>
      </c>
      <c r="T16" s="140">
        <f t="shared" si="7"/>
        <v>0</v>
      </c>
      <c r="U16" s="140">
        <f t="shared" si="7"/>
        <v>0</v>
      </c>
      <c r="V16" s="140">
        <f t="shared" si="7"/>
        <v>0</v>
      </c>
      <c r="AB16" s="140"/>
    </row>
    <row r="17" spans="1:28">
      <c r="A17" s="140" t="s">
        <v>935</v>
      </c>
      <c r="B17" s="603" t="s">
        <v>278</v>
      </c>
      <c r="C17" s="603">
        <f>IF($Y17=1,0,$X$7*(INT(C$6/$X17)-INT(B$6/$X17))-IF(SUM($B17:B17)&gt;0,C18,0))</f>
        <v>0</v>
      </c>
      <c r="D17" s="603">
        <f>IF($Y17=1,0,$X$7*(INT(D$6/$X17)-INT(C$6/$X17))-IF(SUM($B17:C17)&gt;0,D18,0))</f>
        <v>0</v>
      </c>
      <c r="E17" s="603">
        <f>IF($Y17=1,0,$X$7*(INT(E$6/$X17)-INT(D$6/$X17))-IF(SUM($B17:D17)&gt;0,E18,0))</f>
        <v>0</v>
      </c>
      <c r="F17" s="603">
        <f>IF($Y17=1,0,$X$7*(INT(F$6/$X17)-INT(E$6/$X17))-IF(SUM($B17:E17)&gt;0,F18,0))</f>
        <v>0</v>
      </c>
      <c r="G17" s="603">
        <f>IF($Y17=1,0,$X$7*(INT(G$6/$X17)-INT(F$6/$X17))-IF(SUM($B17:F17)&gt;0,G18,0))</f>
        <v>0</v>
      </c>
      <c r="H17" s="603">
        <f>IF($Y17=1,0,$X$7*(INT(H$6/$X17)-INT(G$6/$X17))-IF(SUM($B17:G17)&gt;0,H18,0))</f>
        <v>0</v>
      </c>
      <c r="I17" s="603">
        <f>IF($Y17=1,0,$X$7*(INT(I$6/$X17)-INT(H$6/$X17))-IF(SUM($B17:H17)&gt;0,I18,0))</f>
        <v>0</v>
      </c>
      <c r="J17" s="603">
        <f>IF($Y17=1,0,$X$7*(INT(J$6/$X17)-INT(I$6/$X17))-IF(SUM($B17:I17)&gt;0,J18,0))</f>
        <v>0</v>
      </c>
      <c r="K17" s="603">
        <f>IF($Y17=1,0,$X$7*(INT(K$6/$X17)-INT(J$6/$X17))-IF(SUM($B17:J17)&gt;0,K18,0))</f>
        <v>0</v>
      </c>
      <c r="L17" s="603">
        <f>IF($Y17=1,0,$X$7*(INT(L$6/$X17)-INT(K$6/$X17))-IF(SUM($B17:K17)&gt;0,L18,0))</f>
        <v>0</v>
      </c>
      <c r="M17" s="603">
        <f>IF($Y17=1,0,$X$7*(INT(M$6/$X17)-INT(L$6/$X17))-IF(SUM($B17:L17)&gt;0,M18,0))</f>
        <v>0</v>
      </c>
      <c r="N17" s="603">
        <f>IF($Y17=1,0,$X$7*(INT(N$6/$X17)-INT(M$6/$X17))-IF(SUM($B17:M17)&gt;0,N18,0))</f>
        <v>0</v>
      </c>
      <c r="O17" s="603">
        <f>IF($Y17=1,0,$X$7*(INT(O$6/$X17)-INT(N$6/$X17))-IF(SUM($B17:N17)&gt;0,O18,0))</f>
        <v>0</v>
      </c>
      <c r="P17" s="603">
        <f>IF($Y17=1,0,$X$7*(INT(P$6/$X17)-INT(O$6/$X17))-IF(SUM($B17:O17)&gt;0,P18,0))</f>
        <v>0</v>
      </c>
      <c r="Q17" s="603">
        <f>IF($Y17=1,0,$X$7*(INT(Q$6/$X17)-INT(P$6/$X17))-IF(SUM($B17:P17)&gt;0,Q18,0))</f>
        <v>0</v>
      </c>
      <c r="R17" s="603">
        <f>IF($Y17=1,0,$X$7*(INT(R$6/$X17)-INT(Q$6/$X17))-IF(SUM($B17:Q17)&gt;0,R18,0))</f>
        <v>0</v>
      </c>
      <c r="S17" s="603">
        <f>IF($Y17=1,0,$X$7*(INT(S$6/$X17)-INT(R$6/$X17))-IF(SUM($B17:R17)&gt;0,S18,0))</f>
        <v>0</v>
      </c>
      <c r="T17" s="603">
        <f>IF($Y17=1,0,$X$7*(INT(T$6/$X17)-INT(S$6/$X17))-IF(SUM($B17:S17)&gt;0,T18,0))</f>
        <v>0</v>
      </c>
      <c r="U17" s="603">
        <f>IF($Y17=1,0,$X$7*(INT(U$6/$X17)-INT(T$6/$X17))-IF(SUM($B17:T17)&gt;0,U18,0))</f>
        <v>0</v>
      </c>
      <c r="V17" s="603">
        <f>IF($Y17=1,0,$X$7*(INT(V$6/$X17)-INT(U$6/$X17))-IF(SUM($B17:U17)&gt;0,V18,0))</f>
        <v>0</v>
      </c>
      <c r="W17" s="677" t="str">
        <f>'GT schd cost(7EA)'!A14</f>
        <v>Combustion Liners</v>
      </c>
      <c r="X17" s="678">
        <f>IF($AD$6=1,'GTDB(7EA)'!B17,'GTDB(7EA)'!G17)</f>
        <v>8000</v>
      </c>
      <c r="Y17" s="678">
        <f>IF($AD$6=1,'GTDB(7EA)'!C17,'GTDB(7EA)'!H17)</f>
        <v>5</v>
      </c>
      <c r="Z17" s="679">
        <v>1</v>
      </c>
      <c r="AA17" s="832">
        <f>'Initial_Spares(7EA) '!$E$11</f>
        <v>0</v>
      </c>
      <c r="AB17" s="642">
        <f>'GT schd cost(7EA)'!X14+'GT schd cost(7EA)'!X37</f>
        <v>0</v>
      </c>
    </row>
    <row r="18" spans="1:28">
      <c r="A18" s="140" t="s">
        <v>936</v>
      </c>
      <c r="B18" s="603" t="s">
        <v>278</v>
      </c>
      <c r="C18" s="603">
        <f>IF(INT(C$6/$X17)*$X$7&gt;C16*($X$7+$Z17)*$Y17,C16*($X$7+$Z17)-SUM($B18:B18),INT(C$6/$X17)*$X$7-C16*($X$7+$Z17)*($Y17-1)-SUM($B18:B18))+IF($Y17&gt;1,IF(INT(C$6/$X17)&gt;0,$Z17-$AA17,0),-$AA17)</f>
        <v>0</v>
      </c>
      <c r="D18" s="603">
        <f>IF(INT(D$6/$X17)*$X$7&gt;D16*($X$7+$Z17)*$Y17,D16*($X$7+$Z17)-SUM($B18:C18),INT(D$6/$X17)*$X$7-D16*($X$7+$Z17)*($Y17-1)-SUM($B18:C18))+IF($Y17&gt;1,IF(INT(D$6/$X17)&gt;0,$Z17-$AA17,0),-$AA17)</f>
        <v>0</v>
      </c>
      <c r="E18" s="603">
        <f>IF(INT(E$6/$X17)*$X$7&gt;E16*($X$7+$Z17)*$Y17,E16*($X$7+$Z17)-SUM($B18:D18),INT(E$6/$X17)*$X$7-E16*($X$7+$Z17)*($Y17-1)-SUM($B18:D18))+IF($Y17&gt;1,IF(INT(E$6/$X17)&gt;0,$Z17-$AA17,0),-$AA17)</f>
        <v>0</v>
      </c>
      <c r="F18" s="603">
        <f>IF(INT(F$6/$X17)*$X$7&gt;F16*($X$7+$Z17)*$Y17,F16*($X$7+$Z17)-SUM($B18:E18),INT(F$6/$X17)*$X$7-F16*($X$7+$Z17)*($Y17-1)-SUM($B18:E18))+IF($Y17&gt;1,IF(INT(F$6/$X17)&gt;0,$Z17-$AA17,0),-$AA17)</f>
        <v>0</v>
      </c>
      <c r="G18" s="603">
        <f>IF(INT(G$6/$X17)*$X$7&gt;G16*($X$7+$Z17)*$Y17,G16*($X$7+$Z17)-SUM($B18:F18),INT(G$6/$X17)*$X$7-G16*($X$7+$Z17)*($Y17-1)-SUM($B18:F18))+IF($Y17&gt;1,IF(INT(G$6/$X17)&gt;0,$Z17-$AA17,0),-$AA17)</f>
        <v>0</v>
      </c>
      <c r="H18" s="603">
        <f>IF(INT(H$6/$X17)*$X$7&gt;H16*($X$7+$Z17)*$Y17,H16*($X$7+$Z17)-SUM($B18:G18),INT(H$6/$X17)*$X$7-H16*($X$7+$Z17)*($Y17-1)-SUM($B18:G18))+IF($Y17&gt;1,IF(INT(H$6/$X17)&gt;0,$Z17-$AA17,0),-$AA17)</f>
        <v>0</v>
      </c>
      <c r="I18" s="603">
        <f>IF(INT(I$6/$X17)*$X$7&gt;I16*($X$7+$Z17)*$Y17,I16*($X$7+$Z17)-SUM($B18:H18),INT(I$6/$X17)*$X$7-I16*($X$7+$Z17)*($Y17-1)-SUM($B18:H18))+IF($Y17&gt;1,IF(INT(I$6/$X17)&gt;0,$Z17-$AA17,0),-$AA17)</f>
        <v>0</v>
      </c>
      <c r="J18" s="603">
        <f>IF(INT(J$6/$X17)*$X$7&gt;J16*($X$7+$Z17)*$Y17,J16*($X$7+$Z17)-SUM($B18:I18),INT(J$6/$X17)*$X$7-J16*($X$7+$Z17)*($Y17-1)-SUM($B18:I18))+IF($Y17&gt;1,IF(INT(J$6/$X17)&gt;0,$Z17-$AA17,0),-$AA17)</f>
        <v>0</v>
      </c>
      <c r="K18" s="603">
        <f>IF(INT(K$6/$X17)*$X$7&gt;K16*($X$7+$Z17)*$Y17,K16*($X$7+$Z17)-SUM($B18:J18),INT(K$6/$X17)*$X$7-K16*($X$7+$Z17)*($Y17-1)-SUM($B18:J18))+IF($Y17&gt;1,IF(INT(K$6/$X17)&gt;0,$Z17-$AA17,0),-$AA17)</f>
        <v>0</v>
      </c>
      <c r="L18" s="603">
        <f>IF(INT(L$6/$X17)*$X$7&gt;L16*($X$7+$Z17)*$Y17,L16*($X$7+$Z17)-SUM($B18:K18),INT(L$6/$X17)*$X$7-L16*($X$7+$Z17)*($Y17-1)-SUM($B18:K18))+IF($Y17&gt;1,IF(INT(L$6/$X17)&gt;0,$Z17-$AA17,0),-$AA17)</f>
        <v>0</v>
      </c>
      <c r="M18" s="603">
        <f>IF(INT(M$6/$X17)*$X$7&gt;M16*($X$7+$Z17)*$Y17,M16*($X$7+$Z17)-SUM($B18:L18),INT(M$6/$X17)*$X$7-M16*($X$7+$Z17)*($Y17-1)-SUM($B18:L18))+IF($Y17&gt;1,IF(INT(M$6/$X17)&gt;0,$Z17-$AA17,0),-$AA17)</f>
        <v>0</v>
      </c>
      <c r="N18" s="603">
        <f>IF(INT(N$6/$X17)*$X$7&gt;N16*($X$7+$Z17)*$Y17,N16*($X$7+$Z17)-SUM($B18:M18),INT(N$6/$X17)*$X$7-N16*($X$7+$Z17)*($Y17-1)-SUM($B18:M18))+IF($Y17&gt;1,IF(INT(N$6/$X17)&gt;0,$Z17-$AA17,0),-$AA17)</f>
        <v>0</v>
      </c>
      <c r="O18" s="603">
        <f>IF(INT(O$6/$X17)*$X$7&gt;O16*($X$7+$Z17)*$Y17,O16*($X$7+$Z17)-SUM($B18:N18),INT(O$6/$X17)*$X$7-O16*($X$7+$Z17)*($Y17-1)-SUM($B18:N18))+IF($Y17&gt;1,IF(INT(O$6/$X17)&gt;0,$Z17-$AA17,0),-$AA17)</f>
        <v>0</v>
      </c>
      <c r="P18" s="603">
        <f>IF(INT(P$6/$X17)*$X$7&gt;P16*($X$7+$Z17)*$Y17,P16*($X$7+$Z17)-SUM($B18:O18),INT(P$6/$X17)*$X$7-P16*($X$7+$Z17)*($Y17-1)-SUM($B18:O18))+IF($Y17&gt;1,IF(INT(P$6/$X17)&gt;0,$Z17-$AA17,0),-$AA17)</f>
        <v>0</v>
      </c>
      <c r="Q18" s="603">
        <f>IF(INT(Q$6/$X17)*$X$7&gt;Q16*($X$7+$Z17)*$Y17,Q16*($X$7+$Z17)-SUM($B18:P18),INT(Q$6/$X17)*$X$7-Q16*($X$7+$Z17)*($Y17-1)-SUM($B18:P18))+IF($Y17&gt;1,IF(INT(Q$6/$X17)&gt;0,$Z17-$AA17,0),-$AA17)</f>
        <v>0</v>
      </c>
      <c r="R18" s="603">
        <f>IF(INT(R$6/$X17)*$X$7&gt;R16*($X$7+$Z17)*$Y17,R16*($X$7+$Z17)-SUM($B18:Q18),INT(R$6/$X17)*$X$7-R16*($X$7+$Z17)*($Y17-1)-SUM($B18:Q18))+IF($Y17&gt;1,IF(INT(R$6/$X17)&gt;0,$Z17-$AA17,0),-$AA17)</f>
        <v>0</v>
      </c>
      <c r="S18" s="603">
        <f>IF(INT(S$6/$X17)*$X$7&gt;S16*($X$7+$Z17)*$Y17,S16*($X$7+$Z17)-SUM($B18:R18),INT(S$6/$X17)*$X$7-S16*($X$7+$Z17)*($Y17-1)-SUM($B18:R18))+IF($Y17&gt;1,IF(INT(S$6/$X17)&gt;0,$Z17-$AA17,0),-$AA17)</f>
        <v>0</v>
      </c>
      <c r="T18" s="603">
        <f>IF(INT(T$6/$X17)*$X$7&gt;T16*($X$7+$Z17)*$Y17,T16*($X$7+$Z17)-SUM($B18:S18),INT(T$6/$X17)*$X$7-T16*($X$7+$Z17)*($Y17-1)-SUM($B18:S18))+IF($Y17&gt;1,IF(INT(T$6/$X17)&gt;0,$Z17-$AA17,0),-$AA17)</f>
        <v>0</v>
      </c>
      <c r="U18" s="603">
        <f>IF(INT(U$6/$X17)*$X$7&gt;U16*($X$7+$Z17)*$Y17,U16*($X$7+$Z17)-SUM($B18:T18),INT(U$6/$X17)*$X$7-U16*($X$7+$Z17)*($Y17-1)-SUM($B18:T18))+IF($Y17&gt;1,IF(INT(U$6/$X17)&gt;0,$Z17-$AA17,0),-$AA17)</f>
        <v>0</v>
      </c>
      <c r="V18" s="603">
        <f>IF(INT(V$6/$X17)*$X$7&gt;V16*($X$7+$Z17)*$Y17,V16*($X$7+$Z17)-SUM($B18:U18),INT(V$6/$X17)*$X$7-V16*($X$7+$Z17)*($Y17-1)-SUM($B18:U18))+IF($Y17&gt;1,IF(INT(V$6/$X17)&gt;0,$Z17-$AA17,0),-$AA17)</f>
        <v>0</v>
      </c>
      <c r="W18" s="681"/>
    </row>
    <row r="19" spans="1:28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681" t="s">
        <v>278</v>
      </c>
      <c r="X19" t="s">
        <v>278</v>
      </c>
    </row>
    <row r="20" spans="1:28" hidden="1">
      <c r="A20" s="140" t="s">
        <v>934</v>
      </c>
      <c r="B20" s="603"/>
      <c r="C20" s="140">
        <f t="shared" ref="C20:V20" si="8">INT((INT(C$6/$X21)*$X$7+$X$7+$Z21-1)/($X$7+$Z21)/$Y21)</f>
        <v>0</v>
      </c>
      <c r="D20" s="140">
        <f t="shared" si="8"/>
        <v>0</v>
      </c>
      <c r="E20" s="140">
        <f t="shared" si="8"/>
        <v>0</v>
      </c>
      <c r="F20" s="140">
        <f t="shared" si="8"/>
        <v>0</v>
      </c>
      <c r="G20" s="140">
        <f t="shared" si="8"/>
        <v>0</v>
      </c>
      <c r="H20" s="140">
        <f t="shared" si="8"/>
        <v>0</v>
      </c>
      <c r="I20" s="140">
        <f t="shared" si="8"/>
        <v>0</v>
      </c>
      <c r="J20" s="140">
        <f t="shared" si="8"/>
        <v>0</v>
      </c>
      <c r="K20" s="140">
        <f t="shared" si="8"/>
        <v>0</v>
      </c>
      <c r="L20" s="140">
        <f t="shared" si="8"/>
        <v>0</v>
      </c>
      <c r="M20" s="140">
        <f t="shared" si="8"/>
        <v>0</v>
      </c>
      <c r="N20" s="140">
        <f t="shared" si="8"/>
        <v>0</v>
      </c>
      <c r="O20" s="140">
        <f t="shared" si="8"/>
        <v>0</v>
      </c>
      <c r="P20" s="140">
        <f t="shared" si="8"/>
        <v>0</v>
      </c>
      <c r="Q20" s="140">
        <f t="shared" si="8"/>
        <v>0</v>
      </c>
      <c r="R20" s="140">
        <f t="shared" si="8"/>
        <v>0</v>
      </c>
      <c r="S20" s="140">
        <f t="shared" si="8"/>
        <v>0</v>
      </c>
      <c r="T20" s="140">
        <f t="shared" si="8"/>
        <v>0</v>
      </c>
      <c r="U20" s="140">
        <f t="shared" si="8"/>
        <v>0</v>
      </c>
      <c r="V20" s="140">
        <f t="shared" si="8"/>
        <v>0</v>
      </c>
    </row>
    <row r="21" spans="1:28">
      <c r="A21" s="140" t="s">
        <v>935</v>
      </c>
      <c r="B21" s="603" t="s">
        <v>278</v>
      </c>
      <c r="C21" s="603">
        <f>IF($Y21=1,0,$X$7*(INT(C$6/$X21)-INT(B$6/$X21))-IF(SUM($B21:B21)&gt;0,C22,0))</f>
        <v>0</v>
      </c>
      <c r="D21" s="603">
        <f>IF($Y21=1,0,$X$7*(INT(D$6/$X21)-INT(C$6/$X21))-IF(SUM($B21:C21)&gt;0,D22,0))</f>
        <v>0</v>
      </c>
      <c r="E21" s="603">
        <f>IF($Y21=1,0,$X$7*(INT(E$6/$X21)-INT(D$6/$X21))-IF(SUM($B21:D21)&gt;0,E22,0))</f>
        <v>0</v>
      </c>
      <c r="F21" s="603">
        <f>IF($Y21=1,0,$X$7*(INT(F$6/$X21)-INT(E$6/$X21))-IF(SUM($B21:E21)&gt;0,F22,0))</f>
        <v>0</v>
      </c>
      <c r="G21" s="603">
        <f>IF($Y21=1,0,$X$7*(INT(G$6/$X21)-INT(F$6/$X21))-IF(SUM($B21:F21)&gt;0,G22,0))</f>
        <v>0</v>
      </c>
      <c r="H21" s="603">
        <f>IF($Y21=1,0,$X$7*(INT(H$6/$X21)-INT(G$6/$X21))-IF(SUM($B21:G21)&gt;0,H22,0))</f>
        <v>0</v>
      </c>
      <c r="I21" s="603">
        <f>IF($Y21=1,0,$X$7*(INT(I$6/$X21)-INT(H$6/$X21))-IF(SUM($B21:H21)&gt;0,I22,0))</f>
        <v>0</v>
      </c>
      <c r="J21" s="603">
        <f>IF($Y21=1,0,$X$7*(INT(J$6/$X21)-INT(I$6/$X21))-IF(SUM($B21:I21)&gt;0,J22,0))</f>
        <v>0</v>
      </c>
      <c r="K21" s="603">
        <f>IF($Y21=1,0,$X$7*(INT(K$6/$X21)-INT(J$6/$X21))-IF(SUM($B21:J21)&gt;0,K22,0))</f>
        <v>0</v>
      </c>
      <c r="L21" s="603">
        <f>IF($Y21=1,0,$X$7*(INT(L$6/$X21)-INT(K$6/$X21))-IF(SUM($B21:K21)&gt;0,L22,0))</f>
        <v>0</v>
      </c>
      <c r="M21" s="603">
        <f>IF($Y21=1,0,$X$7*(INT(M$6/$X21)-INT(L$6/$X21))-IF(SUM($B21:L21)&gt;0,M22,0))</f>
        <v>0</v>
      </c>
      <c r="N21" s="603">
        <f>IF($Y21=1,0,$X$7*(INT(N$6/$X21)-INT(M$6/$X21))-IF(SUM($B21:M21)&gt;0,N22,0))</f>
        <v>0</v>
      </c>
      <c r="O21" s="603">
        <f>IF($Y21=1,0,$X$7*(INT(O$6/$X21)-INT(N$6/$X21))-IF(SUM($B21:N21)&gt;0,O22,0))</f>
        <v>0</v>
      </c>
      <c r="P21" s="603">
        <f>IF($Y21=1,0,$X$7*(INT(P$6/$X21)-INT(O$6/$X21))-IF(SUM($B21:O21)&gt;0,P22,0))</f>
        <v>0</v>
      </c>
      <c r="Q21" s="603">
        <f>IF($Y21=1,0,$X$7*(INT(Q$6/$X21)-INT(P$6/$X21))-IF(SUM($B21:P21)&gt;0,Q22,0))</f>
        <v>0</v>
      </c>
      <c r="R21" s="603">
        <f>IF($Y21=1,0,$X$7*(INT(R$6/$X21)-INT(Q$6/$X21))-IF(SUM($B21:Q21)&gt;0,R22,0))</f>
        <v>0</v>
      </c>
      <c r="S21" s="603">
        <f>IF($Y21=1,0,$X$7*(INT(S$6/$X21)-INT(R$6/$X21))-IF(SUM($B21:R21)&gt;0,S22,0))</f>
        <v>0</v>
      </c>
      <c r="T21" s="603">
        <f>IF($Y21=1,0,$X$7*(INT(T$6/$X21)-INT(S$6/$X21))-IF(SUM($B21:S21)&gt;0,T22,0))</f>
        <v>0</v>
      </c>
      <c r="U21" s="603">
        <f>IF($Y21=1,0,$X$7*(INT(U$6/$X21)-INT(T$6/$X21))-IF(SUM($B21:T21)&gt;0,U22,0))</f>
        <v>0</v>
      </c>
      <c r="V21" s="603">
        <f>IF($Y21=1,0,$X$7*(INT(V$6/$X21)-INT(U$6/$X21))-IF(SUM($B21:U21)&gt;0,V22,0))</f>
        <v>0</v>
      </c>
      <c r="W21" s="678" t="str">
        <f>'GT schd cost(7EA)'!A15</f>
        <v>Transition Pieces</v>
      </c>
      <c r="X21" s="678">
        <f>IF($AD$6=1,'GTDB(7EA)'!B18,'GTDB(7EA)'!G18)</f>
        <v>8000</v>
      </c>
      <c r="Y21" s="678">
        <f>IF($AD$6=1,'GTDB(7EA)'!C18,'GTDB(7EA)'!H18)</f>
        <v>6</v>
      </c>
      <c r="Z21" s="679">
        <v>1</v>
      </c>
      <c r="AA21" s="833">
        <f>'Initial_Spares(7EA) '!$E$12</f>
        <v>0</v>
      </c>
      <c r="AB21" s="642">
        <f>'GT schd cost(7EA)'!X15+'GT schd cost(7EA)'!X38</f>
        <v>0</v>
      </c>
    </row>
    <row r="22" spans="1:28">
      <c r="A22" s="140" t="s">
        <v>936</v>
      </c>
      <c r="B22" s="603" t="s">
        <v>278</v>
      </c>
      <c r="C22" s="603">
        <f>IF(INT(C$6/$X21)*$X$7&gt;C20*($X$7+$Z21)*$Y21,C20*($X$7+$Z21)-SUM($B22:B22),INT(C$6/$X21)*$X$7-C20*($X$7+$Z21)*($Y21-1)-SUM($B22:B22))+IF($Y21&gt;1,IF(INT(C$6/$X21)&gt;0,$Z21-$AA21,0),-$AA21)</f>
        <v>0</v>
      </c>
      <c r="D22" s="603">
        <f>IF(INT(D$6/$X21)*$X$7&gt;D20*($X$7+$Z21)*$Y21,D20*($X$7+$Z21)-SUM($B22:C22),INT(D$6/$X21)*$X$7-D20*($X$7+$Z21)*($Y21-1)-SUM($B22:C22))+IF($Y21&gt;1,IF(INT(D$6/$X21)&gt;0,$Z21-$AA21,0),-$AA21)</f>
        <v>0</v>
      </c>
      <c r="E22" s="603">
        <f>IF(INT(E$6/$X21)*$X$7&gt;E20*($X$7+$Z21)*$Y21,E20*($X$7+$Z21)-SUM($B22:D22),INT(E$6/$X21)*$X$7-E20*($X$7+$Z21)*($Y21-1)-SUM($B22:D22))+IF($Y21&gt;1,IF(INT(E$6/$X21)&gt;0,$Z21-$AA21,0),-$AA21)</f>
        <v>0</v>
      </c>
      <c r="F22" s="603">
        <f>IF(INT(F$6/$X21)*$X$7&gt;F20*($X$7+$Z21)*$Y21,F20*($X$7+$Z21)-SUM($B22:E22),INT(F$6/$X21)*$X$7-F20*($X$7+$Z21)*($Y21-1)-SUM($B22:E22))+IF($Y21&gt;1,IF(INT(F$6/$X21)&gt;0,$Z21-$AA21,0),-$AA21)</f>
        <v>0</v>
      </c>
      <c r="G22" s="603">
        <f>IF(INT(G$6/$X21)*$X$7&gt;G20*($X$7+$Z21)*$Y21,G20*($X$7+$Z21)-SUM($B22:F22),INT(G$6/$X21)*$X$7-G20*($X$7+$Z21)*($Y21-1)-SUM($B22:F22))+IF($Y21&gt;1,IF(INT(G$6/$X21)&gt;0,$Z21-$AA21,0),-$AA21)</f>
        <v>0</v>
      </c>
      <c r="H22" s="603">
        <f>IF(INT(H$6/$X21)*$X$7&gt;H20*($X$7+$Z21)*$Y21,H20*($X$7+$Z21)-SUM($B22:G22),INT(H$6/$X21)*$X$7-H20*($X$7+$Z21)*($Y21-1)-SUM($B22:G22))+IF($Y21&gt;1,IF(INT(H$6/$X21)&gt;0,$Z21-$AA21,0),-$AA21)</f>
        <v>0</v>
      </c>
      <c r="I22" s="603">
        <f>IF(INT(I$6/$X21)*$X$7&gt;I20*($X$7+$Z21)*$Y21,I20*($X$7+$Z21)-SUM($B22:H22),INT(I$6/$X21)*$X$7-I20*($X$7+$Z21)*($Y21-1)-SUM($B22:H22))+IF($Y21&gt;1,IF(INT(I$6/$X21)&gt;0,$Z21-$AA21,0),-$AA21)</f>
        <v>0</v>
      </c>
      <c r="J22" s="603">
        <f>IF(INT(J$6/$X21)*$X$7&gt;J20*($X$7+$Z21)*$Y21,J20*($X$7+$Z21)-SUM($B22:I22),INT(J$6/$X21)*$X$7-J20*($X$7+$Z21)*($Y21-1)-SUM($B22:I22))+IF($Y21&gt;1,IF(INT(J$6/$X21)&gt;0,$Z21-$AA21,0),-$AA21)</f>
        <v>0</v>
      </c>
      <c r="K22" s="603">
        <f>IF(INT(K$6/$X21)*$X$7&gt;K20*($X$7+$Z21)*$Y21,K20*($X$7+$Z21)-SUM($B22:J22),INT(K$6/$X21)*$X$7-K20*($X$7+$Z21)*($Y21-1)-SUM($B22:J22))+IF($Y21&gt;1,IF(INT(K$6/$X21)&gt;0,$Z21-$AA21,0),-$AA21)</f>
        <v>0</v>
      </c>
      <c r="L22" s="603">
        <f>IF(INT(L$6/$X21)*$X$7&gt;L20*($X$7+$Z21)*$Y21,L20*($X$7+$Z21)-SUM($B22:K22),INT(L$6/$X21)*$X$7-L20*($X$7+$Z21)*($Y21-1)-SUM($B22:K22))+IF($Y21&gt;1,IF(INT(L$6/$X21)&gt;0,$Z21-$AA21,0),-$AA21)</f>
        <v>0</v>
      </c>
      <c r="M22" s="603">
        <f>IF(INT(M$6/$X21)*$X$7&gt;M20*($X$7+$Z21)*$Y21,M20*($X$7+$Z21)-SUM($B22:L22),INT(M$6/$X21)*$X$7-M20*($X$7+$Z21)*($Y21-1)-SUM($B22:L22))+IF($Y21&gt;1,IF(INT(M$6/$X21)&gt;0,$Z21-$AA21,0),-$AA21)</f>
        <v>0</v>
      </c>
      <c r="N22" s="603">
        <f>IF(INT(N$6/$X21)*$X$7&gt;N20*($X$7+$Z21)*$Y21,N20*($X$7+$Z21)-SUM($B22:M22),INT(N$6/$X21)*$X$7-N20*($X$7+$Z21)*($Y21-1)-SUM($B22:M22))+IF($Y21&gt;1,IF(INT(N$6/$X21)&gt;0,$Z21-$AA21,0),-$AA21)</f>
        <v>0</v>
      </c>
      <c r="O22" s="603">
        <f>IF(INT(O$6/$X21)*$X$7&gt;O20*($X$7+$Z21)*$Y21,O20*($X$7+$Z21)-SUM($B22:N22),INT(O$6/$X21)*$X$7-O20*($X$7+$Z21)*($Y21-1)-SUM($B22:N22))+IF($Y21&gt;1,IF(INT(O$6/$X21)&gt;0,$Z21-$AA21,0),-$AA21)</f>
        <v>0</v>
      </c>
      <c r="P22" s="603">
        <f>IF(INT(P$6/$X21)*$X$7&gt;P20*($X$7+$Z21)*$Y21,P20*($X$7+$Z21)-SUM($B22:O22),INT(P$6/$X21)*$X$7-P20*($X$7+$Z21)*($Y21-1)-SUM($B22:O22))+IF($Y21&gt;1,IF(INT(P$6/$X21)&gt;0,$Z21-$AA21,0),-$AA21)</f>
        <v>0</v>
      </c>
      <c r="Q22" s="603">
        <f>IF(INT(Q$6/$X21)*$X$7&gt;Q20*($X$7+$Z21)*$Y21,Q20*($X$7+$Z21)-SUM($B22:P22),INT(Q$6/$X21)*$X$7-Q20*($X$7+$Z21)*($Y21-1)-SUM($B22:P22))+IF($Y21&gt;1,IF(INT(Q$6/$X21)&gt;0,$Z21-$AA21,0),-$AA21)</f>
        <v>0</v>
      </c>
      <c r="R22" s="603">
        <f>IF(INT(R$6/$X21)*$X$7&gt;R20*($X$7+$Z21)*$Y21,R20*($X$7+$Z21)-SUM($B22:Q22),INT(R$6/$X21)*$X$7-R20*($X$7+$Z21)*($Y21-1)-SUM($B22:Q22))+IF($Y21&gt;1,IF(INT(R$6/$X21)&gt;0,$Z21-$AA21,0),-$AA21)</f>
        <v>0</v>
      </c>
      <c r="S22" s="603">
        <f>IF(INT(S$6/$X21)*$X$7&gt;S20*($X$7+$Z21)*$Y21,S20*($X$7+$Z21)-SUM($B22:R22),INT(S$6/$X21)*$X$7-S20*($X$7+$Z21)*($Y21-1)-SUM($B22:R22))+IF($Y21&gt;1,IF(INT(S$6/$X21)&gt;0,$Z21-$AA21,0),-$AA21)</f>
        <v>0</v>
      </c>
      <c r="T22" s="603">
        <f>IF(INT(T$6/$X21)*$X$7&gt;T20*($X$7+$Z21)*$Y21,T20*($X$7+$Z21)-SUM($B22:S22),INT(T$6/$X21)*$X$7-T20*($X$7+$Z21)*($Y21-1)-SUM($B22:S22))+IF($Y21&gt;1,IF(INT(T$6/$X21)&gt;0,$Z21-$AA21,0),-$AA21)</f>
        <v>0</v>
      </c>
      <c r="U22" s="603">
        <f>IF(INT(U$6/$X21)*$X$7&gt;U20*($X$7+$Z21)*$Y21,U20*($X$7+$Z21)-SUM($B22:T22),INT(U$6/$X21)*$X$7-U20*($X$7+$Z21)*($Y21-1)-SUM($B22:T22))+IF($Y21&gt;1,IF(INT(U$6/$X21)&gt;0,$Z21-$AA21,0),-$AA21)</f>
        <v>0</v>
      </c>
      <c r="V22" s="603">
        <f>IF(INT(V$6/$X21)*$X$7&gt;V20*($X$7+$Z21)*$Y21,V20*($X$7+$Z21)-SUM($B22:U22),INT(V$6/$X21)*$X$7-V20*($X$7+$Z21)*($Y21-1)-SUM($B22:U22))+IF($Y21&gt;1,IF(INT(V$6/$X21)&gt;0,$Z21-$AA21,0),-$AA21)</f>
        <v>0</v>
      </c>
      <c r="W22" s="681"/>
    </row>
    <row r="23" spans="1:28">
      <c r="W23" s="681"/>
    </row>
    <row r="24" spans="1:28" hidden="1">
      <c r="A24" s="140" t="s">
        <v>934</v>
      </c>
      <c r="B24" s="603"/>
      <c r="C24" s="140" t="e">
        <f t="shared" ref="C24:V24" si="9">INT((INT(C$6/$X25)*$X$7+$X$7+$Z25-1)/($X$7+$Z25)/$Y25)</f>
        <v>#REF!</v>
      </c>
      <c r="D24" s="140" t="e">
        <f t="shared" si="9"/>
        <v>#REF!</v>
      </c>
      <c r="E24" s="140" t="e">
        <f t="shared" si="9"/>
        <v>#REF!</v>
      </c>
      <c r="F24" s="140" t="e">
        <f t="shared" si="9"/>
        <v>#REF!</v>
      </c>
      <c r="G24" s="140" t="e">
        <f t="shared" si="9"/>
        <v>#REF!</v>
      </c>
      <c r="H24" s="140" t="e">
        <f t="shared" si="9"/>
        <v>#REF!</v>
      </c>
      <c r="I24" s="140" t="e">
        <f t="shared" si="9"/>
        <v>#REF!</v>
      </c>
      <c r="J24" s="140" t="e">
        <f t="shared" si="9"/>
        <v>#REF!</v>
      </c>
      <c r="K24" s="140" t="e">
        <f t="shared" si="9"/>
        <v>#REF!</v>
      </c>
      <c r="L24" s="140" t="e">
        <f t="shared" si="9"/>
        <v>#REF!</v>
      </c>
      <c r="M24" s="140" t="e">
        <f t="shared" si="9"/>
        <v>#REF!</v>
      </c>
      <c r="N24" s="140" t="e">
        <f t="shared" si="9"/>
        <v>#REF!</v>
      </c>
      <c r="O24" s="140" t="e">
        <f t="shared" si="9"/>
        <v>#REF!</v>
      </c>
      <c r="P24" s="140" t="e">
        <f t="shared" si="9"/>
        <v>#REF!</v>
      </c>
      <c r="Q24" s="140" t="e">
        <f t="shared" si="9"/>
        <v>#REF!</v>
      </c>
      <c r="R24" s="140" t="e">
        <f t="shared" si="9"/>
        <v>#REF!</v>
      </c>
      <c r="S24" s="140" t="e">
        <f t="shared" si="9"/>
        <v>#REF!</v>
      </c>
      <c r="T24" s="140" t="e">
        <f t="shared" si="9"/>
        <v>#REF!</v>
      </c>
      <c r="U24" s="140" t="e">
        <f t="shared" si="9"/>
        <v>#REF!</v>
      </c>
      <c r="V24" s="140" t="e">
        <f t="shared" si="9"/>
        <v>#REF!</v>
      </c>
    </row>
    <row r="25" spans="1:28" hidden="1">
      <c r="A25" s="140" t="s">
        <v>935</v>
      </c>
      <c r="B25" s="603" t="s">
        <v>278</v>
      </c>
      <c r="C25" s="603" t="e">
        <f>IF($Y25=1,0,$X$7*(INT(C$6/$X25)-INT(B$6/$X25))-IF(SUM($B25:B25)&gt;0,C26,0))</f>
        <v>#REF!</v>
      </c>
      <c r="D25" s="603" t="e">
        <f>IF($Y25=1,0,$X$7*(INT(D$6/$X25)-INT(C$6/$X25))-IF(SUM($B25:C25)&gt;0,D26,0))</f>
        <v>#REF!</v>
      </c>
      <c r="E25" s="603" t="e">
        <f>IF($Y25=1,0,$X$7*(INT(E$6/$X25)-INT(D$6/$X25))-IF(SUM($B25:D25)&gt;0,E26,0))</f>
        <v>#REF!</v>
      </c>
      <c r="F25" s="603" t="e">
        <f>IF($Y25=1,0,$X$7*(INT(F$6/$X25)-INT(E$6/$X25))-IF(SUM($B25:E25)&gt;0,F26,0))</f>
        <v>#REF!</v>
      </c>
      <c r="G25" s="603" t="e">
        <f>IF($Y25=1,0,$X$7*(INT(G$6/$X25)-INT(F$6/$X25))-IF(SUM($B25:F25)&gt;0,G26,0))</f>
        <v>#REF!</v>
      </c>
      <c r="H25" s="603" t="e">
        <f>IF($Y25=1,0,$X$7*(INT(H$6/$X25)-INT(G$6/$X25))-IF(SUM($B25:G25)&gt;0,H26,0))</f>
        <v>#REF!</v>
      </c>
      <c r="I25" s="603" t="e">
        <f>IF($Y25=1,0,$X$7*(INT(I$6/$X25)-INT(H$6/$X25))-IF(SUM($B25:H25)&gt;0,I26,0))</f>
        <v>#REF!</v>
      </c>
      <c r="J25" s="603" t="e">
        <f>IF($Y25=1,0,$X$7*(INT(J$6/$X25)-INT(I$6/$X25))-IF(SUM($B25:I25)&gt;0,J26,0))</f>
        <v>#REF!</v>
      </c>
      <c r="K25" s="603" t="e">
        <f>IF($Y25=1,0,$X$7*(INT(K$6/$X25)-INT(J$6/$X25))-IF(SUM($B25:J25)&gt;0,K26,0))</f>
        <v>#REF!</v>
      </c>
      <c r="L25" s="603" t="e">
        <f>IF($Y25=1,0,$X$7*(INT(L$6/$X25)-INT(K$6/$X25))-IF(SUM($B25:K25)&gt;0,L26,0))</f>
        <v>#REF!</v>
      </c>
      <c r="M25" s="603" t="e">
        <f>IF($Y25=1,0,$X$7*(INT(M$6/$X25)-INT(L$6/$X25))-IF(SUM($B25:L25)&gt;0,M26,0))</f>
        <v>#REF!</v>
      </c>
      <c r="N25" s="603" t="e">
        <f>IF($Y25=1,0,$X$7*(INT(N$6/$X25)-INT(M$6/$X25))-IF(SUM($B25:M25)&gt;0,N26,0))</f>
        <v>#REF!</v>
      </c>
      <c r="O25" s="603" t="e">
        <f>IF($Y25=1,0,$X$7*(INT(O$6/$X25)-INT(N$6/$X25))-IF(SUM($B25:N25)&gt;0,O26,0))</f>
        <v>#REF!</v>
      </c>
      <c r="P25" s="603" t="e">
        <f>IF($Y25=1,0,$X$7*(INT(P$6/$X25)-INT(O$6/$X25))-IF(SUM($B25:O25)&gt;0,P26,0))</f>
        <v>#REF!</v>
      </c>
      <c r="Q25" s="603" t="e">
        <f>IF($Y25=1,0,$X$7*(INT(Q$6/$X25)-INT(P$6/$X25))-IF(SUM($B25:P25)&gt;0,Q26,0))</f>
        <v>#REF!</v>
      </c>
      <c r="R25" s="603" t="e">
        <f>IF($Y25=1,0,$X$7*(INT(R$6/$X25)-INT(Q$6/$X25))-IF(SUM($B25:Q25)&gt;0,R26,0))</f>
        <v>#REF!</v>
      </c>
      <c r="S25" s="603" t="e">
        <f>IF($Y25=1,0,$X$7*(INT(S$6/$X25)-INT(R$6/$X25))-IF(SUM($B25:R25)&gt;0,S26,0))</f>
        <v>#REF!</v>
      </c>
      <c r="T25" s="603" t="e">
        <f>IF($Y25=1,0,$X$7*(INT(T$6/$X25)-INT(S$6/$X25))-IF(SUM($B25:S25)&gt;0,T26,0))</f>
        <v>#REF!</v>
      </c>
      <c r="U25" s="603" t="e">
        <f>IF($Y25=1,0,$X$7*(INT(U$6/$X25)-INT(T$6/$X25))-IF(SUM($B25:T25)&gt;0,U26,0))</f>
        <v>#REF!</v>
      </c>
      <c r="V25" s="603" t="e">
        <f>IF($Y25=1,0,$X$7*(INT(V$6/$X25)-INT(U$6/$X25))-IF(SUM($B25:U25)&gt;0,V26,0))</f>
        <v>#REF!</v>
      </c>
      <c r="W25" s="678" t="e">
        <f xml:space="preserve"> 'GT schd cost(7EA)'!#REF!</f>
        <v>#REF!</v>
      </c>
      <c r="X25" s="678" t="e">
        <f>IF($AD$6=1,'GTDB(7EA)'!#REF!,'GTDB(7EA)'!#REF!)</f>
        <v>#REF!</v>
      </c>
      <c r="Y25" s="678" t="e">
        <f>IF($AD$6=1,'GTDB(7EA)'!#REF!,'GTDB(7EA)'!#REF!)</f>
        <v>#REF!</v>
      </c>
      <c r="Z25" s="679">
        <v>2</v>
      </c>
      <c r="AA25" s="654">
        <v>0</v>
      </c>
      <c r="AB25" s="642" t="e">
        <f>'GT schd cost(7EA)'!#REF!+'GT schd cost(7EA)'!#REF!</f>
        <v>#REF!</v>
      </c>
    </row>
    <row r="26" spans="1:28" hidden="1">
      <c r="A26" s="140" t="s">
        <v>936</v>
      </c>
      <c r="B26" s="603" t="s">
        <v>278</v>
      </c>
      <c r="C26" s="603" t="e">
        <f>IF(INT(C$6/$X25)*$X$7&gt;C24*($X$7+$Z25)*$Y25,C24*($X$7+$Z25)-SUM($B26:B26),INT(C$6/$X25)*$X$7-C24*($X$7+$Z25)*($Y25-1)-SUM($B26:B26))+IF($Y25&gt;1,IF(INT(C$6/$X25)&gt;0,$Z25-$AA25,0),-$AA25)</f>
        <v>#REF!</v>
      </c>
      <c r="D26" s="603" t="e">
        <f>IF(INT(D$6/$X25)*$X$7&gt;D24*($X$7+$Z25)*$Y25,D24*($X$7+$Z25)-SUM($B26:C26),INT(D$6/$X25)*$X$7-D24*($X$7+$Z25)*($Y25-1)-SUM($B26:C26))+IF($Y25&gt;1,IF(INT(D$6/$X25)&gt;0,$Z25-$AA25,0),-$AA25)</f>
        <v>#REF!</v>
      </c>
      <c r="E26" s="603" t="e">
        <f>IF(INT(E$6/$X25)*$X$7&gt;E24*($X$7+$Z25)*$Y25,E24*($X$7+$Z25)-SUM($B26:D26),INT(E$6/$X25)*$X$7-E24*($X$7+$Z25)*($Y25-1)-SUM($B26:D26))+IF($Y25&gt;1,IF(INT(E$6/$X25)&gt;0,$Z25-$AA25,0),-$AA25)</f>
        <v>#REF!</v>
      </c>
      <c r="F26" s="603" t="e">
        <f>IF(INT(F$6/$X25)*$X$7&gt;F24*($X$7+$Z25)*$Y25,F24*($X$7+$Z25)-SUM($B26:E26),INT(F$6/$X25)*$X$7-F24*($X$7+$Z25)*($Y25-1)-SUM($B26:E26))+IF($Y25&gt;1,IF(INT(F$6/$X25)&gt;0,$Z25-$AA25,0),-$AA25)</f>
        <v>#REF!</v>
      </c>
      <c r="G26" s="603" t="e">
        <f>IF(INT(G$6/$X25)*$X$7&gt;G24*($X$7+$Z25)*$Y25,G24*($X$7+$Z25)-SUM($B26:F26),INT(G$6/$X25)*$X$7-G24*($X$7+$Z25)*($Y25-1)-SUM($B26:F26))+IF($Y25&gt;1,IF(INT(G$6/$X25)&gt;0,$Z25-$AA25,0),-$AA25)</f>
        <v>#REF!</v>
      </c>
      <c r="H26" s="603" t="e">
        <f>IF(INT(H$6/$X25)*$X$7&gt;H24*($X$7+$Z25)*$Y25,H24*($X$7+$Z25)-SUM($B26:G26),INT(H$6/$X25)*$X$7-H24*($X$7+$Z25)*($Y25-1)-SUM($B26:G26))+IF($Y25&gt;1,IF(INT(H$6/$X25)&gt;0,$Z25-$AA25,0),-$AA25)</f>
        <v>#REF!</v>
      </c>
      <c r="I26" s="603" t="e">
        <f>IF(INT(I$6/$X25)*$X$7&gt;I24*($X$7+$Z25)*$Y25,I24*($X$7+$Z25)-SUM($B26:H26),INT(I$6/$X25)*$X$7-I24*($X$7+$Z25)*($Y25-1)-SUM($B26:H26))+IF($Y25&gt;1,IF(INT(I$6/$X25)&gt;0,$Z25-$AA25,0),-$AA25)</f>
        <v>#REF!</v>
      </c>
      <c r="J26" s="603" t="e">
        <f>IF(INT(J$6/$X25)*$X$7&gt;J24*($X$7+$Z25)*$Y25,J24*($X$7+$Z25)-SUM($B26:I26),INT(J$6/$X25)*$X$7-J24*($X$7+$Z25)*($Y25-1)-SUM($B26:I26))+IF($Y25&gt;1,IF(INT(J$6/$X25)&gt;0,$Z25-$AA25,0),-$AA25)</f>
        <v>#REF!</v>
      </c>
      <c r="K26" s="603" t="e">
        <f>IF(INT(K$6/$X25)*$X$7&gt;K24*($X$7+$Z25)*$Y25,K24*($X$7+$Z25)-SUM($B26:J26),INT(K$6/$X25)*$X$7-K24*($X$7+$Z25)*($Y25-1)-SUM($B26:J26))+IF($Y25&gt;1,IF(INT(K$6/$X25)&gt;0,$Z25-$AA25,0),-$AA25)</f>
        <v>#REF!</v>
      </c>
      <c r="L26" s="603" t="e">
        <f>IF(INT(L$6/$X25)*$X$7&gt;L24*($X$7+$Z25)*$Y25,L24*($X$7+$Z25)-SUM($B26:K26),INT(L$6/$X25)*$X$7-L24*($X$7+$Z25)*($Y25-1)-SUM($B26:K26))+IF($Y25&gt;1,IF(INT(L$6/$X25)&gt;0,$Z25-$AA25,0),-$AA25)</f>
        <v>#REF!</v>
      </c>
      <c r="M26" s="603" t="e">
        <f>IF(INT(M$6/$X25)*$X$7&gt;M24*($X$7+$Z25)*$Y25,M24*($X$7+$Z25)-SUM($B26:L26),INT(M$6/$X25)*$X$7-M24*($X$7+$Z25)*($Y25-1)-SUM($B26:L26))+IF($Y25&gt;1,IF(INT(M$6/$X25)&gt;0,$Z25-$AA25,0),-$AA25)</f>
        <v>#REF!</v>
      </c>
      <c r="N26" s="603" t="e">
        <f>IF(INT(N$6/$X25)*$X$7&gt;N24*($X$7+$Z25)*$Y25,N24*($X$7+$Z25)-SUM($B26:M26),INT(N$6/$X25)*$X$7-N24*($X$7+$Z25)*($Y25-1)-SUM($B26:M26))+IF($Y25&gt;1,IF(INT(N$6/$X25)&gt;0,$Z25-$AA25,0),-$AA25)</f>
        <v>#REF!</v>
      </c>
      <c r="O26" s="603" t="e">
        <f>IF(INT(O$6/$X25)*$X$7&gt;O24*($X$7+$Z25)*$Y25,O24*($X$7+$Z25)-SUM($B26:N26),INT(O$6/$X25)*$X$7-O24*($X$7+$Z25)*($Y25-1)-SUM($B26:N26))+IF($Y25&gt;1,IF(INT(O$6/$X25)&gt;0,$Z25-$AA25,0),-$AA25)</f>
        <v>#REF!</v>
      </c>
      <c r="P26" s="603" t="e">
        <f>IF(INT(P$6/$X25)*$X$7&gt;P24*($X$7+$Z25)*$Y25,P24*($X$7+$Z25)-SUM($B26:O26),INT(P$6/$X25)*$X$7-P24*($X$7+$Z25)*($Y25-1)-SUM($B26:O26))+IF($Y25&gt;1,IF(INT(P$6/$X25)&gt;0,$Z25-$AA25,0),-$AA25)</f>
        <v>#REF!</v>
      </c>
      <c r="Q26" s="603" t="e">
        <f>IF(INT(Q$6/$X25)*$X$7&gt;Q24*($X$7+$Z25)*$Y25,Q24*($X$7+$Z25)-SUM($B26:P26),INT(Q$6/$X25)*$X$7-Q24*($X$7+$Z25)*($Y25-1)-SUM($B26:P26))+IF($Y25&gt;1,IF(INT(Q$6/$X25)&gt;0,$Z25-$AA25,0),-$AA25)</f>
        <v>#REF!</v>
      </c>
      <c r="R26" s="603" t="e">
        <f>IF(INT(R$6/$X25)*$X$7&gt;R24*($X$7+$Z25)*$Y25,R24*($X$7+$Z25)-SUM($B26:Q26),INT(R$6/$X25)*$X$7-R24*($X$7+$Z25)*($Y25-1)-SUM($B26:Q26))+IF($Y25&gt;1,IF(INT(R$6/$X25)&gt;0,$Z25-$AA25,0),-$AA25)</f>
        <v>#REF!</v>
      </c>
      <c r="S26" s="603" t="e">
        <f>IF(INT(S$6/$X25)*$X$7&gt;S24*($X$7+$Z25)*$Y25,S24*($X$7+$Z25)-SUM($B26:R26),INT(S$6/$X25)*$X$7-S24*($X$7+$Z25)*($Y25-1)-SUM($B26:R26))+IF($Y25&gt;1,IF(INT(S$6/$X25)&gt;0,$Z25-$AA25,0),-$AA25)</f>
        <v>#REF!</v>
      </c>
      <c r="T26" s="603" t="e">
        <f>IF(INT(T$6/$X25)*$X$7&gt;T24*($X$7+$Z25)*$Y25,T24*($X$7+$Z25)-SUM($B26:S26),INT(T$6/$X25)*$X$7-T24*($X$7+$Z25)*($Y25-1)-SUM($B26:S26))+IF($Y25&gt;1,IF(INT(T$6/$X25)&gt;0,$Z25-$AA25,0),-$AA25)</f>
        <v>#REF!</v>
      </c>
      <c r="U26" s="603" t="e">
        <f>IF(INT(U$6/$X25)*$X$7&gt;U24*($X$7+$Z25)*$Y25,U24*($X$7+$Z25)-SUM($B26:T26),INT(U$6/$X25)*$X$7-U24*($X$7+$Z25)*($Y25-1)-SUM($B26:T26))+IF($Y25&gt;1,IF(INT(U$6/$X25)&gt;0,$Z25-$AA25,0),-$AA25)</f>
        <v>#REF!</v>
      </c>
      <c r="V26" s="603" t="e">
        <f>IF(INT(V$6/$X25)*$X$7&gt;V24*($X$7+$Z25)*$Y25,V24*($X$7+$Z25)-SUM($B26:U26),INT(V$6/$X25)*$X$7-V24*($X$7+$Z25)*($Y25-1)-SUM($B26:U26))+IF($Y25&gt;1,IF(INT(V$6/$X25)&gt;0,$Z25-$AA25,0),-$AA25)</f>
        <v>#REF!</v>
      </c>
      <c r="W26" s="681"/>
    </row>
    <row r="27" spans="1:28" hidden="1">
      <c r="W27" s="681"/>
    </row>
    <row r="28" spans="1:28" hidden="1">
      <c r="A28" s="140" t="s">
        <v>934</v>
      </c>
      <c r="B28" s="603"/>
      <c r="C28" s="140">
        <f t="shared" ref="C28:V28" si="10">INT((INT(C$6/$X29)*$X$7+$X$7+$Z29-1)/($X$7+$Z29)/$Y29)</f>
        <v>0</v>
      </c>
      <c r="D28" s="140">
        <f t="shared" si="10"/>
        <v>0</v>
      </c>
      <c r="E28" s="140">
        <f t="shared" si="10"/>
        <v>0</v>
      </c>
      <c r="F28" s="140">
        <f t="shared" si="10"/>
        <v>0</v>
      </c>
      <c r="G28" s="140">
        <f t="shared" si="10"/>
        <v>0</v>
      </c>
      <c r="H28" s="140">
        <f t="shared" si="10"/>
        <v>0</v>
      </c>
      <c r="I28" s="140">
        <f t="shared" si="10"/>
        <v>0</v>
      </c>
      <c r="J28" s="140">
        <f t="shared" si="10"/>
        <v>0</v>
      </c>
      <c r="K28" s="140">
        <f t="shared" si="10"/>
        <v>0</v>
      </c>
      <c r="L28" s="140">
        <f t="shared" si="10"/>
        <v>0</v>
      </c>
      <c r="M28" s="140">
        <f t="shared" si="10"/>
        <v>0</v>
      </c>
      <c r="N28" s="140">
        <f t="shared" si="10"/>
        <v>0</v>
      </c>
      <c r="O28" s="140">
        <f t="shared" si="10"/>
        <v>0</v>
      </c>
      <c r="P28" s="140">
        <f t="shared" si="10"/>
        <v>0</v>
      </c>
      <c r="Q28" s="140">
        <f t="shared" si="10"/>
        <v>0</v>
      </c>
      <c r="R28" s="140">
        <f t="shared" si="10"/>
        <v>0</v>
      </c>
      <c r="S28" s="140">
        <f t="shared" si="10"/>
        <v>0</v>
      </c>
      <c r="T28" s="140">
        <f t="shared" si="10"/>
        <v>0</v>
      </c>
      <c r="U28" s="140">
        <f t="shared" si="10"/>
        <v>0</v>
      </c>
      <c r="V28" s="140">
        <f t="shared" si="10"/>
        <v>0</v>
      </c>
    </row>
    <row r="29" spans="1:28">
      <c r="A29" s="140" t="s">
        <v>935</v>
      </c>
      <c r="B29" s="603" t="s">
        <v>278</v>
      </c>
      <c r="C29" s="603">
        <f>IF($Y29=1,0,$X$7*(INT(C$6/$X29)-INT(B$6/$X29))-IF(SUM($B29:B29)&gt;0,C30,0))</f>
        <v>0</v>
      </c>
      <c r="D29" s="603">
        <f>IF($Y29=1,0,$X$7*(INT(D$6/$X29)-INT(C$6/$X29))-IF(SUM($B29:C29)&gt;0,D30,0))</f>
        <v>0</v>
      </c>
      <c r="E29" s="603">
        <f>IF($Y29=1,0,$X$7*(INT(E$6/$X29)-INT(D$6/$X29))-IF(SUM($B29:D29)&gt;0,E30,0))</f>
        <v>0</v>
      </c>
      <c r="F29" s="603">
        <f>IF($Y29=1,0,$X$7*(INT(F$6/$X29)-INT(E$6/$X29))-IF(SUM($B29:E29)&gt;0,F30,0))</f>
        <v>0</v>
      </c>
      <c r="G29" s="603">
        <f>IF($Y29=1,0,$X$7*(INT(G$6/$X29)-INT(F$6/$X29))-IF(SUM($B29:F29)&gt;0,G30,0))</f>
        <v>0</v>
      </c>
      <c r="H29" s="603">
        <f>IF($Y29=1,0,$X$7*(INT(H$6/$X29)-INT(G$6/$X29))-IF(SUM($B29:G29)&gt;0,H30,0))</f>
        <v>0</v>
      </c>
      <c r="I29" s="603">
        <f>IF($Y29=1,0,$X$7*(INT(I$6/$X29)-INT(H$6/$X29))-IF(SUM($B29:H29)&gt;0,I30,0))</f>
        <v>0</v>
      </c>
      <c r="J29" s="603">
        <f>IF($Y29=1,0,$X$7*(INT(J$6/$X29)-INT(I$6/$X29))-IF(SUM($B29:I29)&gt;0,J30,0))</f>
        <v>0</v>
      </c>
      <c r="K29" s="603">
        <f>IF($Y29=1,0,$X$7*(INT(K$6/$X29)-INT(J$6/$X29))-IF(SUM($B29:J29)&gt;0,K30,0))</f>
        <v>0</v>
      </c>
      <c r="L29" s="603">
        <f>IF($Y29=1,0,$X$7*(INT(L$6/$X29)-INT(K$6/$X29))-IF(SUM($B29:K29)&gt;0,L30,0))</f>
        <v>0</v>
      </c>
      <c r="M29" s="603">
        <f>IF($Y29=1,0,$X$7*(INT(M$6/$X29)-INT(L$6/$X29))-IF(SUM($B29:L29)&gt;0,M30,0))</f>
        <v>0</v>
      </c>
      <c r="N29" s="603">
        <f>IF($Y29=1,0,$X$7*(INT(N$6/$X29)-INT(M$6/$X29))-IF(SUM($B29:M29)&gt;0,N30,0))</f>
        <v>0</v>
      </c>
      <c r="O29" s="603">
        <f>IF($Y29=1,0,$X$7*(INT(O$6/$X29)-INT(N$6/$X29))-IF(SUM($B29:N29)&gt;0,O30,0))</f>
        <v>0</v>
      </c>
      <c r="P29" s="603">
        <f>IF($Y29=1,0,$X$7*(INT(P$6/$X29)-INT(O$6/$X29))-IF(SUM($B29:O29)&gt;0,P30,0))</f>
        <v>0</v>
      </c>
      <c r="Q29" s="603">
        <f>IF($Y29=1,0,$X$7*(INT(Q$6/$X29)-INT(P$6/$X29))-IF(SUM($B29:P29)&gt;0,Q30,0))</f>
        <v>0</v>
      </c>
      <c r="R29" s="603">
        <f>IF($Y29=1,0,$X$7*(INT(R$6/$X29)-INT(Q$6/$X29))-IF(SUM($B29:Q29)&gt;0,R30,0))</f>
        <v>0</v>
      </c>
      <c r="S29" s="603">
        <f>IF($Y29=1,0,$X$7*(INT(S$6/$X29)-INT(R$6/$X29))-IF(SUM($B29:R29)&gt;0,S30,0))</f>
        <v>0</v>
      </c>
      <c r="T29" s="603">
        <f>IF($Y29=1,0,$X$7*(INT(T$6/$X29)-INT(S$6/$X29))-IF(SUM($B29:S29)&gt;0,T30,0))</f>
        <v>0</v>
      </c>
      <c r="U29" s="603">
        <f>IF($Y29=1,0,$X$7*(INT(U$6/$X29)-INT(T$6/$X29))-IF(SUM($B29:T29)&gt;0,U30,0))</f>
        <v>0</v>
      </c>
      <c r="V29" s="603">
        <f>IF($Y29=1,0,$X$7*(INT(V$6/$X29)-INT(U$6/$X29))-IF(SUM($B29:U29)&gt;0,V30,0))</f>
        <v>0</v>
      </c>
      <c r="W29" s="678" t="str">
        <f xml:space="preserve">  'GT schd cost(7EA)'!A16</f>
        <v>Fuel Nozzles</v>
      </c>
      <c r="X29" s="678">
        <f>IF($AD$6=1,'GTDB(7EA)'!B19,'GTDB(7EA)'!G19)</f>
        <v>8000</v>
      </c>
      <c r="Y29" s="678">
        <f>IF($AD$6=1,'GTDB(7EA)'!C19,'GTDB(7EA)'!H19)</f>
        <v>3</v>
      </c>
      <c r="Z29" s="679">
        <v>1</v>
      </c>
      <c r="AA29" s="834">
        <f>'Initial_Spares(7EA) '!$E$13</f>
        <v>0</v>
      </c>
      <c r="AB29" s="642">
        <f>'GT schd cost(7EA)'!X16+'GT schd cost(7EA)'!X39</f>
        <v>0</v>
      </c>
    </row>
    <row r="30" spans="1:28">
      <c r="A30" s="140" t="s">
        <v>936</v>
      </c>
      <c r="B30" s="603" t="s">
        <v>278</v>
      </c>
      <c r="C30" s="603">
        <f>IF(INT(C$6/$X29)*$X$7&gt;C28*($X$7+$Z29)*$Y29,C28*($X$7+$Z29)-SUM($B30:B30),INT(C$6/$X29)*$X$7-C28*($X$7+$Z29)*($Y29-1)-SUM($B30:B30))+IF($Y29&gt;1,IF(INT(C$6/$X29)&gt;0,$Z29-$AA29,0),-$AA29)</f>
        <v>0</v>
      </c>
      <c r="D30" s="603">
        <f>IF(INT(D$6/$X29)*$X$7&gt;D28*($X$7+$Z29)*$Y29,D28*($X$7+$Z29)-SUM($B30:C30),INT(D$6/$X29)*$X$7-D28*($X$7+$Z29)*($Y29-1)-SUM($B30:C30))+IF($Y29&gt;1,IF(INT(D$6/$X29)&gt;0,$Z29-$AA29,0),-$AA29)</f>
        <v>0</v>
      </c>
      <c r="E30" s="603">
        <f>IF(INT(E$6/$X29)*$X$7&gt;E28*($X$7+$Z29)*$Y29,E28*($X$7+$Z29)-SUM($B30:D30),INT(E$6/$X29)*$X$7-E28*($X$7+$Z29)*($Y29-1)-SUM($B30:D30))+IF($Y29&gt;1,IF(INT(E$6/$X29)&gt;0,$Z29-$AA29,0),-$AA29)</f>
        <v>0</v>
      </c>
      <c r="F30" s="603">
        <f>IF(INT(F$6/$X29)*$X$7&gt;F28*($X$7+$Z29)*$Y29,F28*($X$7+$Z29)-SUM($B30:E30),INT(F$6/$X29)*$X$7-F28*($X$7+$Z29)*($Y29-1)-SUM($B30:E30))+IF($Y29&gt;1,IF(INT(F$6/$X29)&gt;0,$Z29-$AA29,0),-$AA29)</f>
        <v>0</v>
      </c>
      <c r="G30" s="603">
        <f>IF(INT(G$6/$X29)*$X$7&gt;G28*($X$7+$Z29)*$Y29,G28*($X$7+$Z29)-SUM($B30:F30),INT(G$6/$X29)*$X$7-G28*($X$7+$Z29)*($Y29-1)-SUM($B30:F30))+IF($Y29&gt;1,IF(INT(G$6/$X29)&gt;0,$Z29-$AA29,0),-$AA29)</f>
        <v>0</v>
      </c>
      <c r="H30" s="603">
        <f>IF(INT(H$6/$X29)*$X$7&gt;H28*($X$7+$Z29)*$Y29,H28*($X$7+$Z29)-SUM($B30:G30),INT(H$6/$X29)*$X$7-H28*($X$7+$Z29)*($Y29-1)-SUM($B30:G30))+IF($Y29&gt;1,IF(INT(H$6/$X29)&gt;0,$Z29-$AA29,0),-$AA29)</f>
        <v>0</v>
      </c>
      <c r="I30" s="603">
        <f>IF(INT(I$6/$X29)*$X$7&gt;I28*($X$7+$Z29)*$Y29,I28*($X$7+$Z29)-SUM($B30:H30),INT(I$6/$X29)*$X$7-I28*($X$7+$Z29)*($Y29-1)-SUM($B30:H30))+IF($Y29&gt;1,IF(INT(I$6/$X29)&gt;0,$Z29-$AA29,0),-$AA29)</f>
        <v>0</v>
      </c>
      <c r="J30" s="603">
        <f>IF(INT(J$6/$X29)*$X$7&gt;J28*($X$7+$Z29)*$Y29,J28*($X$7+$Z29)-SUM($B30:I30),INT(J$6/$X29)*$X$7-J28*($X$7+$Z29)*($Y29-1)-SUM($B30:I30))+IF($Y29&gt;1,IF(INT(J$6/$X29)&gt;0,$Z29-$AA29,0),-$AA29)</f>
        <v>0</v>
      </c>
      <c r="K30" s="603">
        <f>IF(INT(K$6/$X29)*$X$7&gt;K28*($X$7+$Z29)*$Y29,K28*($X$7+$Z29)-SUM($B30:J30),INT(K$6/$X29)*$X$7-K28*($X$7+$Z29)*($Y29-1)-SUM($B30:J30))+IF($Y29&gt;1,IF(INT(K$6/$X29)&gt;0,$Z29-$AA29,0),-$AA29)</f>
        <v>0</v>
      </c>
      <c r="L30" s="603">
        <f>IF(INT(L$6/$X29)*$X$7&gt;L28*($X$7+$Z29)*$Y29,L28*($X$7+$Z29)-SUM($B30:K30),INT(L$6/$X29)*$X$7-L28*($X$7+$Z29)*($Y29-1)-SUM($B30:K30))+IF($Y29&gt;1,IF(INT(L$6/$X29)&gt;0,$Z29-$AA29,0),-$AA29)</f>
        <v>0</v>
      </c>
      <c r="M30" s="603">
        <f>IF(INT(M$6/$X29)*$X$7&gt;M28*($X$7+$Z29)*$Y29,M28*($X$7+$Z29)-SUM($B30:L30),INT(M$6/$X29)*$X$7-M28*($X$7+$Z29)*($Y29-1)-SUM($B30:L30))+IF($Y29&gt;1,IF(INT(M$6/$X29)&gt;0,$Z29-$AA29,0),-$AA29)</f>
        <v>0</v>
      </c>
      <c r="N30" s="603">
        <f>IF(INT(N$6/$X29)*$X$7&gt;N28*($X$7+$Z29)*$Y29,N28*($X$7+$Z29)-SUM($B30:M30),INT(N$6/$X29)*$X$7-N28*($X$7+$Z29)*($Y29-1)-SUM($B30:M30))+IF($Y29&gt;1,IF(INT(N$6/$X29)&gt;0,$Z29-$AA29,0),-$AA29)</f>
        <v>0</v>
      </c>
      <c r="O30" s="603">
        <f>IF(INT(O$6/$X29)*$X$7&gt;O28*($X$7+$Z29)*$Y29,O28*($X$7+$Z29)-SUM($B30:N30),INT(O$6/$X29)*$X$7-O28*($X$7+$Z29)*($Y29-1)-SUM($B30:N30))+IF($Y29&gt;1,IF(INT(O$6/$X29)&gt;0,$Z29-$AA29,0),-$AA29)</f>
        <v>0</v>
      </c>
      <c r="P30" s="603">
        <f>IF(INT(P$6/$X29)*$X$7&gt;P28*($X$7+$Z29)*$Y29,P28*($X$7+$Z29)-SUM($B30:O30),INT(P$6/$X29)*$X$7-P28*($X$7+$Z29)*($Y29-1)-SUM($B30:O30))+IF($Y29&gt;1,IF(INT(P$6/$X29)&gt;0,$Z29-$AA29,0),-$AA29)</f>
        <v>0</v>
      </c>
      <c r="Q30" s="603">
        <f>IF(INT(Q$6/$X29)*$X$7&gt;Q28*($X$7+$Z29)*$Y29,Q28*($X$7+$Z29)-SUM($B30:P30),INT(Q$6/$X29)*$X$7-Q28*($X$7+$Z29)*($Y29-1)-SUM($B30:P30))+IF($Y29&gt;1,IF(INT(Q$6/$X29)&gt;0,$Z29-$AA29,0),-$AA29)</f>
        <v>0</v>
      </c>
      <c r="R30" s="603">
        <f>IF(INT(R$6/$X29)*$X$7&gt;R28*($X$7+$Z29)*$Y29,R28*($X$7+$Z29)-SUM($B30:Q30),INT(R$6/$X29)*$X$7-R28*($X$7+$Z29)*($Y29-1)-SUM($B30:Q30))+IF($Y29&gt;1,IF(INT(R$6/$X29)&gt;0,$Z29-$AA29,0),-$AA29)</f>
        <v>0</v>
      </c>
      <c r="S30" s="603">
        <f>IF(INT(S$6/$X29)*$X$7&gt;S28*($X$7+$Z29)*$Y29,S28*($X$7+$Z29)-SUM($B30:R30),INT(S$6/$X29)*$X$7-S28*($X$7+$Z29)*($Y29-1)-SUM($B30:R30))+IF($Y29&gt;1,IF(INT(S$6/$X29)&gt;0,$Z29-$AA29,0),-$AA29)</f>
        <v>0</v>
      </c>
      <c r="T30" s="603">
        <f>IF(INT(T$6/$X29)*$X$7&gt;T28*($X$7+$Z29)*$Y29,T28*($X$7+$Z29)-SUM($B30:S30),INT(T$6/$X29)*$X$7-T28*($X$7+$Z29)*($Y29-1)-SUM($B30:S30))+IF($Y29&gt;1,IF(INT(T$6/$X29)&gt;0,$Z29-$AA29,0),-$AA29)</f>
        <v>0</v>
      </c>
      <c r="U30" s="603">
        <f>IF(INT(U$6/$X29)*$X$7&gt;U28*($X$7+$Z29)*$Y29,U28*($X$7+$Z29)-SUM($B30:T30),INT(U$6/$X29)*$X$7-U28*($X$7+$Z29)*($Y29-1)-SUM($B30:T30))+IF($Y29&gt;1,IF(INT(U$6/$X29)&gt;0,$Z29-$AA29,0),-$AA29)</f>
        <v>0</v>
      </c>
      <c r="V30" s="603">
        <f>IF(INT(V$6/$X29)*$X$7&gt;V28*($X$7+$Z29)*$Y29,V28*($X$7+$Z29)-SUM($B30:U30),INT(V$6/$X29)*$X$7-V28*($X$7+$Z29)*($Y29-1)-SUM($B30:U30))+IF($Y29&gt;1,IF(INT(V$6/$X29)&gt;0,$Z29-$AA29,0),-$AA29)</f>
        <v>0</v>
      </c>
      <c r="W30" s="681"/>
    </row>
    <row r="31" spans="1:28">
      <c r="W31" s="670"/>
    </row>
    <row r="32" spans="1:28" ht="12.75" hidden="1" customHeight="1">
      <c r="A32" s="140" t="s">
        <v>934</v>
      </c>
      <c r="B32" s="603"/>
      <c r="C32" s="140">
        <f t="shared" ref="C32:V32" si="11">INT((INT(C$6/$X33)*$X$7+$X$7+$Z33-1)/($X$7+$Z33)/$Y33)</f>
        <v>0</v>
      </c>
      <c r="D32" s="140">
        <f t="shared" si="11"/>
        <v>0</v>
      </c>
      <c r="E32" s="140">
        <f t="shared" si="11"/>
        <v>0</v>
      </c>
      <c r="F32" s="140">
        <f t="shared" si="11"/>
        <v>0</v>
      </c>
      <c r="G32" s="140">
        <f t="shared" si="11"/>
        <v>0</v>
      </c>
      <c r="H32" s="140">
        <f t="shared" si="11"/>
        <v>0</v>
      </c>
      <c r="I32" s="140">
        <f t="shared" si="11"/>
        <v>0</v>
      </c>
      <c r="J32" s="140">
        <f t="shared" si="11"/>
        <v>0</v>
      </c>
      <c r="K32" s="140">
        <f t="shared" si="11"/>
        <v>0</v>
      </c>
      <c r="L32" s="140">
        <f t="shared" si="11"/>
        <v>0</v>
      </c>
      <c r="M32" s="140">
        <f t="shared" si="11"/>
        <v>0</v>
      </c>
      <c r="N32" s="140">
        <f t="shared" si="11"/>
        <v>0</v>
      </c>
      <c r="O32" s="140">
        <f t="shared" si="11"/>
        <v>0</v>
      </c>
      <c r="P32" s="140">
        <f t="shared" si="11"/>
        <v>0</v>
      </c>
      <c r="Q32" s="140">
        <f t="shared" si="11"/>
        <v>0</v>
      </c>
      <c r="R32" s="140">
        <f t="shared" si="11"/>
        <v>0</v>
      </c>
      <c r="S32" s="140">
        <f t="shared" si="11"/>
        <v>0</v>
      </c>
      <c r="T32" s="140">
        <f t="shared" si="11"/>
        <v>0</v>
      </c>
      <c r="U32" s="140">
        <f t="shared" si="11"/>
        <v>0</v>
      </c>
      <c r="V32" s="140">
        <f t="shared" si="11"/>
        <v>0</v>
      </c>
    </row>
    <row r="33" spans="1:28" s="102" customFormat="1" ht="13.5" customHeight="1">
      <c r="A33" s="140" t="s">
        <v>935</v>
      </c>
      <c r="B33" s="603" t="s">
        <v>278</v>
      </c>
      <c r="C33" s="603">
        <f>IF($Y33=1,0,$X$7*(INT(C$6/$X33)-INT(B$6/$X33))-IF(SUM($B33:B33)&gt;0,C34,0))</f>
        <v>0</v>
      </c>
      <c r="D33" s="603">
        <f>IF($Y33=1,0,$X$7*(INT(D$6/$X33)-INT(C$6/$X33))-IF(SUM($B33:C33)&gt;0,D34,0))</f>
        <v>0</v>
      </c>
      <c r="E33" s="603">
        <f>IF($Y33=1,0,$X$7*(INT(E$6/$X33)-INT(D$6/$X33))-IF(SUM($B33:D33)&gt;0,E34,0))</f>
        <v>0</v>
      </c>
      <c r="F33" s="603">
        <f>IF($Y33=1,0,$X$7*(INT(F$6/$X33)-INT(E$6/$X33))-IF(SUM($B33:E33)&gt;0,F34,0))</f>
        <v>0</v>
      </c>
      <c r="G33" s="603">
        <f>IF($Y33=1,0,$X$7*(INT(G$6/$X33)-INT(F$6/$X33))-IF(SUM($B33:F33)&gt;0,G34,0))</f>
        <v>0</v>
      </c>
      <c r="H33" s="603">
        <f>IF($Y33=1,0,$X$7*(INT(H$6/$X33)-INT(G$6/$X33))-IF(SUM($B33:G33)&gt;0,H34,0))</f>
        <v>0</v>
      </c>
      <c r="I33" s="603">
        <f>IF($Y33=1,0,$X$7*(INT(I$6/$X33)-INT(H$6/$X33))-IF(SUM($B33:H33)&gt;0,I34,0))</f>
        <v>0</v>
      </c>
      <c r="J33" s="603">
        <f>IF($Y33=1,0,$X$7*(INT(J$6/$X33)-INT(I$6/$X33))-IF(SUM($B33:I33)&gt;0,J34,0))</f>
        <v>0</v>
      </c>
      <c r="K33" s="603">
        <f>IF($Y33=1,0,$X$7*(INT(K$6/$X33)-INT(J$6/$X33))-IF(SUM($B33:J33)&gt;0,K34,0))</f>
        <v>0</v>
      </c>
      <c r="L33" s="603">
        <f>IF($Y33=1,0,$X$7*(INT(L$6/$X33)-INT(K$6/$X33))-IF(SUM($B33:K33)&gt;0,L34,0))</f>
        <v>0</v>
      </c>
      <c r="M33" s="603">
        <f>IF($Y33=1,0,$X$7*(INT(M$6/$X33)-INT(L$6/$X33))-IF(SUM($B33:L33)&gt;0,M34,0))</f>
        <v>0</v>
      </c>
      <c r="N33" s="603">
        <f>IF($Y33=1,0,$X$7*(INT(N$6/$X33)-INT(M$6/$X33))-IF(SUM($B33:M33)&gt;0,N34,0))</f>
        <v>0</v>
      </c>
      <c r="O33" s="603">
        <f>IF($Y33=1,0,$X$7*(INT(O$6/$X33)-INT(N$6/$X33))-IF(SUM($B33:N33)&gt;0,O34,0))</f>
        <v>0</v>
      </c>
      <c r="P33" s="603">
        <f>IF($Y33=1,0,$X$7*(INT(P$6/$X33)-INT(O$6/$X33))-IF(SUM($B33:O33)&gt;0,P34,0))</f>
        <v>0</v>
      </c>
      <c r="Q33" s="603">
        <f>IF($Y33=1,0,$X$7*(INT(Q$6/$X33)-INT(P$6/$X33))-IF(SUM($B33:P33)&gt;0,Q34,0))</f>
        <v>0</v>
      </c>
      <c r="R33" s="603">
        <f>IF($Y33=1,0,$X$7*(INT(R$6/$X33)-INT(Q$6/$X33))-IF(SUM($B33:Q33)&gt;0,R34,0))</f>
        <v>0</v>
      </c>
      <c r="S33" s="603">
        <f>IF($Y33=1,0,$X$7*(INT(S$6/$X33)-INT(R$6/$X33))-IF(SUM($B33:R33)&gt;0,S34,0))</f>
        <v>0</v>
      </c>
      <c r="T33" s="603">
        <f>IF($Y33=1,0,$X$7*(INT(T$6/$X33)-INT(S$6/$X33))-IF(SUM($B33:S33)&gt;0,T34,0))</f>
        <v>0</v>
      </c>
      <c r="U33" s="603">
        <f>IF($Y33=1,0,$X$7*(INT(U$6/$X33)-INT(T$6/$X33))-IF(SUM($B33:T33)&gt;0,U34,0))</f>
        <v>0</v>
      </c>
      <c r="V33" s="603">
        <f>IF($Y33=1,0,$X$7*(INT(V$6/$X33)-INT(U$6/$X33))-IF(SUM($B33:U33)&gt;0,V34,0))</f>
        <v>0</v>
      </c>
      <c r="W33" s="678" t="str">
        <f xml:space="preserve"> 'GT schd cost(7EA)'!A17</f>
        <v>Stage 1 Nozzles</v>
      </c>
      <c r="X33" s="678">
        <f>IF($AD$6=1,'GTDB(7EA)'!B20,'GTDB(7EA)'!G20)</f>
        <v>24000</v>
      </c>
      <c r="Y33" s="678">
        <f>IF($AD$6=1,'GTDB(7EA)'!C20,'GTDB(7EA)'!H20)</f>
        <v>3</v>
      </c>
      <c r="Z33" s="679">
        <v>1</v>
      </c>
      <c r="AA33" s="834">
        <f>'Initial_Spares(7EA) '!$E$14</f>
        <v>0</v>
      </c>
      <c r="AB33" s="642">
        <f>'GT schd cost(7EA)'!X17+'GT schd cost(7EA)'!X40</f>
        <v>0</v>
      </c>
    </row>
    <row r="34" spans="1:28" s="102" customFormat="1">
      <c r="A34" s="140" t="s">
        <v>936</v>
      </c>
      <c r="B34" s="603" t="s">
        <v>278</v>
      </c>
      <c r="C34" s="603">
        <f>IF(INT(C$6/$X33)*$X$7&gt;C32*($X$7+$Z33)*$Y33,C32*($X$7+$Z33)-SUM($B34:B34),INT(C$6/$X33)*$X$7-C32*($X$7+$Z33)*($Y33-1)-SUM($B34:B34))+IF($Y33&gt;1,IF(INT(C$6/$X33)&gt;0,$Z33-$AA33,0),-$AA33)</f>
        <v>0</v>
      </c>
      <c r="D34" s="603">
        <f>IF(INT(D$6/$X33)*$X$7&gt;D32*($X$7+$Z33)*$Y33,D32*($X$7+$Z33)-SUM($B34:C34),INT(D$6/$X33)*$X$7-D32*($X$7+$Z33)*($Y33-1)-SUM($B34:C34))+IF($Y33&gt;1,IF(INT(D$6/$X33)&gt;0,$Z33-$AA33,0),-$AA33)</f>
        <v>0</v>
      </c>
      <c r="E34" s="603">
        <f>IF(INT(E$6/$X33)*$X$7&gt;E32*($X$7+$Z33)*$Y33,E32*($X$7+$Z33)-SUM($B34:D34),INT(E$6/$X33)*$X$7-E32*($X$7+$Z33)*($Y33-1)-SUM($B34:D34))+IF($Y33&gt;1,IF(INT(E$6/$X33)&gt;0,$Z33-$AA33,0),-$AA33)</f>
        <v>0</v>
      </c>
      <c r="F34" s="603">
        <f>IF(INT(F$6/$X33)*$X$7&gt;F32*($X$7+$Z33)*$Y33,F32*($X$7+$Z33)-SUM($B34:E34),INT(F$6/$X33)*$X$7-F32*($X$7+$Z33)*($Y33-1)-SUM($B34:E34))+IF($Y33&gt;1,IF(INT(F$6/$X33)&gt;0,$Z33-$AA33,0),-$AA33)</f>
        <v>0</v>
      </c>
      <c r="G34" s="603">
        <f>IF(INT(G$6/$X33)*$X$7&gt;G32*($X$7+$Z33)*$Y33,G32*($X$7+$Z33)-SUM($B34:F34),INT(G$6/$X33)*$X$7-G32*($X$7+$Z33)*($Y33-1)-SUM($B34:F34))+IF($Y33&gt;1,IF(INT(G$6/$X33)&gt;0,$Z33-$AA33,0),-$AA33)</f>
        <v>0</v>
      </c>
      <c r="H34" s="603">
        <f>IF(INT(H$6/$X33)*$X$7&gt;H32*($X$7+$Z33)*$Y33,H32*($X$7+$Z33)-SUM($B34:G34),INT(H$6/$X33)*$X$7-H32*($X$7+$Z33)*($Y33-1)-SUM($B34:G34))+IF($Y33&gt;1,IF(INT(H$6/$X33)&gt;0,$Z33-$AA33,0),-$AA33)</f>
        <v>0</v>
      </c>
      <c r="I34" s="603">
        <f>IF(INT(I$6/$X33)*$X$7&gt;I32*($X$7+$Z33)*$Y33,I32*($X$7+$Z33)-SUM($B34:H34),INT(I$6/$X33)*$X$7-I32*($X$7+$Z33)*($Y33-1)-SUM($B34:H34))+IF($Y33&gt;1,IF(INT(I$6/$X33)&gt;0,$Z33-$AA33,0),-$AA33)</f>
        <v>0</v>
      </c>
      <c r="J34" s="603">
        <f>IF(INT(J$6/$X33)*$X$7&gt;J32*($X$7+$Z33)*$Y33,J32*($X$7+$Z33)-SUM($B34:I34),INT(J$6/$X33)*$X$7-J32*($X$7+$Z33)*($Y33-1)-SUM($B34:I34))+IF($Y33&gt;1,IF(INT(J$6/$X33)&gt;0,$Z33-$AA33,0),-$AA33)</f>
        <v>0</v>
      </c>
      <c r="K34" s="603">
        <f>IF(INT(K$6/$X33)*$X$7&gt;K32*($X$7+$Z33)*$Y33,K32*($X$7+$Z33)-SUM($B34:J34),INT(K$6/$X33)*$X$7-K32*($X$7+$Z33)*($Y33-1)-SUM($B34:J34))+IF($Y33&gt;1,IF(INT(K$6/$X33)&gt;0,$Z33-$AA33,0),-$AA33)</f>
        <v>0</v>
      </c>
      <c r="L34" s="603">
        <f>IF(INT(L$6/$X33)*$X$7&gt;L32*($X$7+$Z33)*$Y33,L32*($X$7+$Z33)-SUM($B34:K34),INT(L$6/$X33)*$X$7-L32*($X$7+$Z33)*($Y33-1)-SUM($B34:K34))+IF($Y33&gt;1,IF(INT(L$6/$X33)&gt;0,$Z33-$AA33,0),-$AA33)</f>
        <v>0</v>
      </c>
      <c r="M34" s="603">
        <f>IF(INT(M$6/$X33)*$X$7&gt;M32*($X$7+$Z33)*$Y33,M32*($X$7+$Z33)-SUM($B34:L34),INT(M$6/$X33)*$X$7-M32*($X$7+$Z33)*($Y33-1)-SUM($B34:L34))+IF($Y33&gt;1,IF(INT(M$6/$X33)&gt;0,$Z33-$AA33,0),-$AA33)</f>
        <v>0</v>
      </c>
      <c r="N34" s="603">
        <f>IF(INT(N$6/$X33)*$X$7&gt;N32*($X$7+$Z33)*$Y33,N32*($X$7+$Z33)-SUM($B34:M34),INT(N$6/$X33)*$X$7-N32*($X$7+$Z33)*($Y33-1)-SUM($B34:M34))+IF($Y33&gt;1,IF(INT(N$6/$X33)&gt;0,$Z33-$AA33,0),-$AA33)</f>
        <v>0</v>
      </c>
      <c r="O34" s="603">
        <f>IF(INT(O$6/$X33)*$X$7&gt;O32*($X$7+$Z33)*$Y33,O32*($X$7+$Z33)-SUM($B34:N34),INT(O$6/$X33)*$X$7-O32*($X$7+$Z33)*($Y33-1)-SUM($B34:N34))+IF($Y33&gt;1,IF(INT(O$6/$X33)&gt;0,$Z33-$AA33,0),-$AA33)</f>
        <v>0</v>
      </c>
      <c r="P34" s="603">
        <f>IF(INT(P$6/$X33)*$X$7&gt;P32*($X$7+$Z33)*$Y33,P32*($X$7+$Z33)-SUM($B34:O34),INT(P$6/$X33)*$X$7-P32*($X$7+$Z33)*($Y33-1)-SUM($B34:O34))+IF($Y33&gt;1,IF(INT(P$6/$X33)&gt;0,$Z33-$AA33,0),-$AA33)</f>
        <v>0</v>
      </c>
      <c r="Q34" s="603">
        <f>IF(INT(Q$6/$X33)*$X$7&gt;Q32*($X$7+$Z33)*$Y33,Q32*($X$7+$Z33)-SUM($B34:P34),INT(Q$6/$X33)*$X$7-Q32*($X$7+$Z33)*($Y33-1)-SUM($B34:P34))+IF($Y33&gt;1,IF(INT(Q$6/$X33)&gt;0,$Z33-$AA33,0),-$AA33)</f>
        <v>0</v>
      </c>
      <c r="R34" s="603">
        <f>IF(INT(R$6/$X33)*$X$7&gt;R32*($X$7+$Z33)*$Y33,R32*($X$7+$Z33)-SUM($B34:Q34),INT(R$6/$X33)*$X$7-R32*($X$7+$Z33)*($Y33-1)-SUM($B34:Q34))+IF($Y33&gt;1,IF(INT(R$6/$X33)&gt;0,$Z33-$AA33,0),-$AA33)</f>
        <v>0</v>
      </c>
      <c r="S34" s="603">
        <f>IF(INT(S$6/$X33)*$X$7&gt;S32*($X$7+$Z33)*$Y33,S32*($X$7+$Z33)-SUM($B34:R34),INT(S$6/$X33)*$X$7-S32*($X$7+$Z33)*($Y33-1)-SUM($B34:R34))+IF($Y33&gt;1,IF(INT(S$6/$X33)&gt;0,$Z33-$AA33,0),-$AA33)</f>
        <v>0</v>
      </c>
      <c r="T34" s="603">
        <f>IF(INT(T$6/$X33)*$X$7&gt;T32*($X$7+$Z33)*$Y33,T32*($X$7+$Z33)-SUM($B34:S34),INT(T$6/$X33)*$X$7-T32*($X$7+$Z33)*($Y33-1)-SUM($B34:S34))+IF($Y33&gt;1,IF(INT(T$6/$X33)&gt;0,$Z33-$AA33,0),-$AA33)</f>
        <v>0</v>
      </c>
      <c r="U34" s="603">
        <f>IF(INT(U$6/$X33)*$X$7&gt;U32*($X$7+$Z33)*$Y33,U32*($X$7+$Z33)-SUM($B34:T34),INT(U$6/$X33)*$X$7-U32*($X$7+$Z33)*($Y33-1)-SUM($B34:T34))+IF($Y33&gt;1,IF(INT(U$6/$X33)&gt;0,$Z33-$AA33,0),-$AA33)</f>
        <v>0</v>
      </c>
      <c r="V34" s="603">
        <f>IF(INT(V$6/$X33)*$X$7&gt;V32*($X$7+$Z33)*$Y33,V32*($X$7+$Z33)-SUM($B34:U34),INT(V$6/$X33)*$X$7-V32*($X$7+$Z33)*($Y33-1)-SUM($B34:U34))+IF($Y33&gt;1,IF(INT(V$6/$X33)&gt;0,$Z33-$AA33,0),-$AA33)</f>
        <v>0</v>
      </c>
      <c r="W34" s="681"/>
      <c r="X34"/>
      <c r="Y34"/>
      <c r="Z34"/>
    </row>
    <row r="35" spans="1:28" s="102" customFormat="1">
      <c r="W35" s="663"/>
    </row>
    <row r="36" spans="1:28" s="102" customFormat="1" hidden="1">
      <c r="A36" s="140" t="s">
        <v>934</v>
      </c>
      <c r="B36" s="603"/>
      <c r="C36" s="140">
        <f t="shared" ref="C36:V36" si="12">INT((INT(C$6/$X37)*$X$7+$X$7+$Z37-1)/($X$7+$Z37)/$Y37)</f>
        <v>0</v>
      </c>
      <c r="D36" s="140">
        <f t="shared" si="12"/>
        <v>0</v>
      </c>
      <c r="E36" s="140">
        <f t="shared" si="12"/>
        <v>0</v>
      </c>
      <c r="F36" s="140">
        <f t="shared" si="12"/>
        <v>0</v>
      </c>
      <c r="G36" s="140">
        <f t="shared" si="12"/>
        <v>0</v>
      </c>
      <c r="H36" s="140">
        <f t="shared" si="12"/>
        <v>0</v>
      </c>
      <c r="I36" s="140">
        <f t="shared" si="12"/>
        <v>0</v>
      </c>
      <c r="J36" s="140">
        <f t="shared" si="12"/>
        <v>0</v>
      </c>
      <c r="K36" s="140">
        <f t="shared" si="12"/>
        <v>0</v>
      </c>
      <c r="L36" s="140">
        <f t="shared" si="12"/>
        <v>0</v>
      </c>
      <c r="M36" s="140">
        <f t="shared" si="12"/>
        <v>0</v>
      </c>
      <c r="N36" s="140">
        <f t="shared" si="12"/>
        <v>0</v>
      </c>
      <c r="O36" s="140">
        <f t="shared" si="12"/>
        <v>0</v>
      </c>
      <c r="P36" s="140">
        <f t="shared" si="12"/>
        <v>0</v>
      </c>
      <c r="Q36" s="140">
        <f t="shared" si="12"/>
        <v>0</v>
      </c>
      <c r="R36" s="140">
        <f t="shared" si="12"/>
        <v>0</v>
      </c>
      <c r="S36" s="140">
        <f t="shared" si="12"/>
        <v>0</v>
      </c>
      <c r="T36" s="140">
        <f t="shared" si="12"/>
        <v>0</v>
      </c>
      <c r="U36" s="140">
        <f t="shared" si="12"/>
        <v>0</v>
      </c>
      <c r="V36" s="140">
        <f t="shared" si="12"/>
        <v>0</v>
      </c>
    </row>
    <row r="37" spans="1:28" s="102" customFormat="1">
      <c r="A37" s="140" t="s">
        <v>935</v>
      </c>
      <c r="B37" s="603" t="s">
        <v>278</v>
      </c>
      <c r="C37" s="603">
        <f>IF($Y37=1,0,$X$7*(INT(C$6/$X37)-INT(B$6/$X37))-IF(SUM($B37:B37)&gt;0,C38,0))</f>
        <v>0</v>
      </c>
      <c r="D37" s="603">
        <f>IF($Y37=1,0,$X$7*(INT(D$6/$X37)-INT(C$6/$X37))-IF(SUM($B37:C37)&gt;0,D38,0))</f>
        <v>0</v>
      </c>
      <c r="E37" s="603">
        <f>IF($Y37=1,0,$X$7*(INT(E$6/$X37)-INT(D$6/$X37))-IF(SUM($B37:D37)&gt;0,E38,0))</f>
        <v>0</v>
      </c>
      <c r="F37" s="603">
        <f>IF($Y37=1,0,$X$7*(INT(F$6/$X37)-INT(E$6/$X37))-IF(SUM($B37:E37)&gt;0,F38,0))</f>
        <v>0</v>
      </c>
      <c r="G37" s="603">
        <f>IF($Y37=1,0,$X$7*(INT(G$6/$X37)-INT(F$6/$X37))-IF(SUM($B37:F37)&gt;0,G38,0))</f>
        <v>0</v>
      </c>
      <c r="H37" s="603">
        <f>IF($Y37=1,0,$X$7*(INT(H$6/$X37)-INT(G$6/$X37))-IF(SUM($B37:G37)&gt;0,H38,0))</f>
        <v>0</v>
      </c>
      <c r="I37" s="603">
        <f>IF($Y37=1,0,$X$7*(INT(I$6/$X37)-INT(H$6/$X37))-IF(SUM($B37:H37)&gt;0,I38,0))</f>
        <v>0</v>
      </c>
      <c r="J37" s="603">
        <f>IF($Y37=1,0,$X$7*(INT(J$6/$X37)-INT(I$6/$X37))-IF(SUM($B37:I37)&gt;0,J38,0))</f>
        <v>0</v>
      </c>
      <c r="K37" s="603">
        <f>IF($Y37=1,0,$X$7*(INT(K$6/$X37)-INT(J$6/$X37))-IF(SUM($B37:J37)&gt;0,K38,0))</f>
        <v>0</v>
      </c>
      <c r="L37" s="603">
        <f>IF($Y37=1,0,$X$7*(INT(L$6/$X37)-INT(K$6/$X37))-IF(SUM($B37:K37)&gt;0,L38,0))</f>
        <v>0</v>
      </c>
      <c r="M37" s="603">
        <f>IF($Y37=1,0,$X$7*(INT(M$6/$X37)-INT(L$6/$X37))-IF(SUM($B37:L37)&gt;0,M38,0))</f>
        <v>0</v>
      </c>
      <c r="N37" s="603">
        <f>IF($Y37=1,0,$X$7*(INT(N$6/$X37)-INT(M$6/$X37))-IF(SUM($B37:M37)&gt;0,N38,0))</f>
        <v>0</v>
      </c>
      <c r="O37" s="603">
        <f>IF($Y37=1,0,$X$7*(INT(O$6/$X37)-INT(N$6/$X37))-IF(SUM($B37:N37)&gt;0,O38,0))</f>
        <v>0</v>
      </c>
      <c r="P37" s="603">
        <f>IF($Y37=1,0,$X$7*(INT(P$6/$X37)-INT(O$6/$X37))-IF(SUM($B37:O37)&gt;0,P38,0))</f>
        <v>0</v>
      </c>
      <c r="Q37" s="603">
        <f>IF($Y37=1,0,$X$7*(INT(Q$6/$X37)-INT(P$6/$X37))-IF(SUM($B37:P37)&gt;0,Q38,0))</f>
        <v>0</v>
      </c>
      <c r="R37" s="603">
        <f>IF($Y37=1,0,$X$7*(INT(R$6/$X37)-INT(Q$6/$X37))-IF(SUM($B37:Q37)&gt;0,R38,0))</f>
        <v>0</v>
      </c>
      <c r="S37" s="603">
        <f>IF($Y37=1,0,$X$7*(INT(S$6/$X37)-INT(R$6/$X37))-IF(SUM($B37:R37)&gt;0,S38,0))</f>
        <v>0</v>
      </c>
      <c r="T37" s="603">
        <f>IF($Y37=1,0,$X$7*(INT(T$6/$X37)-INT(S$6/$X37))-IF(SUM($B37:S37)&gt;0,T38,0))</f>
        <v>0</v>
      </c>
      <c r="U37" s="603">
        <f>IF($Y37=1,0,$X$7*(INT(U$6/$X37)-INT(T$6/$X37))-IF(SUM($B37:T37)&gt;0,U38,0))</f>
        <v>0</v>
      </c>
      <c r="V37" s="603">
        <f>IF($Y37=1,0,$X$7*(INT(V$6/$X37)-INT(U$6/$X37))-IF(SUM($B37:U37)&gt;0,V38,0))</f>
        <v>0</v>
      </c>
      <c r="W37" s="678" t="str">
        <f>'GT schd cost(7EA)'!A18</f>
        <v>Stage 2 Nozzles</v>
      </c>
      <c r="X37" s="678">
        <f>IF($AD$6=1,'GTDB(7EA)'!B21,'GTDB(7EA)'!G21)</f>
        <v>24000</v>
      </c>
      <c r="Y37" s="678">
        <f>IF($AD$6=1,'GTDB(7EA)'!C21,'GTDB(7EA)'!H21)</f>
        <v>3</v>
      </c>
      <c r="Z37" s="679">
        <v>1</v>
      </c>
      <c r="AA37" s="834">
        <f>'Initial_Spares(7EA) '!$E$15</f>
        <v>0</v>
      </c>
      <c r="AB37" s="642">
        <f>'GT schd cost(7EA)'!X18+'GT schd cost(7EA)'!X41</f>
        <v>0</v>
      </c>
    </row>
    <row r="38" spans="1:28" s="102" customFormat="1">
      <c r="A38" s="140" t="s">
        <v>936</v>
      </c>
      <c r="B38" s="603" t="s">
        <v>278</v>
      </c>
      <c r="C38" s="603">
        <f>IF(INT(C$6/$X37)*$X$7&gt;C36*($X$7+$Z37)*$Y37,C36*($X$7+$Z37)-SUM($B38:B38),INT(C$6/$X37)*$X$7-C36*($X$7+$Z37)*($Y37-1)-SUM($B38:B38))+IF($Y37&gt;1,IF(INT(C$6/$X37)&gt;0,$Z37-$AA37,0),-$AA37)</f>
        <v>0</v>
      </c>
      <c r="D38" s="603">
        <f>IF(INT(D$6/$X37)*$X$7&gt;D36*($X$7+$Z37)*$Y37,D36*($X$7+$Z37)-SUM($B38:C38),INT(D$6/$X37)*$X$7-D36*($X$7+$Z37)*($Y37-1)-SUM($B38:C38))+IF($Y37&gt;1,IF(INT(D$6/$X37)&gt;0,$Z37-$AA37,0),-$AA37)</f>
        <v>0</v>
      </c>
      <c r="E38" s="603">
        <f>IF(INT(E$6/$X37)*$X$7&gt;E36*($X$7+$Z37)*$Y37,E36*($X$7+$Z37)-SUM($B38:D38),INT(E$6/$X37)*$X$7-E36*($X$7+$Z37)*($Y37-1)-SUM($B38:D38))+IF($Y37&gt;1,IF(INT(E$6/$X37)&gt;0,$Z37-$AA37,0),-$AA37)</f>
        <v>0</v>
      </c>
      <c r="F38" s="603">
        <f>IF(INT(F$6/$X37)*$X$7&gt;F36*($X$7+$Z37)*$Y37,F36*($X$7+$Z37)-SUM($B38:E38),INT(F$6/$X37)*$X$7-F36*($X$7+$Z37)*($Y37-1)-SUM($B38:E38))+IF($Y37&gt;1,IF(INT(F$6/$X37)&gt;0,$Z37-$AA37,0),-$AA37)</f>
        <v>0</v>
      </c>
      <c r="G38" s="603">
        <f>IF(INT(G$6/$X37)*$X$7&gt;G36*($X$7+$Z37)*$Y37,G36*($X$7+$Z37)-SUM($B38:F38),INT(G$6/$X37)*$X$7-G36*($X$7+$Z37)*($Y37-1)-SUM($B38:F38))+IF($Y37&gt;1,IF(INT(G$6/$X37)&gt;0,$Z37-$AA37,0),-$AA37)</f>
        <v>0</v>
      </c>
      <c r="H38" s="603">
        <f>IF(INT(H$6/$X37)*$X$7&gt;H36*($X$7+$Z37)*$Y37,H36*($X$7+$Z37)-SUM($B38:G38),INT(H$6/$X37)*$X$7-H36*($X$7+$Z37)*($Y37-1)-SUM($B38:G38))+IF($Y37&gt;1,IF(INT(H$6/$X37)&gt;0,$Z37-$AA37,0),-$AA37)</f>
        <v>0</v>
      </c>
      <c r="I38" s="603">
        <f>IF(INT(I$6/$X37)*$X$7&gt;I36*($X$7+$Z37)*$Y37,I36*($X$7+$Z37)-SUM($B38:H38),INT(I$6/$X37)*$X$7-I36*($X$7+$Z37)*($Y37-1)-SUM($B38:H38))+IF($Y37&gt;1,IF(INT(I$6/$X37)&gt;0,$Z37-$AA37,0),-$AA37)</f>
        <v>0</v>
      </c>
      <c r="J38" s="603">
        <f>IF(INT(J$6/$X37)*$X$7&gt;J36*($X$7+$Z37)*$Y37,J36*($X$7+$Z37)-SUM($B38:I38),INT(J$6/$X37)*$X$7-J36*($X$7+$Z37)*($Y37-1)-SUM($B38:I38))+IF($Y37&gt;1,IF(INT(J$6/$X37)&gt;0,$Z37-$AA37,0),-$AA37)</f>
        <v>0</v>
      </c>
      <c r="K38" s="603">
        <f>IF(INT(K$6/$X37)*$X$7&gt;K36*($X$7+$Z37)*$Y37,K36*($X$7+$Z37)-SUM($B38:J38),INT(K$6/$X37)*$X$7-K36*($X$7+$Z37)*($Y37-1)-SUM($B38:J38))+IF($Y37&gt;1,IF(INT(K$6/$X37)&gt;0,$Z37-$AA37,0),-$AA37)</f>
        <v>0</v>
      </c>
      <c r="L38" s="603">
        <f>IF(INT(L$6/$X37)*$X$7&gt;L36*($X$7+$Z37)*$Y37,L36*($X$7+$Z37)-SUM($B38:K38),INT(L$6/$X37)*$X$7-L36*($X$7+$Z37)*($Y37-1)-SUM($B38:K38))+IF($Y37&gt;1,IF(INT(L$6/$X37)&gt;0,$Z37-$AA37,0),-$AA37)</f>
        <v>0</v>
      </c>
      <c r="M38" s="603">
        <f>IF(INT(M$6/$X37)*$X$7&gt;M36*($X$7+$Z37)*$Y37,M36*($X$7+$Z37)-SUM($B38:L38),INT(M$6/$X37)*$X$7-M36*($X$7+$Z37)*($Y37-1)-SUM($B38:L38))+IF($Y37&gt;1,IF(INT(M$6/$X37)&gt;0,$Z37-$AA37,0),-$AA37)</f>
        <v>0</v>
      </c>
      <c r="N38" s="603">
        <f>IF(INT(N$6/$X37)*$X$7&gt;N36*($X$7+$Z37)*$Y37,N36*($X$7+$Z37)-SUM($B38:M38),INT(N$6/$X37)*$X$7-N36*($X$7+$Z37)*($Y37-1)-SUM($B38:M38))+IF($Y37&gt;1,IF(INT(N$6/$X37)&gt;0,$Z37-$AA37,0),-$AA37)</f>
        <v>0</v>
      </c>
      <c r="O38" s="603">
        <f>IF(INT(O$6/$X37)*$X$7&gt;O36*($X$7+$Z37)*$Y37,O36*($X$7+$Z37)-SUM($B38:N38),INT(O$6/$X37)*$X$7-O36*($X$7+$Z37)*($Y37-1)-SUM($B38:N38))+IF($Y37&gt;1,IF(INT(O$6/$X37)&gt;0,$Z37-$AA37,0),-$AA37)</f>
        <v>0</v>
      </c>
      <c r="P38" s="603">
        <f>IF(INT(P$6/$X37)*$X$7&gt;P36*($X$7+$Z37)*$Y37,P36*($X$7+$Z37)-SUM($B38:O38),INT(P$6/$X37)*$X$7-P36*($X$7+$Z37)*($Y37-1)-SUM($B38:O38))+IF($Y37&gt;1,IF(INT(P$6/$X37)&gt;0,$Z37-$AA37,0),-$AA37)</f>
        <v>0</v>
      </c>
      <c r="Q38" s="603">
        <f>IF(INT(Q$6/$X37)*$X$7&gt;Q36*($X$7+$Z37)*$Y37,Q36*($X$7+$Z37)-SUM($B38:P38),INT(Q$6/$X37)*$X$7-Q36*($X$7+$Z37)*($Y37-1)-SUM($B38:P38))+IF($Y37&gt;1,IF(INT(Q$6/$X37)&gt;0,$Z37-$AA37,0),-$AA37)</f>
        <v>0</v>
      </c>
      <c r="R38" s="603">
        <f>IF(INT(R$6/$X37)*$X$7&gt;R36*($X$7+$Z37)*$Y37,R36*($X$7+$Z37)-SUM($B38:Q38),INT(R$6/$X37)*$X$7-R36*($X$7+$Z37)*($Y37-1)-SUM($B38:Q38))+IF($Y37&gt;1,IF(INT(R$6/$X37)&gt;0,$Z37-$AA37,0),-$AA37)</f>
        <v>0</v>
      </c>
      <c r="S38" s="603">
        <f>IF(INT(S$6/$X37)*$X$7&gt;S36*($X$7+$Z37)*$Y37,S36*($X$7+$Z37)-SUM($B38:R38),INT(S$6/$X37)*$X$7-S36*($X$7+$Z37)*($Y37-1)-SUM($B38:R38))+IF($Y37&gt;1,IF(INT(S$6/$X37)&gt;0,$Z37-$AA37,0),-$AA37)</f>
        <v>0</v>
      </c>
      <c r="T38" s="603">
        <f>IF(INT(T$6/$X37)*$X$7&gt;T36*($X$7+$Z37)*$Y37,T36*($X$7+$Z37)-SUM($B38:S38),INT(T$6/$X37)*$X$7-T36*($X$7+$Z37)*($Y37-1)-SUM($B38:S38))+IF($Y37&gt;1,IF(INT(T$6/$X37)&gt;0,$Z37-$AA37,0),-$AA37)</f>
        <v>0</v>
      </c>
      <c r="U38" s="603">
        <f>IF(INT(U$6/$X37)*$X$7&gt;U36*($X$7+$Z37)*$Y37,U36*($X$7+$Z37)-SUM($B38:T38),INT(U$6/$X37)*$X$7-U36*($X$7+$Z37)*($Y37-1)-SUM($B38:T38))+IF($Y37&gt;1,IF(INT(U$6/$X37)&gt;0,$Z37-$AA37,0),-$AA37)</f>
        <v>0</v>
      </c>
      <c r="V38" s="603">
        <f>IF(INT(V$6/$X37)*$X$7&gt;V36*($X$7+$Z37)*$Y37,V36*($X$7+$Z37)-SUM($B38:U38),INT(V$6/$X37)*$X$7-V36*($X$7+$Z37)*($Y37-1)-SUM($B38:U38))+IF($Y37&gt;1,IF(INT(V$6/$X37)&gt;0,$Z37-$AA37,0),-$AA37)</f>
        <v>0</v>
      </c>
      <c r="W38" s="681"/>
      <c r="X38"/>
      <c r="Y38"/>
      <c r="Z38"/>
    </row>
    <row r="39" spans="1:28" s="102" customFormat="1">
      <c r="B39" s="615"/>
      <c r="C39" s="615"/>
      <c r="D39" s="615"/>
      <c r="E39" s="615"/>
      <c r="F39" s="615"/>
      <c r="G39" s="615"/>
      <c r="H39" s="615"/>
      <c r="I39" s="682"/>
      <c r="J39" s="615"/>
      <c r="K39" s="615"/>
      <c r="W39" s="663"/>
    </row>
    <row r="40" spans="1:28" s="102" customFormat="1" hidden="1">
      <c r="A40" s="140" t="s">
        <v>934</v>
      </c>
      <c r="B40" s="603"/>
      <c r="C40" s="140">
        <f t="shared" ref="C40:V40" si="13">INT((INT(C$6/$X41)*$X$7+$X$7+$Z41-1)/($X$7+$Z41)/$Y41)</f>
        <v>0</v>
      </c>
      <c r="D40" s="140">
        <f t="shared" si="13"/>
        <v>0</v>
      </c>
      <c r="E40" s="140">
        <f t="shared" si="13"/>
        <v>0</v>
      </c>
      <c r="F40" s="140">
        <f t="shared" si="13"/>
        <v>0</v>
      </c>
      <c r="G40" s="140">
        <f t="shared" si="13"/>
        <v>0</v>
      </c>
      <c r="H40" s="140">
        <f t="shared" si="13"/>
        <v>0</v>
      </c>
      <c r="I40" s="140">
        <f t="shared" si="13"/>
        <v>0</v>
      </c>
      <c r="J40" s="140">
        <f t="shared" si="13"/>
        <v>0</v>
      </c>
      <c r="K40" s="140">
        <f t="shared" si="13"/>
        <v>0</v>
      </c>
      <c r="L40" s="140">
        <f t="shared" si="13"/>
        <v>0</v>
      </c>
      <c r="M40" s="140">
        <f t="shared" si="13"/>
        <v>0</v>
      </c>
      <c r="N40" s="140">
        <f t="shared" si="13"/>
        <v>0</v>
      </c>
      <c r="O40" s="140">
        <f t="shared" si="13"/>
        <v>0</v>
      </c>
      <c r="P40" s="140">
        <f t="shared" si="13"/>
        <v>0</v>
      </c>
      <c r="Q40" s="140">
        <f t="shared" si="13"/>
        <v>0</v>
      </c>
      <c r="R40" s="140">
        <f t="shared" si="13"/>
        <v>0</v>
      </c>
      <c r="S40" s="140">
        <f t="shared" si="13"/>
        <v>0</v>
      </c>
      <c r="T40" s="140">
        <f t="shared" si="13"/>
        <v>0</v>
      </c>
      <c r="U40" s="140">
        <f t="shared" si="13"/>
        <v>0</v>
      </c>
      <c r="V40" s="140">
        <f t="shared" si="13"/>
        <v>0</v>
      </c>
    </row>
    <row r="41" spans="1:28" s="102" customFormat="1">
      <c r="A41" s="140" t="s">
        <v>935</v>
      </c>
      <c r="B41" s="603" t="s">
        <v>278</v>
      </c>
      <c r="C41" s="603">
        <f>IF($Y41=1,0,$X$7*(INT(C$6/$X41)-INT(B$6/$X41))-IF(SUM($B41:B41)&gt;0,C42,0))</f>
        <v>0</v>
      </c>
      <c r="D41" s="603">
        <f>IF($Y41=1,0,$X$7*(INT(D$6/$X41)-INT(C$6/$X41))-IF(SUM($B41:C41)&gt;0,D42,0))</f>
        <v>0</v>
      </c>
      <c r="E41" s="603">
        <f>IF($Y41=1,0,$X$7*(INT(E$6/$X41)-INT(D$6/$X41))-IF(SUM($B41:D41)&gt;0,E42,0))</f>
        <v>0</v>
      </c>
      <c r="F41" s="603">
        <f>IF($Y41=1,0,$X$7*(INT(F$6/$X41)-INT(E$6/$X41))-IF(SUM($B41:E41)&gt;0,F42,0))</f>
        <v>0</v>
      </c>
      <c r="G41" s="603">
        <f>IF($Y41=1,0,$X$7*(INT(G$6/$X41)-INT(F$6/$X41))-IF(SUM($B41:F41)&gt;0,G42,0))</f>
        <v>0</v>
      </c>
      <c r="H41" s="603">
        <f>IF($Y41=1,0,$X$7*(INT(H$6/$X41)-INT(G$6/$X41))-IF(SUM($B41:G41)&gt;0,H42,0))</f>
        <v>0</v>
      </c>
      <c r="I41" s="603">
        <f>IF($Y41=1,0,$X$7*(INT(I$6/$X41)-INT(H$6/$X41))-IF(SUM($B41:H41)&gt;0,I42,0))</f>
        <v>0</v>
      </c>
      <c r="J41" s="603">
        <f>IF($Y41=1,0,$X$7*(INT(J$6/$X41)-INT(I$6/$X41))-IF(SUM($B41:I41)&gt;0,J42,0))</f>
        <v>0</v>
      </c>
      <c r="K41" s="603">
        <f>IF($Y41=1,0,$X$7*(INT(K$6/$X41)-INT(J$6/$X41))-IF(SUM($B41:J41)&gt;0,K42,0))</f>
        <v>0</v>
      </c>
      <c r="L41" s="603">
        <f>IF($Y41=1,0,$X$7*(INT(L$6/$X41)-INT(K$6/$X41))-IF(SUM($B41:K41)&gt;0,L42,0))</f>
        <v>0</v>
      </c>
      <c r="M41" s="603">
        <f>IF($Y41=1,0,$X$7*(INT(M$6/$X41)-INT(L$6/$X41))-IF(SUM($B41:L41)&gt;0,M42,0))</f>
        <v>0</v>
      </c>
      <c r="N41" s="603">
        <f>IF($Y41=1,0,$X$7*(INT(N$6/$X41)-INT(M$6/$X41))-IF(SUM($B41:M41)&gt;0,N42,0))</f>
        <v>0</v>
      </c>
      <c r="O41" s="603">
        <f>IF($Y41=1,0,$X$7*(INT(O$6/$X41)-INT(N$6/$X41))-IF(SUM($B41:N41)&gt;0,O42,0))</f>
        <v>0</v>
      </c>
      <c r="P41" s="603">
        <f>IF($Y41=1,0,$X$7*(INT(P$6/$X41)-INT(O$6/$X41))-IF(SUM($B41:O41)&gt;0,P42,0))</f>
        <v>0</v>
      </c>
      <c r="Q41" s="603">
        <f>IF($Y41=1,0,$X$7*(INT(Q$6/$X41)-INT(P$6/$X41))-IF(SUM($B41:P41)&gt;0,Q42,0))</f>
        <v>0</v>
      </c>
      <c r="R41" s="603">
        <f>IF($Y41=1,0,$X$7*(INT(R$6/$X41)-INT(Q$6/$X41))-IF(SUM($B41:Q41)&gt;0,R42,0))</f>
        <v>0</v>
      </c>
      <c r="S41" s="603">
        <f>IF($Y41=1,0,$X$7*(INT(S$6/$X41)-INT(R$6/$X41))-IF(SUM($B41:R41)&gt;0,S42,0))</f>
        <v>0</v>
      </c>
      <c r="T41" s="603">
        <f>IF($Y41=1,0,$X$7*(INT(T$6/$X41)-INT(S$6/$X41))-IF(SUM($B41:S41)&gt;0,T42,0))</f>
        <v>0</v>
      </c>
      <c r="U41" s="603">
        <f>IF($Y41=1,0,$X$7*(INT(U$6/$X41)-INT(T$6/$X41))-IF(SUM($B41:T41)&gt;0,U42,0))</f>
        <v>0</v>
      </c>
      <c r="V41" s="603">
        <f>IF($Y41=1,0,$X$7*(INT(V$6/$X41)-INT(U$6/$X41))-IF(SUM($B41:U41)&gt;0,V42,0))</f>
        <v>0</v>
      </c>
      <c r="W41" s="678" t="str">
        <f xml:space="preserve"> 'GT schd cost(7EA)'!A19</f>
        <v>Stage 3 Nozzles</v>
      </c>
      <c r="X41" s="678">
        <f>IF($AD$6=1,'GTDB(7EA)'!B22,'GTDB(7EA)'!G22)</f>
        <v>24000</v>
      </c>
      <c r="Y41" s="678">
        <f>IF($AD$6=1,'GTDB(7EA)'!C22,'GTDB(7EA)'!H22)</f>
        <v>3</v>
      </c>
      <c r="Z41" s="679">
        <v>1</v>
      </c>
      <c r="AA41" s="834">
        <f>'Initial_Spares(7EA) '!$E$16</f>
        <v>0</v>
      </c>
      <c r="AB41" s="642">
        <f>'GT schd cost(7EA)'!X19+'GT schd cost(7EA)'!X42</f>
        <v>0</v>
      </c>
    </row>
    <row r="42" spans="1:28" s="102" customFormat="1">
      <c r="A42" s="140" t="s">
        <v>936</v>
      </c>
      <c r="B42" s="603" t="s">
        <v>278</v>
      </c>
      <c r="C42" s="603">
        <f>IF(INT(C$6/$X41)*$X$7&gt;C40*($X$7+$Z41)*$Y41,C40*($X$7+$Z41)-SUM($B42:B42),INT(C$6/$X41)*$X$7-C40*($X$7+$Z41)*($Y41-1)-SUM($B42:B42))+IF($Y41&gt;1,IF(INT(C$6/$X41)&gt;0,$Z41-$AA41,0),-$AA41)</f>
        <v>0</v>
      </c>
      <c r="D42" s="603">
        <f>IF(INT(D$6/$X41)*$X$7&gt;D40*($X$7+$Z41)*$Y41,D40*($X$7+$Z41)-SUM($B42:C42),INT(D$6/$X41)*$X$7-D40*($X$7+$Z41)*($Y41-1)-SUM($B42:C42))+IF($Y41&gt;1,IF(INT(D$6/$X41)&gt;0,$Z41-$AA41,0),-$AA41)</f>
        <v>0</v>
      </c>
      <c r="E42" s="603">
        <f>IF(INT(E$6/$X41)*$X$7&gt;E40*($X$7+$Z41)*$Y41,E40*($X$7+$Z41)-SUM($B42:D42),INT(E$6/$X41)*$X$7-E40*($X$7+$Z41)*($Y41-1)-SUM($B42:D42))+IF($Y41&gt;1,IF(INT(E$6/$X41)&gt;0,$Z41-$AA41,0),-$AA41)</f>
        <v>0</v>
      </c>
      <c r="F42" s="603">
        <f>IF(INT(F$6/$X41)*$X$7&gt;F40*($X$7+$Z41)*$Y41,F40*($X$7+$Z41)-SUM($B42:E42),INT(F$6/$X41)*$X$7-F40*($X$7+$Z41)*($Y41-1)-SUM($B42:E42))+IF($Y41&gt;1,IF(INT(F$6/$X41)&gt;0,$Z41-$AA41,0),-$AA41)</f>
        <v>0</v>
      </c>
      <c r="G42" s="603">
        <f>IF(INT(G$6/$X41)*$X$7&gt;G40*($X$7+$Z41)*$Y41,G40*($X$7+$Z41)-SUM($B42:F42),INT(G$6/$X41)*$X$7-G40*($X$7+$Z41)*($Y41-1)-SUM($B42:F42))+IF($Y41&gt;1,IF(INT(G$6/$X41)&gt;0,$Z41-$AA41,0),-$AA41)</f>
        <v>0</v>
      </c>
      <c r="H42" s="603">
        <f>IF(INT(H$6/$X41)*$X$7&gt;H40*($X$7+$Z41)*$Y41,H40*($X$7+$Z41)-SUM($B42:G42),INT(H$6/$X41)*$X$7-H40*($X$7+$Z41)*($Y41-1)-SUM($B42:G42))+IF($Y41&gt;1,IF(INT(H$6/$X41)&gt;0,$Z41-$AA41,0),-$AA41)</f>
        <v>0</v>
      </c>
      <c r="I42" s="603">
        <f>IF(INT(I$6/$X41)*$X$7&gt;I40*($X$7+$Z41)*$Y41,I40*($X$7+$Z41)-SUM($B42:H42),INT(I$6/$X41)*$X$7-I40*($X$7+$Z41)*($Y41-1)-SUM($B42:H42))+IF($Y41&gt;1,IF(INT(I$6/$X41)&gt;0,$Z41-$AA41,0),-$AA41)</f>
        <v>0</v>
      </c>
      <c r="J42" s="603">
        <f>IF(INT(J$6/$X41)*$X$7&gt;J40*($X$7+$Z41)*$Y41,J40*($X$7+$Z41)-SUM($B42:I42),INT(J$6/$X41)*$X$7-J40*($X$7+$Z41)*($Y41-1)-SUM($B42:I42))+IF($Y41&gt;1,IF(INT(J$6/$X41)&gt;0,$Z41-$AA41,0),-$AA41)</f>
        <v>0</v>
      </c>
      <c r="K42" s="603">
        <f>IF(INT(K$6/$X41)*$X$7&gt;K40*($X$7+$Z41)*$Y41,K40*($X$7+$Z41)-SUM($B42:J42),INT(K$6/$X41)*$X$7-K40*($X$7+$Z41)*($Y41-1)-SUM($B42:J42))+IF($Y41&gt;1,IF(INT(K$6/$X41)&gt;0,$Z41-$AA41,0),-$AA41)</f>
        <v>0</v>
      </c>
      <c r="L42" s="603">
        <f>IF(INT(L$6/$X41)*$X$7&gt;L40*($X$7+$Z41)*$Y41,L40*($X$7+$Z41)-SUM($B42:K42),INT(L$6/$X41)*$X$7-L40*($X$7+$Z41)*($Y41-1)-SUM($B42:K42))+IF($Y41&gt;1,IF(INT(L$6/$X41)&gt;0,$Z41-$AA41,0),-$AA41)</f>
        <v>0</v>
      </c>
      <c r="M42" s="603">
        <f>IF(INT(M$6/$X41)*$X$7&gt;M40*($X$7+$Z41)*$Y41,M40*($X$7+$Z41)-SUM($B42:L42),INT(M$6/$X41)*$X$7-M40*($X$7+$Z41)*($Y41-1)-SUM($B42:L42))+IF($Y41&gt;1,IF(INT(M$6/$X41)&gt;0,$Z41-$AA41,0),-$AA41)</f>
        <v>0</v>
      </c>
      <c r="N42" s="603">
        <f>IF(INT(N$6/$X41)*$X$7&gt;N40*($X$7+$Z41)*$Y41,N40*($X$7+$Z41)-SUM($B42:M42),INT(N$6/$X41)*$X$7-N40*($X$7+$Z41)*($Y41-1)-SUM($B42:M42))+IF($Y41&gt;1,IF(INT(N$6/$X41)&gt;0,$Z41-$AA41,0),-$AA41)</f>
        <v>0</v>
      </c>
      <c r="O42" s="603">
        <f>IF(INT(O$6/$X41)*$X$7&gt;O40*($X$7+$Z41)*$Y41,O40*($X$7+$Z41)-SUM($B42:N42),INT(O$6/$X41)*$X$7-O40*($X$7+$Z41)*($Y41-1)-SUM($B42:N42))+IF($Y41&gt;1,IF(INT(O$6/$X41)&gt;0,$Z41-$AA41,0),-$AA41)</f>
        <v>0</v>
      </c>
      <c r="P42" s="603">
        <f>IF(INT(P$6/$X41)*$X$7&gt;P40*($X$7+$Z41)*$Y41,P40*($X$7+$Z41)-SUM($B42:O42),INT(P$6/$X41)*$X$7-P40*($X$7+$Z41)*($Y41-1)-SUM($B42:O42))+IF($Y41&gt;1,IF(INT(P$6/$X41)&gt;0,$Z41-$AA41,0),-$AA41)</f>
        <v>0</v>
      </c>
      <c r="Q42" s="603">
        <f>IF(INT(Q$6/$X41)*$X$7&gt;Q40*($X$7+$Z41)*$Y41,Q40*($X$7+$Z41)-SUM($B42:P42),INT(Q$6/$X41)*$X$7-Q40*($X$7+$Z41)*($Y41-1)-SUM($B42:P42))+IF($Y41&gt;1,IF(INT(Q$6/$X41)&gt;0,$Z41-$AA41,0),-$AA41)</f>
        <v>0</v>
      </c>
      <c r="R42" s="603">
        <f>IF(INT(R$6/$X41)*$X$7&gt;R40*($X$7+$Z41)*$Y41,R40*($X$7+$Z41)-SUM($B42:Q42),INT(R$6/$X41)*$X$7-R40*($X$7+$Z41)*($Y41-1)-SUM($B42:Q42))+IF($Y41&gt;1,IF(INT(R$6/$X41)&gt;0,$Z41-$AA41,0),-$AA41)</f>
        <v>0</v>
      </c>
      <c r="S42" s="603">
        <f>IF(INT(S$6/$X41)*$X$7&gt;S40*($X$7+$Z41)*$Y41,S40*($X$7+$Z41)-SUM($B42:R42),INT(S$6/$X41)*$X$7-S40*($X$7+$Z41)*($Y41-1)-SUM($B42:R42))+IF($Y41&gt;1,IF(INT(S$6/$X41)&gt;0,$Z41-$AA41,0),-$AA41)</f>
        <v>0</v>
      </c>
      <c r="T42" s="603">
        <f>IF(INT(T$6/$X41)*$X$7&gt;T40*($X$7+$Z41)*$Y41,T40*($X$7+$Z41)-SUM($B42:S42),INT(T$6/$X41)*$X$7-T40*($X$7+$Z41)*($Y41-1)-SUM($B42:S42))+IF($Y41&gt;1,IF(INT(T$6/$X41)&gt;0,$Z41-$AA41,0),-$AA41)</f>
        <v>0</v>
      </c>
      <c r="U42" s="603">
        <f>IF(INT(U$6/$X41)*$X$7&gt;U40*($X$7+$Z41)*$Y41,U40*($X$7+$Z41)-SUM($B42:T42),INT(U$6/$X41)*$X$7-U40*($X$7+$Z41)*($Y41-1)-SUM($B42:T42))+IF($Y41&gt;1,IF(INT(U$6/$X41)&gt;0,$Z41-$AA41,0),-$AA41)</f>
        <v>0</v>
      </c>
      <c r="V42" s="603">
        <f>IF(INT(V$6/$X41)*$X$7&gt;V40*($X$7+$Z41)*$Y41,V40*($X$7+$Z41)-SUM($B42:U42),INT(V$6/$X41)*$X$7-V40*($X$7+$Z41)*($Y41-1)-SUM($B42:U42))+IF($Y41&gt;1,IF(INT(V$6/$X41)&gt;0,$Z41-$AA41,0),-$AA41)</f>
        <v>0</v>
      </c>
      <c r="W42" s="681"/>
      <c r="X42"/>
      <c r="Y42"/>
      <c r="Z42"/>
    </row>
    <row r="43" spans="1:28" s="102" customFormat="1">
      <c r="W43" s="663"/>
    </row>
    <row r="44" spans="1:28" s="102" customFormat="1" hidden="1">
      <c r="A44" s="140" t="s">
        <v>934</v>
      </c>
      <c r="B44" s="603"/>
      <c r="C44" s="140">
        <f t="shared" ref="C44:V44" si="14">INT((INT(C$6/$X45)*$X$7+$X$7+$Z45-1)/($X$7+$Z45)/$Y45)</f>
        <v>0</v>
      </c>
      <c r="D44" s="140">
        <f t="shared" si="14"/>
        <v>0</v>
      </c>
      <c r="E44" s="140">
        <f t="shared" si="14"/>
        <v>0</v>
      </c>
      <c r="F44" s="140">
        <f t="shared" si="14"/>
        <v>0</v>
      </c>
      <c r="G44" s="140">
        <f t="shared" si="14"/>
        <v>0</v>
      </c>
      <c r="H44" s="140">
        <f t="shared" si="14"/>
        <v>0</v>
      </c>
      <c r="I44" s="140">
        <f t="shared" si="14"/>
        <v>0</v>
      </c>
      <c r="J44" s="140">
        <f t="shared" si="14"/>
        <v>0</v>
      </c>
      <c r="K44" s="140">
        <f t="shared" si="14"/>
        <v>0</v>
      </c>
      <c r="L44" s="140">
        <f t="shared" si="14"/>
        <v>0</v>
      </c>
      <c r="M44" s="140">
        <f t="shared" si="14"/>
        <v>0</v>
      </c>
      <c r="N44" s="140">
        <f t="shared" si="14"/>
        <v>0</v>
      </c>
      <c r="O44" s="140">
        <f t="shared" si="14"/>
        <v>0</v>
      </c>
      <c r="P44" s="140">
        <f t="shared" si="14"/>
        <v>0</v>
      </c>
      <c r="Q44" s="140">
        <f t="shared" si="14"/>
        <v>0</v>
      </c>
      <c r="R44" s="140">
        <f t="shared" si="14"/>
        <v>0</v>
      </c>
      <c r="S44" s="140">
        <f t="shared" si="14"/>
        <v>0</v>
      </c>
      <c r="T44" s="140">
        <f t="shared" si="14"/>
        <v>0</v>
      </c>
      <c r="U44" s="140">
        <f t="shared" si="14"/>
        <v>0</v>
      </c>
      <c r="V44" s="140">
        <f t="shared" si="14"/>
        <v>0</v>
      </c>
    </row>
    <row r="45" spans="1:28" s="102" customFormat="1">
      <c r="A45" s="140" t="s">
        <v>935</v>
      </c>
      <c r="B45" s="603" t="s">
        <v>278</v>
      </c>
      <c r="C45" s="603">
        <f>IF($Y45=1,0,$X$7*(INT(C$6/$X45)-INT(B$6/$X45))-IF(SUM($B45:B45)&gt;0,C46,0))</f>
        <v>0</v>
      </c>
      <c r="D45" s="603">
        <f>IF($Y45=1,0,$X$7*(INT(D$6/$X45)-INT(C$6/$X45))-IF(SUM($B45:C45)&gt;0,D46,0))</f>
        <v>0</v>
      </c>
      <c r="E45" s="603">
        <f>IF($Y45=1,0,$X$7*(INT(E$6/$X45)-INT(D$6/$X45))-IF(SUM($B45:D45)&gt;0,E46,0))</f>
        <v>0</v>
      </c>
      <c r="F45" s="603">
        <f>IF($Y45=1,0,$X$7*(INT(F$6/$X45)-INT(E$6/$X45))-IF(SUM($B45:E45)&gt;0,F46,0))</f>
        <v>0</v>
      </c>
      <c r="G45" s="603">
        <f>IF($Y45=1,0,$X$7*(INT(G$6/$X45)-INT(F$6/$X45))-IF(SUM($B45:F45)&gt;0,G46,0))</f>
        <v>0</v>
      </c>
      <c r="H45" s="603">
        <f>IF($Y45=1,0,$X$7*(INT(H$6/$X45)-INT(G$6/$X45))-IF(SUM($B45:G45)&gt;0,H46,0))</f>
        <v>0</v>
      </c>
      <c r="I45" s="603">
        <f>IF($Y45=1,0,$X$7*(INT(I$6/$X45)-INT(H$6/$X45))-IF(SUM($B45:H45)&gt;0,I46,0))</f>
        <v>0</v>
      </c>
      <c r="J45" s="603">
        <f>IF($Y45=1,0,$X$7*(INT(J$6/$X45)-INT(I$6/$X45))-IF(SUM($B45:I45)&gt;0,J46,0))</f>
        <v>0</v>
      </c>
      <c r="K45" s="603">
        <f>IF($Y45=1,0,$X$7*(INT(K$6/$X45)-INT(J$6/$X45))-IF(SUM($B45:J45)&gt;0,K46,0))</f>
        <v>0</v>
      </c>
      <c r="L45" s="603">
        <f>IF($Y45=1,0,$X$7*(INT(L$6/$X45)-INT(K$6/$X45))-IF(SUM($B45:K45)&gt;0,L46,0))</f>
        <v>0</v>
      </c>
      <c r="M45" s="603">
        <f>IF($Y45=1,0,$X$7*(INT(M$6/$X45)-INT(L$6/$X45))-IF(SUM($B45:L45)&gt;0,M46,0))</f>
        <v>0</v>
      </c>
      <c r="N45" s="603">
        <f>IF($Y45=1,0,$X$7*(INT(N$6/$X45)-INT(M$6/$X45))-IF(SUM($B45:M45)&gt;0,N46,0))</f>
        <v>0</v>
      </c>
      <c r="O45" s="603">
        <f>IF($Y45=1,0,$X$7*(INT(O$6/$X45)-INT(N$6/$X45))-IF(SUM($B45:N45)&gt;0,O46,0))</f>
        <v>0</v>
      </c>
      <c r="P45" s="603">
        <f>IF($Y45=1,0,$X$7*(INT(P$6/$X45)-INT(O$6/$X45))-IF(SUM($B45:O45)&gt;0,P46,0))</f>
        <v>0</v>
      </c>
      <c r="Q45" s="603">
        <f>IF($Y45=1,0,$X$7*(INT(Q$6/$X45)-INT(P$6/$X45))-IF(SUM($B45:P45)&gt;0,Q46,0))</f>
        <v>0</v>
      </c>
      <c r="R45" s="603">
        <f>IF($Y45=1,0,$X$7*(INT(R$6/$X45)-INT(Q$6/$X45))-IF(SUM($B45:Q45)&gt;0,R46,0))</f>
        <v>0</v>
      </c>
      <c r="S45" s="603">
        <f>IF($Y45=1,0,$X$7*(INT(S$6/$X45)-INT(R$6/$X45))-IF(SUM($B45:R45)&gt;0,S46,0))</f>
        <v>0</v>
      </c>
      <c r="T45" s="603">
        <f>IF($Y45=1,0,$X$7*(INT(T$6/$X45)-INT(S$6/$X45))-IF(SUM($B45:S45)&gt;0,T46,0))</f>
        <v>0</v>
      </c>
      <c r="U45" s="603">
        <f>IF($Y45=1,0,$X$7*(INT(U$6/$X45)-INT(T$6/$X45))-IF(SUM($B45:T45)&gt;0,U46,0))</f>
        <v>0</v>
      </c>
      <c r="V45" s="603">
        <f>IF($Y45=1,0,$X$7*(INT(V$6/$X45)-INT(U$6/$X45))-IF(SUM($B45:U45)&gt;0,V46,0))</f>
        <v>0</v>
      </c>
      <c r="W45" s="678" t="str">
        <f xml:space="preserve"> 'GT schd cost(7EA)'!A20</f>
        <v>Stage 1 Buckets</v>
      </c>
      <c r="X45" s="678">
        <f>IF($AD$6=1,'GTDB(7EA)'!B23,'GTDB(7EA)'!G23)</f>
        <v>24000</v>
      </c>
      <c r="Y45" s="678">
        <f>IF($AD$6=1,'GTDB(7EA)'!C23,'GTDB(7EA)'!H23)</f>
        <v>3</v>
      </c>
      <c r="Z45" s="679">
        <v>1</v>
      </c>
      <c r="AA45" s="834">
        <f>'Initial_Spares(7EA) '!$E$17</f>
        <v>0</v>
      </c>
      <c r="AB45" s="642">
        <f>'GT schd cost(7EA)'!X20+'GT schd cost(7EA)'!X43</f>
        <v>0</v>
      </c>
    </row>
    <row r="46" spans="1:28" s="102" customFormat="1">
      <c r="A46" s="140" t="s">
        <v>936</v>
      </c>
      <c r="B46" s="603" t="s">
        <v>278</v>
      </c>
      <c r="C46" s="603">
        <f>IF(INT(C$6/$X45)*$X$7&gt;C44*($X$7+$Z45)*$Y45,C44*($X$7+$Z45)-SUM($B46:B46),INT(C$6/$X45)*$X$7-C44*($X$7+$Z45)*($Y45-1)-SUM($B46:B46))+IF($Y45&gt;1,IF(INT(C$6/$X45)&gt;0,$Z45-$AA45,0),-$AA45)</f>
        <v>0</v>
      </c>
      <c r="D46" s="603">
        <f>IF(INT(D$6/$X45)*$X$7&gt;D44*($X$7+$Z45)*$Y45,D44*($X$7+$Z45)-SUM($B46:C46),INT(D$6/$X45)*$X$7-D44*($X$7+$Z45)*($Y45-1)-SUM($B46:C46))+IF($Y45&gt;1,IF(INT(D$6/$X45)&gt;0,$Z45-$AA45,0),-$AA45)</f>
        <v>0</v>
      </c>
      <c r="E46" s="603">
        <f>IF(INT(E$6/$X45)*$X$7&gt;E44*($X$7+$Z45)*$Y45,E44*($X$7+$Z45)-SUM($B46:D46),INT(E$6/$X45)*$X$7-E44*($X$7+$Z45)*($Y45-1)-SUM($B46:D46))+IF($Y45&gt;1,IF(INT(E$6/$X45)&gt;0,$Z45-$AA45,0),-$AA45)</f>
        <v>0</v>
      </c>
      <c r="F46" s="603">
        <f>IF(INT(F$6/$X45)*$X$7&gt;F44*($X$7+$Z45)*$Y45,F44*($X$7+$Z45)-SUM($B46:E46),INT(F$6/$X45)*$X$7-F44*($X$7+$Z45)*($Y45-1)-SUM($B46:E46))+IF($Y45&gt;1,IF(INT(F$6/$X45)&gt;0,$Z45-$AA45,0),-$AA45)</f>
        <v>0</v>
      </c>
      <c r="G46" s="603">
        <f>IF(INT(G$6/$X45)*$X$7&gt;G44*($X$7+$Z45)*$Y45,G44*($X$7+$Z45)-SUM($B46:F46),INT(G$6/$X45)*$X$7-G44*($X$7+$Z45)*($Y45-1)-SUM($B46:F46))+IF($Y45&gt;1,IF(INT(G$6/$X45)&gt;0,$Z45-$AA45,0),-$AA45)</f>
        <v>0</v>
      </c>
      <c r="H46" s="603">
        <f>IF(INT(H$6/$X45)*$X$7&gt;H44*($X$7+$Z45)*$Y45,H44*($X$7+$Z45)-SUM($B46:G46),INT(H$6/$X45)*$X$7-H44*($X$7+$Z45)*($Y45-1)-SUM($B46:G46))+IF($Y45&gt;1,IF(INT(H$6/$X45)&gt;0,$Z45-$AA45,0),-$AA45)</f>
        <v>0</v>
      </c>
      <c r="I46" s="603">
        <f>IF(INT(I$6/$X45)*$X$7&gt;I44*($X$7+$Z45)*$Y45,I44*($X$7+$Z45)-SUM($B46:H46),INT(I$6/$X45)*$X$7-I44*($X$7+$Z45)*($Y45-1)-SUM($B46:H46))+IF($Y45&gt;1,IF(INT(I$6/$X45)&gt;0,$Z45-$AA45,0),-$AA45)</f>
        <v>0</v>
      </c>
      <c r="J46" s="603">
        <f>IF(INT(J$6/$X45)*$X$7&gt;J44*($X$7+$Z45)*$Y45,J44*($X$7+$Z45)-SUM($B46:I46),INT(J$6/$X45)*$X$7-J44*($X$7+$Z45)*($Y45-1)-SUM($B46:I46))+IF($Y45&gt;1,IF(INT(J$6/$X45)&gt;0,$Z45-$AA45,0),-$AA45)</f>
        <v>0</v>
      </c>
      <c r="K46" s="603">
        <f>IF(INT(K$6/$X45)*$X$7&gt;K44*($X$7+$Z45)*$Y45,K44*($X$7+$Z45)-SUM($B46:J46),INT(K$6/$X45)*$X$7-K44*($X$7+$Z45)*($Y45-1)-SUM($B46:J46))+IF($Y45&gt;1,IF(INT(K$6/$X45)&gt;0,$Z45-$AA45,0),-$AA45)</f>
        <v>0</v>
      </c>
      <c r="L46" s="603">
        <f>IF(INT(L$6/$X45)*$X$7&gt;L44*($X$7+$Z45)*$Y45,L44*($X$7+$Z45)-SUM($B46:K46),INT(L$6/$X45)*$X$7-L44*($X$7+$Z45)*($Y45-1)-SUM($B46:K46))+IF($Y45&gt;1,IF(INT(L$6/$X45)&gt;0,$Z45-$AA45,0),-$AA45)</f>
        <v>0</v>
      </c>
      <c r="M46" s="603">
        <f>IF(INT(M$6/$X45)*$X$7&gt;M44*($X$7+$Z45)*$Y45,M44*($X$7+$Z45)-SUM($B46:L46),INT(M$6/$X45)*$X$7-M44*($X$7+$Z45)*($Y45-1)-SUM($B46:L46))+IF($Y45&gt;1,IF(INT(M$6/$X45)&gt;0,$Z45-$AA45,0),-$AA45)</f>
        <v>0</v>
      </c>
      <c r="N46" s="603">
        <f>IF(INT(N$6/$X45)*$X$7&gt;N44*($X$7+$Z45)*$Y45,N44*($X$7+$Z45)-SUM($B46:M46),INT(N$6/$X45)*$X$7-N44*($X$7+$Z45)*($Y45-1)-SUM($B46:M46))+IF($Y45&gt;1,IF(INT(N$6/$X45)&gt;0,$Z45-$AA45,0),-$AA45)</f>
        <v>0</v>
      </c>
      <c r="O46" s="603">
        <f>IF(INT(O$6/$X45)*$X$7&gt;O44*($X$7+$Z45)*$Y45,O44*($X$7+$Z45)-SUM($B46:N46),INT(O$6/$X45)*$X$7-O44*($X$7+$Z45)*($Y45-1)-SUM($B46:N46))+IF($Y45&gt;1,IF(INT(O$6/$X45)&gt;0,$Z45-$AA45,0),-$AA45)</f>
        <v>0</v>
      </c>
      <c r="P46" s="603">
        <f>IF(INT(P$6/$X45)*$X$7&gt;P44*($X$7+$Z45)*$Y45,P44*($X$7+$Z45)-SUM($B46:O46),INT(P$6/$X45)*$X$7-P44*($X$7+$Z45)*($Y45-1)-SUM($B46:O46))+IF($Y45&gt;1,IF(INT(P$6/$X45)&gt;0,$Z45-$AA45,0),-$AA45)</f>
        <v>0</v>
      </c>
      <c r="Q46" s="603">
        <f>IF(INT(Q$6/$X45)*$X$7&gt;Q44*($X$7+$Z45)*$Y45,Q44*($X$7+$Z45)-SUM($B46:P46),INT(Q$6/$X45)*$X$7-Q44*($X$7+$Z45)*($Y45-1)-SUM($B46:P46))+IF($Y45&gt;1,IF(INT(Q$6/$X45)&gt;0,$Z45-$AA45,0),-$AA45)</f>
        <v>0</v>
      </c>
      <c r="R46" s="603">
        <f>IF(INT(R$6/$X45)*$X$7&gt;R44*($X$7+$Z45)*$Y45,R44*($X$7+$Z45)-SUM($B46:Q46),INT(R$6/$X45)*$X$7-R44*($X$7+$Z45)*($Y45-1)-SUM($B46:Q46))+IF($Y45&gt;1,IF(INT(R$6/$X45)&gt;0,$Z45-$AA45,0),-$AA45)</f>
        <v>0</v>
      </c>
      <c r="S46" s="603">
        <f>IF(INT(S$6/$X45)*$X$7&gt;S44*($X$7+$Z45)*$Y45,S44*($X$7+$Z45)-SUM($B46:R46),INT(S$6/$X45)*$X$7-S44*($X$7+$Z45)*($Y45-1)-SUM($B46:R46))+IF($Y45&gt;1,IF(INT(S$6/$X45)&gt;0,$Z45-$AA45,0),-$AA45)</f>
        <v>0</v>
      </c>
      <c r="T46" s="603">
        <f>IF(INT(T$6/$X45)*$X$7&gt;T44*($X$7+$Z45)*$Y45,T44*($X$7+$Z45)-SUM($B46:S46),INT(T$6/$X45)*$X$7-T44*($X$7+$Z45)*($Y45-1)-SUM($B46:S46))+IF($Y45&gt;1,IF(INT(T$6/$X45)&gt;0,$Z45-$AA45,0),-$AA45)</f>
        <v>0</v>
      </c>
      <c r="U46" s="603">
        <f>IF(INT(U$6/$X45)*$X$7&gt;U44*($X$7+$Z45)*$Y45,U44*($X$7+$Z45)-SUM($B46:T46),INT(U$6/$X45)*$X$7-U44*($X$7+$Z45)*($Y45-1)-SUM($B46:T46))+IF($Y45&gt;1,IF(INT(U$6/$X45)&gt;0,$Z45-$AA45,0),-$AA45)</f>
        <v>0</v>
      </c>
      <c r="V46" s="603">
        <f>IF(INT(V$6/$X45)*$X$7&gt;V44*($X$7+$Z45)*$Y45,V44*($X$7+$Z45)-SUM($B46:U46),INT(V$6/$X45)*$X$7-V44*($X$7+$Z45)*($Y45-1)-SUM($B46:U46))+IF($Y45&gt;1,IF(INT(V$6/$X45)&gt;0,$Z45-$AA45,0),-$AA45)</f>
        <v>0</v>
      </c>
      <c r="W46" s="681"/>
      <c r="X46"/>
      <c r="Y46"/>
      <c r="Z46"/>
    </row>
    <row r="47" spans="1:28" s="102" customFormat="1">
      <c r="B47" s="615"/>
      <c r="C47" s="615"/>
      <c r="D47" s="615"/>
      <c r="E47" s="615"/>
      <c r="F47" s="615"/>
      <c r="G47" s="615"/>
      <c r="H47" s="615"/>
      <c r="I47" s="615"/>
      <c r="J47" s="615"/>
      <c r="K47" s="615"/>
      <c r="W47" s="663"/>
    </row>
    <row r="48" spans="1:28" s="102" customFormat="1" hidden="1">
      <c r="A48" s="140" t="s">
        <v>934</v>
      </c>
      <c r="B48" s="603"/>
      <c r="C48" s="140">
        <f t="shared" ref="C48:V48" si="15">INT((INT(C$6/$X49)*$X$7+$X$7+$Z49-1)/($X$7+$Z49)/$Y49)</f>
        <v>0</v>
      </c>
      <c r="D48" s="140">
        <f t="shared" si="15"/>
        <v>0</v>
      </c>
      <c r="E48" s="140">
        <f t="shared" si="15"/>
        <v>0</v>
      </c>
      <c r="F48" s="140">
        <f t="shared" si="15"/>
        <v>0</v>
      </c>
      <c r="G48" s="140">
        <f t="shared" si="15"/>
        <v>0</v>
      </c>
      <c r="H48" s="140">
        <f t="shared" si="15"/>
        <v>0</v>
      </c>
      <c r="I48" s="140">
        <f t="shared" si="15"/>
        <v>0</v>
      </c>
      <c r="J48" s="140">
        <f t="shared" si="15"/>
        <v>0</v>
      </c>
      <c r="K48" s="140">
        <f t="shared" si="15"/>
        <v>0</v>
      </c>
      <c r="L48" s="140">
        <f t="shared" si="15"/>
        <v>0</v>
      </c>
      <c r="M48" s="140">
        <f t="shared" si="15"/>
        <v>0</v>
      </c>
      <c r="N48" s="140">
        <f t="shared" si="15"/>
        <v>0</v>
      </c>
      <c r="O48" s="140">
        <f t="shared" si="15"/>
        <v>0</v>
      </c>
      <c r="P48" s="140">
        <f t="shared" si="15"/>
        <v>0</v>
      </c>
      <c r="Q48" s="140">
        <f t="shared" si="15"/>
        <v>0</v>
      </c>
      <c r="R48" s="140">
        <f t="shared" si="15"/>
        <v>0</v>
      </c>
      <c r="S48" s="140">
        <f t="shared" si="15"/>
        <v>0</v>
      </c>
      <c r="T48" s="140">
        <f t="shared" si="15"/>
        <v>0</v>
      </c>
      <c r="U48" s="140">
        <f t="shared" si="15"/>
        <v>0</v>
      </c>
      <c r="V48" s="140">
        <f t="shared" si="15"/>
        <v>0</v>
      </c>
    </row>
    <row r="49" spans="1:28" s="102" customFormat="1">
      <c r="A49" s="140" t="s">
        <v>935</v>
      </c>
      <c r="B49" s="603" t="s">
        <v>278</v>
      </c>
      <c r="C49" s="603">
        <f>IF($Y49=1,0,$X$7*(INT(C$6/$X49)-INT(B$6/$X49))-IF(SUM($B49:B49)&gt;0,C50,0))</f>
        <v>0</v>
      </c>
      <c r="D49" s="603">
        <f>IF($Y49=1,0,$X$7*(INT(D$6/$X49)-INT(C$6/$X49))-IF(SUM($B49:C49)&gt;0,D50,0))</f>
        <v>0</v>
      </c>
      <c r="E49" s="603">
        <f>IF($Y49=1,0,$X$7*(INT(E$6/$X49)-INT(D$6/$X49))-IF(SUM($B49:D49)&gt;0,E50,0))</f>
        <v>0</v>
      </c>
      <c r="F49" s="603">
        <f>IF($Y49=1,0,$X$7*(INT(F$6/$X49)-INT(E$6/$X49))-IF(SUM($B49:E49)&gt;0,F50,0))</f>
        <v>0</v>
      </c>
      <c r="G49" s="603">
        <f>IF($Y49=1,0,$X$7*(INT(G$6/$X49)-INT(F$6/$X49))-IF(SUM($B49:F49)&gt;0,G50,0))</f>
        <v>0</v>
      </c>
      <c r="H49" s="603">
        <f>IF($Y49=1,0,$X$7*(INT(H$6/$X49)-INT(G$6/$X49))-IF(SUM($B49:G49)&gt;0,H50,0))</f>
        <v>0</v>
      </c>
      <c r="I49" s="603">
        <f>IF($Y49=1,0,$X$7*(INT(I$6/$X49)-INT(H$6/$X49))-IF(SUM($B49:H49)&gt;0,I50,0))</f>
        <v>0</v>
      </c>
      <c r="J49" s="603">
        <f>IF($Y49=1,0,$X$7*(INT(J$6/$X49)-INT(I$6/$X49))-IF(SUM($B49:I49)&gt;0,J50,0))</f>
        <v>0</v>
      </c>
      <c r="K49" s="603">
        <f>IF($Y49=1,0,$X$7*(INT(K$6/$X49)-INT(J$6/$X49))-IF(SUM($B49:J49)&gt;0,K50,0))</f>
        <v>0</v>
      </c>
      <c r="L49" s="603">
        <f>IF($Y49=1,0,$X$7*(INT(L$6/$X49)-INT(K$6/$X49))-IF(SUM($B49:K49)&gt;0,L50,0))</f>
        <v>0</v>
      </c>
      <c r="M49" s="603">
        <f>IF($Y49=1,0,$X$7*(INT(M$6/$X49)-INT(L$6/$X49))-IF(SUM($B49:L49)&gt;0,M50,0))</f>
        <v>0</v>
      </c>
      <c r="N49" s="603">
        <f>IF($Y49=1,0,$X$7*(INT(N$6/$X49)-INT(M$6/$X49))-IF(SUM($B49:M49)&gt;0,N50,0))</f>
        <v>0</v>
      </c>
      <c r="O49" s="603">
        <f>IF($Y49=1,0,$X$7*(INT(O$6/$X49)-INT(N$6/$X49))-IF(SUM($B49:N49)&gt;0,O50,0))</f>
        <v>0</v>
      </c>
      <c r="P49" s="603">
        <f>IF($Y49=1,0,$X$7*(INT(P$6/$X49)-INT(O$6/$X49))-IF(SUM($B49:O49)&gt;0,P50,0))</f>
        <v>0</v>
      </c>
      <c r="Q49" s="603">
        <f>IF($Y49=1,0,$X$7*(INT(Q$6/$X49)-INT(P$6/$X49))-IF(SUM($B49:P49)&gt;0,Q50,0))</f>
        <v>0</v>
      </c>
      <c r="R49" s="603">
        <f>IF($Y49=1,0,$X$7*(INT(R$6/$X49)-INT(Q$6/$X49))-IF(SUM($B49:Q49)&gt;0,R50,0))</f>
        <v>0</v>
      </c>
      <c r="S49" s="603">
        <f>IF($Y49=1,0,$X$7*(INT(S$6/$X49)-INT(R$6/$X49))-IF(SUM($B49:R49)&gt;0,S50,0))</f>
        <v>0</v>
      </c>
      <c r="T49" s="603">
        <f>IF($Y49=1,0,$X$7*(INT(T$6/$X49)-INT(S$6/$X49))-IF(SUM($B49:S49)&gt;0,T50,0))</f>
        <v>0</v>
      </c>
      <c r="U49" s="603">
        <f>IF($Y49=1,0,$X$7*(INT(U$6/$X49)-INT(T$6/$X49))-IF(SUM($B49:T49)&gt;0,U50,0))</f>
        <v>0</v>
      </c>
      <c r="V49" s="603">
        <f>IF($Y49=1,0,$X$7*(INT(V$6/$X49)-INT(U$6/$X49))-IF(SUM($B49:U49)&gt;0,V50,0))</f>
        <v>0</v>
      </c>
      <c r="W49" s="678" t="str">
        <f xml:space="preserve"> 'GT schd cost(7EA)'!A21</f>
        <v>Stage 2 Buckets</v>
      </c>
      <c r="X49" s="678">
        <f>IF($AD$6=1,'GTDB(7EA)'!B24,'GTDB(7EA)'!G24)</f>
        <v>24000</v>
      </c>
      <c r="Y49" s="678">
        <f>IF($AD$6=1,'GTDB(7EA)'!C24,'GTDB(7EA)'!H24)</f>
        <v>3</v>
      </c>
      <c r="Z49" s="679">
        <v>1</v>
      </c>
      <c r="AA49" s="834">
        <f>'Initial_Spares(7EA) '!$E$18</f>
        <v>0</v>
      </c>
      <c r="AB49" s="642">
        <f>'GT schd cost(7EA)'!X21+'GT schd cost(7EA)'!X44</f>
        <v>0</v>
      </c>
    </row>
    <row r="50" spans="1:28" s="102" customFormat="1">
      <c r="A50" s="140" t="s">
        <v>936</v>
      </c>
      <c r="B50" s="603" t="s">
        <v>278</v>
      </c>
      <c r="C50" s="603">
        <f>IF(INT(C$6/$X49)*$X$7&gt;C48*($X$7+$Z49)*$Y49,C48*($X$7+$Z49)-SUM($B50:B50),INT(C$6/$X49)*$X$7-C48*($X$7+$Z49)*($Y49-1)-SUM($B50:B50))+IF($Y49&gt;1,IF(INT(C$6/$X49)&gt;0,$Z49-$AA49,0),-$AA49)</f>
        <v>0</v>
      </c>
      <c r="D50" s="603">
        <f>IF(INT(D$6/$X49)*$X$7&gt;D48*($X$7+$Z49)*$Y49,D48*($X$7+$Z49)-SUM($B50:C50),INT(D$6/$X49)*$X$7-D48*($X$7+$Z49)*($Y49-1)-SUM($B50:C50))+IF($Y49&gt;1,IF(INT(D$6/$X49)&gt;0,$Z49-$AA49,0),-$AA49)</f>
        <v>0</v>
      </c>
      <c r="E50" s="603">
        <f>IF(INT(E$6/$X49)*$X$7&gt;E48*($X$7+$Z49)*$Y49,E48*($X$7+$Z49)-SUM($B50:D50),INT(E$6/$X49)*$X$7-E48*($X$7+$Z49)*($Y49-1)-SUM($B50:D50))+IF($Y49&gt;1,IF(INT(E$6/$X49)&gt;0,$Z49-$AA49,0),-$AA49)</f>
        <v>0</v>
      </c>
      <c r="F50" s="603">
        <f>IF(INT(F$6/$X49)*$X$7&gt;F48*($X$7+$Z49)*$Y49,F48*($X$7+$Z49)-SUM($B50:E50),INT(F$6/$X49)*$X$7-F48*($X$7+$Z49)*($Y49-1)-SUM($B50:E50))+IF($Y49&gt;1,IF(INT(F$6/$X49)&gt;0,$Z49-$AA49,0),-$AA49)</f>
        <v>0</v>
      </c>
      <c r="G50" s="603">
        <f>IF(INT(G$6/$X49)*$X$7&gt;G48*($X$7+$Z49)*$Y49,G48*($X$7+$Z49)-SUM($B50:F50),INT(G$6/$X49)*$X$7-G48*($X$7+$Z49)*($Y49-1)-SUM($B50:F50))+IF($Y49&gt;1,IF(INT(G$6/$X49)&gt;0,$Z49-$AA49,0),-$AA49)</f>
        <v>0</v>
      </c>
      <c r="H50" s="603">
        <f>IF(INT(H$6/$X49)*$X$7&gt;H48*($X$7+$Z49)*$Y49,H48*($X$7+$Z49)-SUM($B50:G50),INT(H$6/$X49)*$X$7-H48*($X$7+$Z49)*($Y49-1)-SUM($B50:G50))+IF($Y49&gt;1,IF(INT(H$6/$X49)&gt;0,$Z49-$AA49,0),-$AA49)</f>
        <v>0</v>
      </c>
      <c r="I50" s="603">
        <f>IF(INT(I$6/$X49)*$X$7&gt;I48*($X$7+$Z49)*$Y49,I48*($X$7+$Z49)-SUM($B50:H50),INT(I$6/$X49)*$X$7-I48*($X$7+$Z49)*($Y49-1)-SUM($B50:H50))+IF($Y49&gt;1,IF(INT(I$6/$X49)&gt;0,$Z49-$AA49,0),-$AA49)</f>
        <v>0</v>
      </c>
      <c r="J50" s="603">
        <f>IF(INT(J$6/$X49)*$X$7&gt;J48*($X$7+$Z49)*$Y49,J48*($X$7+$Z49)-SUM($B50:I50),INT(J$6/$X49)*$X$7-J48*($X$7+$Z49)*($Y49-1)-SUM($B50:I50))+IF($Y49&gt;1,IF(INT(J$6/$X49)&gt;0,$Z49-$AA49,0),-$AA49)</f>
        <v>0</v>
      </c>
      <c r="K50" s="603">
        <f>IF(INT(K$6/$X49)*$X$7&gt;K48*($X$7+$Z49)*$Y49,K48*($X$7+$Z49)-SUM($B50:J50),INT(K$6/$X49)*$X$7-K48*($X$7+$Z49)*($Y49-1)-SUM($B50:J50))+IF($Y49&gt;1,IF(INT(K$6/$X49)&gt;0,$Z49-$AA49,0),-$AA49)</f>
        <v>0</v>
      </c>
      <c r="L50" s="603">
        <f>IF(INT(L$6/$X49)*$X$7&gt;L48*($X$7+$Z49)*$Y49,L48*($X$7+$Z49)-SUM($B50:K50),INT(L$6/$X49)*$X$7-L48*($X$7+$Z49)*($Y49-1)-SUM($B50:K50))+IF($Y49&gt;1,IF(INT(L$6/$X49)&gt;0,$Z49-$AA49,0),-$AA49)</f>
        <v>0</v>
      </c>
      <c r="M50" s="603">
        <f>IF(INT(M$6/$X49)*$X$7&gt;M48*($X$7+$Z49)*$Y49,M48*($X$7+$Z49)-SUM($B50:L50),INT(M$6/$X49)*$X$7-M48*($X$7+$Z49)*($Y49-1)-SUM($B50:L50))+IF($Y49&gt;1,IF(INT(M$6/$X49)&gt;0,$Z49-$AA49,0),-$AA49)</f>
        <v>0</v>
      </c>
      <c r="N50" s="603">
        <f>IF(INT(N$6/$X49)*$X$7&gt;N48*($X$7+$Z49)*$Y49,N48*($X$7+$Z49)-SUM($B50:M50),INT(N$6/$X49)*$X$7-N48*($X$7+$Z49)*($Y49-1)-SUM($B50:M50))+IF($Y49&gt;1,IF(INT(N$6/$X49)&gt;0,$Z49-$AA49,0),-$AA49)</f>
        <v>0</v>
      </c>
      <c r="O50" s="603">
        <f>IF(INT(O$6/$X49)*$X$7&gt;O48*($X$7+$Z49)*$Y49,O48*($X$7+$Z49)-SUM($B50:N50),INT(O$6/$X49)*$X$7-O48*($X$7+$Z49)*($Y49-1)-SUM($B50:N50))+IF($Y49&gt;1,IF(INT(O$6/$X49)&gt;0,$Z49-$AA49,0),-$AA49)</f>
        <v>0</v>
      </c>
      <c r="P50" s="603">
        <f>IF(INT(P$6/$X49)*$X$7&gt;P48*($X$7+$Z49)*$Y49,P48*($X$7+$Z49)-SUM($B50:O50),INT(P$6/$X49)*$X$7-P48*($X$7+$Z49)*($Y49-1)-SUM($B50:O50))+IF($Y49&gt;1,IF(INT(P$6/$X49)&gt;0,$Z49-$AA49,0),-$AA49)</f>
        <v>0</v>
      </c>
      <c r="Q50" s="603">
        <f>IF(INT(Q$6/$X49)*$X$7&gt;Q48*($X$7+$Z49)*$Y49,Q48*($X$7+$Z49)-SUM($B50:P50),INT(Q$6/$X49)*$X$7-Q48*($X$7+$Z49)*($Y49-1)-SUM($B50:P50))+IF($Y49&gt;1,IF(INT(Q$6/$X49)&gt;0,$Z49-$AA49,0),-$AA49)</f>
        <v>0</v>
      </c>
      <c r="R50" s="603">
        <f>IF(INT(R$6/$X49)*$X$7&gt;R48*($X$7+$Z49)*$Y49,R48*($X$7+$Z49)-SUM($B50:Q50),INT(R$6/$X49)*$X$7-R48*($X$7+$Z49)*($Y49-1)-SUM($B50:Q50))+IF($Y49&gt;1,IF(INT(R$6/$X49)&gt;0,$Z49-$AA49,0),-$AA49)</f>
        <v>0</v>
      </c>
      <c r="S50" s="603">
        <f>IF(INT(S$6/$X49)*$X$7&gt;S48*($X$7+$Z49)*$Y49,S48*($X$7+$Z49)-SUM($B50:R50),INT(S$6/$X49)*$X$7-S48*($X$7+$Z49)*($Y49-1)-SUM($B50:R50))+IF($Y49&gt;1,IF(INT(S$6/$X49)&gt;0,$Z49-$AA49,0),-$AA49)</f>
        <v>0</v>
      </c>
      <c r="T50" s="603">
        <f>IF(INT(T$6/$X49)*$X$7&gt;T48*($X$7+$Z49)*$Y49,T48*($X$7+$Z49)-SUM($B50:S50),INT(T$6/$X49)*$X$7-T48*($X$7+$Z49)*($Y49-1)-SUM($B50:S50))+IF($Y49&gt;1,IF(INT(T$6/$X49)&gt;0,$Z49-$AA49,0),-$AA49)</f>
        <v>0</v>
      </c>
      <c r="U50" s="603">
        <f>IF(INT(U$6/$X49)*$X$7&gt;U48*($X$7+$Z49)*$Y49,U48*($X$7+$Z49)-SUM($B50:T50),INT(U$6/$X49)*$X$7-U48*($X$7+$Z49)*($Y49-1)-SUM($B50:T50))+IF($Y49&gt;1,IF(INT(U$6/$X49)&gt;0,$Z49-$AA49,0),-$AA49)</f>
        <v>0</v>
      </c>
      <c r="V50" s="603">
        <f>IF(INT(V$6/$X49)*$X$7&gt;V48*($X$7+$Z49)*$Y49,V48*($X$7+$Z49)-SUM($B50:U50),INT(V$6/$X49)*$X$7-V48*($X$7+$Z49)*($Y49-1)-SUM($B50:U50))+IF($Y49&gt;1,IF(INT(V$6/$X49)&gt;0,$Z49-$AA49,0),-$AA49)</f>
        <v>0</v>
      </c>
      <c r="W50" s="681"/>
      <c r="X50"/>
      <c r="Y50"/>
      <c r="Z50"/>
    </row>
    <row r="51" spans="1:28" s="102" customFormat="1">
      <c r="C51" s="615"/>
      <c r="D51" s="615"/>
      <c r="E51" s="615"/>
      <c r="F51" s="615"/>
      <c r="G51" s="615"/>
      <c r="H51" s="615"/>
      <c r="I51" s="615"/>
      <c r="J51" s="615"/>
      <c r="K51" s="615"/>
      <c r="L51" s="615"/>
      <c r="M51" s="615"/>
      <c r="N51" s="615"/>
      <c r="O51" s="615"/>
      <c r="P51" s="615"/>
      <c r="Q51" s="615"/>
      <c r="R51" s="615"/>
      <c r="S51" s="615"/>
      <c r="T51" s="615"/>
      <c r="U51" s="615"/>
      <c r="V51" s="615"/>
      <c r="W51" s="663"/>
    </row>
    <row r="52" spans="1:28" s="102" customFormat="1" hidden="1">
      <c r="A52" s="140" t="s">
        <v>934</v>
      </c>
      <c r="B52" s="603"/>
      <c r="C52" s="140">
        <f t="shared" ref="C52:V52" si="16">INT((INT(C$6/$X53)*$X$7+$X$7+$Z53-1)/($X$7+$Z53)/$Y53)</f>
        <v>0</v>
      </c>
      <c r="D52" s="140">
        <f t="shared" si="16"/>
        <v>0</v>
      </c>
      <c r="E52" s="140">
        <f t="shared" si="16"/>
        <v>0</v>
      </c>
      <c r="F52" s="140">
        <f t="shared" si="16"/>
        <v>0</v>
      </c>
      <c r="G52" s="140">
        <f t="shared" si="16"/>
        <v>0</v>
      </c>
      <c r="H52" s="140">
        <f t="shared" si="16"/>
        <v>0</v>
      </c>
      <c r="I52" s="140">
        <f t="shared" si="16"/>
        <v>0</v>
      </c>
      <c r="J52" s="140">
        <f t="shared" si="16"/>
        <v>0</v>
      </c>
      <c r="K52" s="140">
        <f t="shared" si="16"/>
        <v>0</v>
      </c>
      <c r="L52" s="140">
        <f t="shared" si="16"/>
        <v>0</v>
      </c>
      <c r="M52" s="140">
        <f t="shared" si="16"/>
        <v>0</v>
      </c>
      <c r="N52" s="140">
        <f t="shared" si="16"/>
        <v>0</v>
      </c>
      <c r="O52" s="140">
        <f t="shared" si="16"/>
        <v>0</v>
      </c>
      <c r="P52" s="140">
        <f t="shared" si="16"/>
        <v>0</v>
      </c>
      <c r="Q52" s="140">
        <f t="shared" si="16"/>
        <v>0</v>
      </c>
      <c r="R52" s="140">
        <f t="shared" si="16"/>
        <v>0</v>
      </c>
      <c r="S52" s="140">
        <f t="shared" si="16"/>
        <v>0</v>
      </c>
      <c r="T52" s="140">
        <f t="shared" si="16"/>
        <v>0</v>
      </c>
      <c r="U52" s="140">
        <f t="shared" si="16"/>
        <v>0</v>
      </c>
      <c r="V52" s="140">
        <f t="shared" si="16"/>
        <v>0</v>
      </c>
    </row>
    <row r="53" spans="1:28" s="102" customFormat="1">
      <c r="A53" s="140" t="s">
        <v>935</v>
      </c>
      <c r="B53" s="603" t="s">
        <v>278</v>
      </c>
      <c r="C53" s="603">
        <f>IF($Y53=1,0,$X$7*(INT(C$6/$X53)-INT(B$6/$X53))-IF(SUM($B53:B53)&gt;0,C54,0))</f>
        <v>0</v>
      </c>
      <c r="D53" s="603">
        <f>IF($Y53=1,0,$X$7*(INT(D$6/$X53)-INT(C$6/$X53))-IF(SUM($B53:C53)&gt;0,D54,0))</f>
        <v>0</v>
      </c>
      <c r="E53" s="603">
        <f>IF($Y53=1,0,$X$7*(INT(E$6/$X53)-INT(D$6/$X53))-IF(SUM($B53:D53)&gt;0,E54,0))</f>
        <v>0</v>
      </c>
      <c r="F53" s="603">
        <f>IF($Y53=1,0,$X$7*(INT(F$6/$X53)-INT(E$6/$X53))-IF(SUM($B53:E53)&gt;0,F54,0))</f>
        <v>0</v>
      </c>
      <c r="G53" s="603">
        <f>IF($Y53=1,0,$X$7*(INT(G$6/$X53)-INT(F$6/$X53))-IF(SUM($B53:F53)&gt;0,G54,0))</f>
        <v>0</v>
      </c>
      <c r="H53" s="603">
        <f>IF($Y53=1,0,$X$7*(INT(H$6/$X53)-INT(G$6/$X53))-IF(SUM($B53:G53)&gt;0,H54,0))</f>
        <v>0</v>
      </c>
      <c r="I53" s="603">
        <f>IF($Y53=1,0,$X$7*(INT(I$6/$X53)-INT(H$6/$X53))-IF(SUM($B53:H53)&gt;0,I54,0))</f>
        <v>0</v>
      </c>
      <c r="J53" s="603">
        <f>IF($Y53=1,0,$X$7*(INT(J$6/$X53)-INT(I$6/$X53))-IF(SUM($B53:I53)&gt;0,J54,0))</f>
        <v>0</v>
      </c>
      <c r="K53" s="603">
        <f>IF($Y53=1,0,$X$7*(INT(K$6/$X53)-INT(J$6/$X53))-IF(SUM($B53:J53)&gt;0,K54,0))</f>
        <v>0</v>
      </c>
      <c r="L53" s="603">
        <f>IF($Y53=1,0,$X$7*(INT(L$6/$X53)-INT(K$6/$X53))-IF(SUM($B53:K53)&gt;0,L54,0))</f>
        <v>0</v>
      </c>
      <c r="M53" s="603">
        <f>IF($Y53=1,0,$X$7*(INT(M$6/$X53)-INT(L$6/$X53))-IF(SUM($B53:L53)&gt;0,M54,0))</f>
        <v>0</v>
      </c>
      <c r="N53" s="603">
        <f>IF($Y53=1,0,$X$7*(INT(N$6/$X53)-INT(M$6/$X53))-IF(SUM($B53:M53)&gt;0,N54,0))</f>
        <v>0</v>
      </c>
      <c r="O53" s="603">
        <f>IF($Y53=1,0,$X$7*(INT(O$6/$X53)-INT(N$6/$X53))-IF(SUM($B53:N53)&gt;0,O54,0))</f>
        <v>0</v>
      </c>
      <c r="P53" s="603">
        <f>IF($Y53=1,0,$X$7*(INT(P$6/$X53)-INT(O$6/$X53))-IF(SUM($B53:O53)&gt;0,P54,0))</f>
        <v>0</v>
      </c>
      <c r="Q53" s="603">
        <f>IF($Y53=1,0,$X$7*(INT(Q$6/$X53)-INT(P$6/$X53))-IF(SUM($B53:P53)&gt;0,Q54,0))</f>
        <v>0</v>
      </c>
      <c r="R53" s="603">
        <f>IF($Y53=1,0,$X$7*(INT(R$6/$X53)-INT(Q$6/$X53))-IF(SUM($B53:Q53)&gt;0,R54,0))</f>
        <v>0</v>
      </c>
      <c r="S53" s="603">
        <f>IF($Y53=1,0,$X$7*(INT(S$6/$X53)-INT(R$6/$X53))-IF(SUM($B53:R53)&gt;0,S54,0))</f>
        <v>0</v>
      </c>
      <c r="T53" s="603">
        <f>IF($Y53=1,0,$X$7*(INT(T$6/$X53)-INT(S$6/$X53))-IF(SUM($B53:S53)&gt;0,T54,0))</f>
        <v>0</v>
      </c>
      <c r="U53" s="603">
        <f>IF($Y53=1,0,$X$7*(INT(U$6/$X53)-INT(T$6/$X53))-IF(SUM($B53:T53)&gt;0,U54,0))</f>
        <v>0</v>
      </c>
      <c r="V53" s="603">
        <f>IF($Y53=1,0,$X$7*(INT(V$6/$X53)-INT(U$6/$X53))-IF(SUM($B53:U53)&gt;0,V54,0))</f>
        <v>0</v>
      </c>
      <c r="W53" s="678" t="str">
        <f xml:space="preserve"> 'GT schd cost(7EA)'!A22</f>
        <v>Stage 3 Buckets</v>
      </c>
      <c r="X53" s="678">
        <f>IF($AD$6=1,'GTDB(7EA)'!B25,'GTDB(7EA)'!G25)</f>
        <v>24000</v>
      </c>
      <c r="Y53" s="678">
        <f>IF($AD$6=1,'GTDB(7EA)'!C25,'GTDB(7EA)'!H25)</f>
        <v>3</v>
      </c>
      <c r="Z53" s="679">
        <v>1</v>
      </c>
      <c r="AA53" s="834">
        <f>'Initial_Spares(7EA) '!$E$19</f>
        <v>0</v>
      </c>
      <c r="AB53" s="642">
        <f>'GT schd cost(7EA)'!X22+'GT schd cost(7EA)'!X45</f>
        <v>0</v>
      </c>
    </row>
    <row r="54" spans="1:28" s="102" customFormat="1">
      <c r="A54" s="140" t="s">
        <v>936</v>
      </c>
      <c r="B54" s="603" t="s">
        <v>278</v>
      </c>
      <c r="C54" s="603">
        <f>IF(INT(C$6/$X53)*$X$7&gt;C52*($X$7+$Z53)*$Y53,C52*($X$7+$Z53)-SUM($B54:B54),INT(C$6/$X53)*$X$7-C52*($X$7+$Z53)*($Y53-1)-SUM($B54:B54))+IF($Y53&gt;1,IF(INT(C$6/$X53)&gt;0,$Z53-$AA53,0),-$AA53)</f>
        <v>0</v>
      </c>
      <c r="D54" s="603">
        <f>IF(INT(D$6/$X53)*$X$7&gt;D52*($X$7+$Z53)*$Y53,D52*($X$7+$Z53)-SUM($B54:C54),INT(D$6/$X53)*$X$7-D52*($X$7+$Z53)*($Y53-1)-SUM($B54:C54))+IF($Y53&gt;1,IF(INT(D$6/$X53)&gt;0,$Z53-$AA53,0),-$AA53)</f>
        <v>0</v>
      </c>
      <c r="E54" s="603">
        <f>IF(INT(E$6/$X53)*$X$7&gt;E52*($X$7+$Z53)*$Y53,E52*($X$7+$Z53)-SUM($B54:D54),INT(E$6/$X53)*$X$7-E52*($X$7+$Z53)*($Y53-1)-SUM($B54:D54))+IF($Y53&gt;1,IF(INT(E$6/$X53)&gt;0,$Z53-$AA53,0),-$AA53)</f>
        <v>0</v>
      </c>
      <c r="F54" s="603">
        <f>IF(INT(F$6/$X53)*$X$7&gt;F52*($X$7+$Z53)*$Y53,F52*($X$7+$Z53)-SUM($B54:E54),INT(F$6/$X53)*$X$7-F52*($X$7+$Z53)*($Y53-1)-SUM($B54:E54))+IF($Y53&gt;1,IF(INT(F$6/$X53)&gt;0,$Z53-$AA53,0),-$AA53)</f>
        <v>0</v>
      </c>
      <c r="G54" s="603">
        <f>IF(INT(G$6/$X53)*$X$7&gt;G52*($X$7+$Z53)*$Y53,G52*($X$7+$Z53)-SUM($B54:F54),INT(G$6/$X53)*$X$7-G52*($X$7+$Z53)*($Y53-1)-SUM($B54:F54))+IF($Y53&gt;1,IF(INT(G$6/$X53)&gt;0,$Z53-$AA53,0),-$AA53)</f>
        <v>0</v>
      </c>
      <c r="H54" s="603">
        <f>IF(INT(H$6/$X53)*$X$7&gt;H52*($X$7+$Z53)*$Y53,H52*($X$7+$Z53)-SUM($B54:G54),INT(H$6/$X53)*$X$7-H52*($X$7+$Z53)*($Y53-1)-SUM($B54:G54))+IF($Y53&gt;1,IF(INT(H$6/$X53)&gt;0,$Z53-$AA53,0),-$AA53)</f>
        <v>0</v>
      </c>
      <c r="I54" s="603">
        <f>IF(INT(I$6/$X53)*$X$7&gt;I52*($X$7+$Z53)*$Y53,I52*($X$7+$Z53)-SUM($B54:H54),INT(I$6/$X53)*$X$7-I52*($X$7+$Z53)*($Y53-1)-SUM($B54:H54))+IF($Y53&gt;1,IF(INT(I$6/$X53)&gt;0,$Z53-$AA53,0),-$AA53)</f>
        <v>0</v>
      </c>
      <c r="J54" s="603">
        <f>IF(INT(J$6/$X53)*$X$7&gt;J52*($X$7+$Z53)*$Y53,J52*($X$7+$Z53)-SUM($B54:I54),INT(J$6/$X53)*$X$7-J52*($X$7+$Z53)*($Y53-1)-SUM($B54:I54))+IF($Y53&gt;1,IF(INT(J$6/$X53)&gt;0,$Z53-$AA53,0),-$AA53)</f>
        <v>0</v>
      </c>
      <c r="K54" s="603">
        <f>IF(INT(K$6/$X53)*$X$7&gt;K52*($X$7+$Z53)*$Y53,K52*($X$7+$Z53)-SUM($B54:J54),INT(K$6/$X53)*$X$7-K52*($X$7+$Z53)*($Y53-1)-SUM($B54:J54))+IF($Y53&gt;1,IF(INT(K$6/$X53)&gt;0,$Z53-$AA53,0),-$AA53)</f>
        <v>0</v>
      </c>
      <c r="L54" s="603">
        <f>IF(INT(L$6/$X53)*$X$7&gt;L52*($X$7+$Z53)*$Y53,L52*($X$7+$Z53)-SUM($B54:K54),INT(L$6/$X53)*$X$7-L52*($X$7+$Z53)*($Y53-1)-SUM($B54:K54))+IF($Y53&gt;1,IF(INT(L$6/$X53)&gt;0,$Z53-$AA53,0),-$AA53)</f>
        <v>0</v>
      </c>
      <c r="M54" s="603">
        <f>IF(INT(M$6/$X53)*$X$7&gt;M52*($X$7+$Z53)*$Y53,M52*($X$7+$Z53)-SUM($B54:L54),INT(M$6/$X53)*$X$7-M52*($X$7+$Z53)*($Y53-1)-SUM($B54:L54))+IF($Y53&gt;1,IF(INT(M$6/$X53)&gt;0,$Z53-$AA53,0),-$AA53)</f>
        <v>0</v>
      </c>
      <c r="N54" s="603">
        <f>IF(INT(N$6/$X53)*$X$7&gt;N52*($X$7+$Z53)*$Y53,N52*($X$7+$Z53)-SUM($B54:M54),INT(N$6/$X53)*$X$7-N52*($X$7+$Z53)*($Y53-1)-SUM($B54:M54))+IF($Y53&gt;1,IF(INT(N$6/$X53)&gt;0,$Z53-$AA53,0),-$AA53)</f>
        <v>0</v>
      </c>
      <c r="O54" s="603">
        <f>IF(INT(O$6/$X53)*$X$7&gt;O52*($X$7+$Z53)*$Y53,O52*($X$7+$Z53)-SUM($B54:N54),INT(O$6/$X53)*$X$7-O52*($X$7+$Z53)*($Y53-1)-SUM($B54:N54))+IF($Y53&gt;1,IF(INT(O$6/$X53)&gt;0,$Z53-$AA53,0),-$AA53)</f>
        <v>0</v>
      </c>
      <c r="P54" s="603">
        <f>IF(INT(P$6/$X53)*$X$7&gt;P52*($X$7+$Z53)*$Y53,P52*($X$7+$Z53)-SUM($B54:O54),INT(P$6/$X53)*$X$7-P52*($X$7+$Z53)*($Y53-1)-SUM($B54:O54))+IF($Y53&gt;1,IF(INT(P$6/$X53)&gt;0,$Z53-$AA53,0),-$AA53)</f>
        <v>0</v>
      </c>
      <c r="Q54" s="603">
        <f>IF(INT(Q$6/$X53)*$X$7&gt;Q52*($X$7+$Z53)*$Y53,Q52*($X$7+$Z53)-SUM($B54:P54),INT(Q$6/$X53)*$X$7-Q52*($X$7+$Z53)*($Y53-1)-SUM($B54:P54))+IF($Y53&gt;1,IF(INT(Q$6/$X53)&gt;0,$Z53-$AA53,0),-$AA53)</f>
        <v>0</v>
      </c>
      <c r="R54" s="603">
        <f>IF(INT(R$6/$X53)*$X$7&gt;R52*($X$7+$Z53)*$Y53,R52*($X$7+$Z53)-SUM($B54:Q54),INT(R$6/$X53)*$X$7-R52*($X$7+$Z53)*($Y53-1)-SUM($B54:Q54))+IF($Y53&gt;1,IF(INT(R$6/$X53)&gt;0,$Z53-$AA53,0),-$AA53)</f>
        <v>0</v>
      </c>
      <c r="S54" s="603">
        <f>IF(INT(S$6/$X53)*$X$7&gt;S52*($X$7+$Z53)*$Y53,S52*($X$7+$Z53)-SUM($B54:R54),INT(S$6/$X53)*$X$7-S52*($X$7+$Z53)*($Y53-1)-SUM($B54:R54))+IF($Y53&gt;1,IF(INT(S$6/$X53)&gt;0,$Z53-$AA53,0),-$AA53)</f>
        <v>0</v>
      </c>
      <c r="T54" s="603">
        <f>IF(INT(T$6/$X53)*$X$7&gt;T52*($X$7+$Z53)*$Y53,T52*($X$7+$Z53)-SUM($B54:S54),INT(T$6/$X53)*$X$7-T52*($X$7+$Z53)*($Y53-1)-SUM($B54:S54))+IF($Y53&gt;1,IF(INT(T$6/$X53)&gt;0,$Z53-$AA53,0),-$AA53)</f>
        <v>0</v>
      </c>
      <c r="U54" s="603">
        <f>IF(INT(U$6/$X53)*$X$7&gt;U52*($X$7+$Z53)*$Y53,U52*($X$7+$Z53)-SUM($B54:T54),INT(U$6/$X53)*$X$7-U52*($X$7+$Z53)*($Y53-1)-SUM($B54:T54))+IF($Y53&gt;1,IF(INT(U$6/$X53)&gt;0,$Z53-$AA53,0),-$AA53)</f>
        <v>0</v>
      </c>
      <c r="V54" s="603">
        <f>IF(INT(V$6/$X53)*$X$7&gt;V52*($X$7+$Z53)*$Y53,V52*($X$7+$Z53)-SUM($B54:U54),INT(V$6/$X53)*$X$7-V52*($X$7+$Z53)*($Y53-1)-SUM($B54:U54))+IF($Y53&gt;1,IF(INT(V$6/$X53)&gt;0,$Z53-$AA53,0),-$AA53)</f>
        <v>0</v>
      </c>
      <c r="W54" s="681"/>
      <c r="X54"/>
      <c r="Y54"/>
      <c r="Z54"/>
    </row>
    <row r="55" spans="1:28" s="102" customFormat="1">
      <c r="W55" s="668"/>
    </row>
    <row r="56" spans="1:28" s="102" customFormat="1" hidden="1">
      <c r="A56" s="140" t="s">
        <v>934</v>
      </c>
      <c r="B56" s="603"/>
      <c r="C56" s="140">
        <f t="shared" ref="C56:V56" si="17">INT((INT(C$6/$X57)*$X$7+$X$7+$Z57-1)/($X$7+$Z57)/$Y57)</f>
        <v>0</v>
      </c>
      <c r="D56" s="140">
        <f t="shared" si="17"/>
        <v>0</v>
      </c>
      <c r="E56" s="140">
        <f t="shared" si="17"/>
        <v>0</v>
      </c>
      <c r="F56" s="140">
        <f t="shared" si="17"/>
        <v>0</v>
      </c>
      <c r="G56" s="140">
        <f t="shared" si="17"/>
        <v>0</v>
      </c>
      <c r="H56" s="140">
        <f t="shared" si="17"/>
        <v>0</v>
      </c>
      <c r="I56" s="140">
        <f t="shared" si="17"/>
        <v>0</v>
      </c>
      <c r="J56" s="140">
        <f t="shared" si="17"/>
        <v>0</v>
      </c>
      <c r="K56" s="140">
        <f t="shared" si="17"/>
        <v>0</v>
      </c>
      <c r="L56" s="140">
        <f t="shared" si="17"/>
        <v>0</v>
      </c>
      <c r="M56" s="140">
        <f t="shared" si="17"/>
        <v>0</v>
      </c>
      <c r="N56" s="140">
        <f t="shared" si="17"/>
        <v>0</v>
      </c>
      <c r="O56" s="140">
        <f t="shared" si="17"/>
        <v>0</v>
      </c>
      <c r="P56" s="140">
        <f t="shared" si="17"/>
        <v>0</v>
      </c>
      <c r="Q56" s="140">
        <f t="shared" si="17"/>
        <v>0</v>
      </c>
      <c r="R56" s="140">
        <f t="shared" si="17"/>
        <v>0</v>
      </c>
      <c r="S56" s="140">
        <f t="shared" si="17"/>
        <v>0</v>
      </c>
      <c r="T56" s="140">
        <f t="shared" si="17"/>
        <v>0</v>
      </c>
      <c r="U56" s="140">
        <f t="shared" si="17"/>
        <v>0</v>
      </c>
      <c r="V56" s="140">
        <f t="shared" si="17"/>
        <v>0</v>
      </c>
    </row>
    <row r="57" spans="1:28" s="102" customFormat="1">
      <c r="A57" s="140" t="s">
        <v>935</v>
      </c>
      <c r="B57" s="603" t="s">
        <v>278</v>
      </c>
      <c r="C57" s="603">
        <f>IF($Y57=1,0,$X$7*(INT(C$6/$X57)-INT(B$6/$X57))-IF(SUM($B57:B57)&gt;0,C58,0))</f>
        <v>0</v>
      </c>
      <c r="D57" s="603">
        <f>IF($Y57=1,0,$X$7*(INT(D$6/$X57)-INT(C$6/$X57))-IF(SUM($B57:C57)&gt;0,D58,0))</f>
        <v>0</v>
      </c>
      <c r="E57" s="603">
        <f>IF($Y57=1,0,$X$7*(INT(E$6/$X57)-INT(D$6/$X57))-IF(SUM($B57:D57)&gt;0,E58,0))</f>
        <v>0</v>
      </c>
      <c r="F57" s="603">
        <f>IF($Y57=1,0,$X$7*(INT(F$6/$X57)-INT(E$6/$X57))-IF(SUM($B57:E57)&gt;0,F58,0))</f>
        <v>0</v>
      </c>
      <c r="G57" s="603">
        <f>IF($Y57=1,0,$X$7*(INT(G$6/$X57)-INT(F$6/$X57))-IF(SUM($B57:F57)&gt;0,G58,0))</f>
        <v>0</v>
      </c>
      <c r="H57" s="603">
        <f>IF($Y57=1,0,$X$7*(INT(H$6/$X57)-INT(G$6/$X57))-IF(SUM($B57:G57)&gt;0,H58,0))</f>
        <v>0</v>
      </c>
      <c r="I57" s="603">
        <f>IF($Y57=1,0,$X$7*(INT(I$6/$X57)-INT(H$6/$X57))-IF(SUM($B57:H57)&gt;0,I58,0))</f>
        <v>0</v>
      </c>
      <c r="J57" s="603">
        <f>IF($Y57=1,0,$X$7*(INT(J$6/$X57)-INT(I$6/$X57))-IF(SUM($B57:I57)&gt;0,J58,0))</f>
        <v>0</v>
      </c>
      <c r="K57" s="603">
        <f>IF($Y57=1,0,$X$7*(INT(K$6/$X57)-INT(J$6/$X57))-IF(SUM($B57:J57)&gt;0,K58,0))</f>
        <v>0</v>
      </c>
      <c r="L57" s="603">
        <f>IF($Y57=1,0,$X$7*(INT(L$6/$X57)-INT(K$6/$X57))-IF(SUM($B57:K57)&gt;0,L58,0))</f>
        <v>0</v>
      </c>
      <c r="M57" s="603">
        <f>IF($Y57=1,0,$X$7*(INT(M$6/$X57)-INT(L$6/$X57))-IF(SUM($B57:L57)&gt;0,M58,0))</f>
        <v>0</v>
      </c>
      <c r="N57" s="603">
        <f>IF($Y57=1,0,$X$7*(INT(N$6/$X57)-INT(M$6/$X57))-IF(SUM($B57:M57)&gt;0,N58,0))</f>
        <v>0</v>
      </c>
      <c r="O57" s="603">
        <f>IF($Y57=1,0,$X$7*(INT(O$6/$X57)-INT(N$6/$X57))-IF(SUM($B57:N57)&gt;0,O58,0))</f>
        <v>0</v>
      </c>
      <c r="P57" s="603">
        <f>IF($Y57=1,0,$X$7*(INT(P$6/$X57)-INT(O$6/$X57))-IF(SUM($B57:O57)&gt;0,P58,0))</f>
        <v>0</v>
      </c>
      <c r="Q57" s="603">
        <f>IF($Y57=1,0,$X$7*(INT(Q$6/$X57)-INT(P$6/$X57))-IF(SUM($B57:P57)&gt;0,Q58,0))</f>
        <v>0</v>
      </c>
      <c r="R57" s="603">
        <f>IF($Y57=1,0,$X$7*(INT(R$6/$X57)-INT(Q$6/$X57))-IF(SUM($B57:Q57)&gt;0,R58,0))</f>
        <v>0</v>
      </c>
      <c r="S57" s="603">
        <f>IF($Y57=1,0,$X$7*(INT(S$6/$X57)-INT(R$6/$X57))-IF(SUM($B57:R57)&gt;0,S58,0))</f>
        <v>0</v>
      </c>
      <c r="T57" s="603">
        <f>IF($Y57=1,0,$X$7*(INT(T$6/$X57)-INT(S$6/$X57))-IF(SUM($B57:S57)&gt;0,T58,0))</f>
        <v>0</v>
      </c>
      <c r="U57" s="603">
        <f>IF($Y57=1,0,$X$7*(INT(U$6/$X57)-INT(T$6/$X57))-IF(SUM($B57:T57)&gt;0,U58,0))</f>
        <v>0</v>
      </c>
      <c r="V57" s="603">
        <f>IF($Y57=1,0,$X$7*(INT(V$6/$X57)-INT(U$6/$X57))-IF(SUM($B57:U57)&gt;0,V58,0))</f>
        <v>0</v>
      </c>
      <c r="W57" s="678" t="str">
        <f xml:space="preserve"> 'GT schd cost(7EA)'!A23</f>
        <v>Row 1 Support Ring</v>
      </c>
      <c r="X57" s="678">
        <f>IF($AD$6=1,'GTDB(7EA)'!B26,'GTDB(7EA)'!G26)</f>
        <v>24000</v>
      </c>
      <c r="Y57" s="678">
        <f>IF($AD$6=1,'GTDB(7EA)'!C26,'GTDB(7EA)'!H26)</f>
        <v>3</v>
      </c>
      <c r="Z57" s="679">
        <v>1</v>
      </c>
      <c r="AA57" s="834">
        <f>'Initial_Spares(7EA) '!$E$20</f>
        <v>0</v>
      </c>
      <c r="AB57" s="642">
        <f>'GT schd cost(7EA)'!X23+'GT schd cost(7EA)'!X46</f>
        <v>0</v>
      </c>
    </row>
    <row r="58" spans="1:28" s="102" customFormat="1">
      <c r="A58" s="140" t="s">
        <v>936</v>
      </c>
      <c r="B58" s="603" t="s">
        <v>278</v>
      </c>
      <c r="C58" s="603">
        <f>IF(INT(C$6/$X57)*$X$7&gt;C56*($X$7+$Z57)*$Y57,C56*($X$7+$Z57)-SUM($B58:B58),INT(C$6/$X57)*$X$7-C56*($X$7+$Z57)*($Y57-1)-SUM($B58:B58))+IF($Y57&gt;1,IF(INT(C$6/$X57)&gt;0,$Z57-$AA57,0),-$AA57)</f>
        <v>0</v>
      </c>
      <c r="D58" s="603">
        <f>IF(INT(D$6/$X57)*$X$7&gt;D56*($X$7+$Z57)*$Y57,D56*($X$7+$Z57)-SUM($B58:C58),INT(D$6/$X57)*$X$7-D56*($X$7+$Z57)*($Y57-1)-SUM($B58:C58))+IF($Y57&gt;1,IF(INT(D$6/$X57)&gt;0,$Z57-$AA57,0),-$AA57)</f>
        <v>0</v>
      </c>
      <c r="E58" s="603">
        <f>IF(INT(E$6/$X57)*$X$7&gt;E56*($X$7+$Z57)*$Y57,E56*($X$7+$Z57)-SUM($B58:D58),INT(E$6/$X57)*$X$7-E56*($X$7+$Z57)*($Y57-1)-SUM($B58:D58))+IF($Y57&gt;1,IF(INT(E$6/$X57)&gt;0,$Z57-$AA57,0),-$AA57)</f>
        <v>0</v>
      </c>
      <c r="F58" s="603">
        <f>IF(INT(F$6/$X57)*$X$7&gt;F56*($X$7+$Z57)*$Y57,F56*($X$7+$Z57)-SUM($B58:E58),INT(F$6/$X57)*$X$7-F56*($X$7+$Z57)*($Y57-1)-SUM($B58:E58))+IF($Y57&gt;1,IF(INT(F$6/$X57)&gt;0,$Z57-$AA57,0),-$AA57)</f>
        <v>0</v>
      </c>
      <c r="G58" s="603">
        <f>IF(INT(G$6/$X57)*$X$7&gt;G56*($X$7+$Z57)*$Y57,G56*($X$7+$Z57)-SUM($B58:F58),INT(G$6/$X57)*$X$7-G56*($X$7+$Z57)*($Y57-1)-SUM($B58:F58))+IF($Y57&gt;1,IF(INT(G$6/$X57)&gt;0,$Z57-$AA57,0),-$AA57)</f>
        <v>0</v>
      </c>
      <c r="H58" s="603">
        <f>IF(INT(H$6/$X57)*$X$7&gt;H56*($X$7+$Z57)*$Y57,H56*($X$7+$Z57)-SUM($B58:G58),INT(H$6/$X57)*$X$7-H56*($X$7+$Z57)*($Y57-1)-SUM($B58:G58))+IF($Y57&gt;1,IF(INT(H$6/$X57)&gt;0,$Z57-$AA57,0),-$AA57)</f>
        <v>0</v>
      </c>
      <c r="I58" s="603">
        <f>IF(INT(I$6/$X57)*$X$7&gt;I56*($X$7+$Z57)*$Y57,I56*($X$7+$Z57)-SUM($B58:H58),INT(I$6/$X57)*$X$7-I56*($X$7+$Z57)*($Y57-1)-SUM($B58:H58))+IF($Y57&gt;1,IF(INT(I$6/$X57)&gt;0,$Z57-$AA57,0),-$AA57)</f>
        <v>0</v>
      </c>
      <c r="J58" s="603">
        <f>IF(INT(J$6/$X57)*$X$7&gt;J56*($X$7+$Z57)*$Y57,J56*($X$7+$Z57)-SUM($B58:I58),INT(J$6/$X57)*$X$7-J56*($X$7+$Z57)*($Y57-1)-SUM($B58:I58))+IF($Y57&gt;1,IF(INT(J$6/$X57)&gt;0,$Z57-$AA57,0),-$AA57)</f>
        <v>0</v>
      </c>
      <c r="K58" s="603">
        <f>IF(INT(K$6/$X57)*$X$7&gt;K56*($X$7+$Z57)*$Y57,K56*($X$7+$Z57)-SUM($B58:J58),INT(K$6/$X57)*$X$7-K56*($X$7+$Z57)*($Y57-1)-SUM($B58:J58))+IF($Y57&gt;1,IF(INT(K$6/$X57)&gt;0,$Z57-$AA57,0),-$AA57)</f>
        <v>0</v>
      </c>
      <c r="L58" s="603">
        <f>IF(INT(L$6/$X57)*$X$7&gt;L56*($X$7+$Z57)*$Y57,L56*($X$7+$Z57)-SUM($B58:K58),INT(L$6/$X57)*$X$7-L56*($X$7+$Z57)*($Y57-1)-SUM($B58:K58))+IF($Y57&gt;1,IF(INT(L$6/$X57)&gt;0,$Z57-$AA57,0),-$AA57)</f>
        <v>0</v>
      </c>
      <c r="M58" s="603">
        <f>IF(INT(M$6/$X57)*$X$7&gt;M56*($X$7+$Z57)*$Y57,M56*($X$7+$Z57)-SUM($B58:L58),INT(M$6/$X57)*$X$7-M56*($X$7+$Z57)*($Y57-1)-SUM($B58:L58))+IF($Y57&gt;1,IF(INT(M$6/$X57)&gt;0,$Z57-$AA57,0),-$AA57)</f>
        <v>0</v>
      </c>
      <c r="N58" s="603">
        <f>IF(INT(N$6/$X57)*$X$7&gt;N56*($X$7+$Z57)*$Y57,N56*($X$7+$Z57)-SUM($B58:M58),INT(N$6/$X57)*$X$7-N56*($X$7+$Z57)*($Y57-1)-SUM($B58:M58))+IF($Y57&gt;1,IF(INT(N$6/$X57)&gt;0,$Z57-$AA57,0),-$AA57)</f>
        <v>0</v>
      </c>
      <c r="O58" s="603">
        <f>IF(INT(O$6/$X57)*$X$7&gt;O56*($X$7+$Z57)*$Y57,O56*($X$7+$Z57)-SUM($B58:N58),INT(O$6/$X57)*$X$7-O56*($X$7+$Z57)*($Y57-1)-SUM($B58:N58))+IF($Y57&gt;1,IF(INT(O$6/$X57)&gt;0,$Z57-$AA57,0),-$AA57)</f>
        <v>0</v>
      </c>
      <c r="P58" s="603">
        <f>IF(INT(P$6/$X57)*$X$7&gt;P56*($X$7+$Z57)*$Y57,P56*($X$7+$Z57)-SUM($B58:O58),INT(P$6/$X57)*$X$7-P56*($X$7+$Z57)*($Y57-1)-SUM($B58:O58))+IF($Y57&gt;1,IF(INT(P$6/$X57)&gt;0,$Z57-$AA57,0),-$AA57)</f>
        <v>0</v>
      </c>
      <c r="Q58" s="603">
        <f>IF(INT(Q$6/$X57)*$X$7&gt;Q56*($X$7+$Z57)*$Y57,Q56*($X$7+$Z57)-SUM($B58:P58),INT(Q$6/$X57)*$X$7-Q56*($X$7+$Z57)*($Y57-1)-SUM($B58:P58))+IF($Y57&gt;1,IF(INT(Q$6/$X57)&gt;0,$Z57-$AA57,0),-$AA57)</f>
        <v>0</v>
      </c>
      <c r="R58" s="603">
        <f>IF(INT(R$6/$X57)*$X$7&gt;R56*($X$7+$Z57)*$Y57,R56*($X$7+$Z57)-SUM($B58:Q58),INT(R$6/$X57)*$X$7-R56*($X$7+$Z57)*($Y57-1)-SUM($B58:Q58))+IF($Y57&gt;1,IF(INT(R$6/$X57)&gt;0,$Z57-$AA57,0),-$AA57)</f>
        <v>0</v>
      </c>
      <c r="S58" s="603">
        <f>IF(INT(S$6/$X57)*$X$7&gt;S56*($X$7+$Z57)*$Y57,S56*($X$7+$Z57)-SUM($B58:R58),INT(S$6/$X57)*$X$7-S56*($X$7+$Z57)*($Y57-1)-SUM($B58:R58))+IF($Y57&gt;1,IF(INT(S$6/$X57)&gt;0,$Z57-$AA57,0),-$AA57)</f>
        <v>0</v>
      </c>
      <c r="T58" s="603">
        <f>IF(INT(T$6/$X57)*$X$7&gt;T56*($X$7+$Z57)*$Y57,T56*($X$7+$Z57)-SUM($B58:S58),INT(T$6/$X57)*$X$7-T56*($X$7+$Z57)*($Y57-1)-SUM($B58:S58))+IF($Y57&gt;1,IF(INT(T$6/$X57)&gt;0,$Z57-$AA57,0),-$AA57)</f>
        <v>0</v>
      </c>
      <c r="U58" s="603">
        <f>IF(INT(U$6/$X57)*$X$7&gt;U56*($X$7+$Z57)*$Y57,U56*($X$7+$Z57)-SUM($B58:T58),INT(U$6/$X57)*$X$7-U56*($X$7+$Z57)*($Y57-1)-SUM($B58:T58))+IF($Y57&gt;1,IF(INT(U$6/$X57)&gt;0,$Z57-$AA57,0),-$AA57)</f>
        <v>0</v>
      </c>
      <c r="V58" s="603">
        <f>IF(INT(V$6/$X57)*$X$7&gt;V56*($X$7+$Z57)*$Y57,V56*($X$7+$Z57)-SUM($B58:U58),INT(V$6/$X57)*$X$7-V56*($X$7+$Z57)*($Y57-1)-SUM($B58:U58))+IF($Y57&gt;1,IF(INT(V$6/$X57)&gt;0,$Z57-$AA57,0),-$AA57)</f>
        <v>0</v>
      </c>
      <c r="W58" s="681"/>
      <c r="X58"/>
      <c r="Y58"/>
      <c r="Z58"/>
    </row>
    <row r="59" spans="1:28" s="102" customFormat="1">
      <c r="B59" s="615"/>
      <c r="C59" s="615"/>
      <c r="D59" s="615"/>
      <c r="E59" s="615"/>
      <c r="F59" s="615"/>
      <c r="G59" s="615"/>
      <c r="H59" s="615"/>
      <c r="I59" s="615"/>
      <c r="J59" s="615"/>
      <c r="K59" s="615"/>
      <c r="W59" s="663"/>
    </row>
    <row r="60" spans="1:28" s="102" customFormat="1" hidden="1">
      <c r="A60" s="140" t="s">
        <v>934</v>
      </c>
      <c r="B60" s="603"/>
      <c r="C60" s="140">
        <f t="shared" ref="C60:V60" si="18">INT((INT(C$6/$X61)*$X$7+$X$7+$Z61-1)/($X$7+$Z61)/$Y61)</f>
        <v>0</v>
      </c>
      <c r="D60" s="140">
        <f t="shared" si="18"/>
        <v>0</v>
      </c>
      <c r="E60" s="140">
        <f t="shared" si="18"/>
        <v>0</v>
      </c>
      <c r="F60" s="140">
        <f t="shared" si="18"/>
        <v>0</v>
      </c>
      <c r="G60" s="140">
        <f t="shared" si="18"/>
        <v>0</v>
      </c>
      <c r="H60" s="140">
        <f t="shared" si="18"/>
        <v>0</v>
      </c>
      <c r="I60" s="140">
        <f t="shared" si="18"/>
        <v>0</v>
      </c>
      <c r="J60" s="140">
        <f t="shared" si="18"/>
        <v>0</v>
      </c>
      <c r="K60" s="140">
        <f t="shared" si="18"/>
        <v>0</v>
      </c>
      <c r="L60" s="140">
        <f t="shared" si="18"/>
        <v>0</v>
      </c>
      <c r="M60" s="140">
        <f t="shared" si="18"/>
        <v>0</v>
      </c>
      <c r="N60" s="140">
        <f t="shared" si="18"/>
        <v>0</v>
      </c>
      <c r="O60" s="140">
        <f t="shared" si="18"/>
        <v>0</v>
      </c>
      <c r="P60" s="140">
        <f t="shared" si="18"/>
        <v>0</v>
      </c>
      <c r="Q60" s="140">
        <f t="shared" si="18"/>
        <v>0</v>
      </c>
      <c r="R60" s="140">
        <f t="shared" si="18"/>
        <v>0</v>
      </c>
      <c r="S60" s="140">
        <f t="shared" si="18"/>
        <v>0</v>
      </c>
      <c r="T60" s="140">
        <f t="shared" si="18"/>
        <v>0</v>
      </c>
      <c r="U60" s="140">
        <f t="shared" si="18"/>
        <v>0</v>
      </c>
      <c r="V60" s="140">
        <f t="shared" si="18"/>
        <v>0</v>
      </c>
    </row>
    <row r="61" spans="1:28" s="102" customFormat="1">
      <c r="A61" s="140" t="s">
        <v>935</v>
      </c>
      <c r="B61" s="603" t="s">
        <v>278</v>
      </c>
      <c r="C61" s="603">
        <f>IF($Y61=1,0,$X$7*(INT(C$6/$X61)-INT(B$6/$X61))-IF(SUM($B61:B61)&gt;0,C62,0))</f>
        <v>0</v>
      </c>
      <c r="D61" s="603">
        <f>IF($Y61=1,0,$X$7*(INT(D$6/$X61)-INT(C$6/$X61))-IF(SUM($B61:C61)&gt;0,D62,0))</f>
        <v>0</v>
      </c>
      <c r="E61" s="603">
        <f>IF($Y61=1,0,$X$7*(INT(E$6/$X61)-INT(D$6/$X61))-IF(SUM($B61:D61)&gt;0,E62,0))</f>
        <v>0</v>
      </c>
      <c r="F61" s="603">
        <f>IF($Y61=1,0,$X$7*(INT(F$6/$X61)-INT(E$6/$X61))-IF(SUM($B61:E61)&gt;0,F62,0))</f>
        <v>0</v>
      </c>
      <c r="G61" s="603">
        <f>IF($Y61=1,0,$X$7*(INT(G$6/$X61)-INT(F$6/$X61))-IF(SUM($B61:F61)&gt;0,G62,0))</f>
        <v>0</v>
      </c>
      <c r="H61" s="603">
        <f>IF($Y61=1,0,$X$7*(INT(H$6/$X61)-INT(G$6/$X61))-IF(SUM($B61:G61)&gt;0,H62,0))</f>
        <v>0</v>
      </c>
      <c r="I61" s="603">
        <f>IF($Y61=1,0,$X$7*(INT(I$6/$X61)-INT(H$6/$X61))-IF(SUM($B61:H61)&gt;0,I62,0))</f>
        <v>0</v>
      </c>
      <c r="J61" s="603">
        <f>IF($Y61=1,0,$X$7*(INT(J$6/$X61)-INT(I$6/$X61))-IF(SUM($B61:I61)&gt;0,J62,0))</f>
        <v>0</v>
      </c>
      <c r="K61" s="603">
        <f>IF($Y61=1,0,$X$7*(INT(K$6/$X61)-INT(J$6/$X61))-IF(SUM($B61:J61)&gt;0,K62,0))</f>
        <v>0</v>
      </c>
      <c r="L61" s="603">
        <f>IF($Y61=1,0,$X$7*(INT(L$6/$X61)-INT(K$6/$X61))-IF(SUM($B61:K61)&gt;0,L62,0))</f>
        <v>0</v>
      </c>
      <c r="M61" s="603">
        <f>IF($Y61=1,0,$X$7*(INT(M$6/$X61)-INT(L$6/$X61))-IF(SUM($B61:L61)&gt;0,M62,0))</f>
        <v>0</v>
      </c>
      <c r="N61" s="603">
        <f>IF($Y61=1,0,$X$7*(INT(N$6/$X61)-INT(M$6/$X61))-IF(SUM($B61:M61)&gt;0,N62,0))</f>
        <v>0</v>
      </c>
      <c r="O61" s="603">
        <f>IF($Y61=1,0,$X$7*(INT(O$6/$X61)-INT(N$6/$X61))-IF(SUM($B61:N61)&gt;0,O62,0))</f>
        <v>0</v>
      </c>
      <c r="P61" s="603">
        <f>IF($Y61=1,0,$X$7*(INT(P$6/$X61)-INT(O$6/$X61))-IF(SUM($B61:O61)&gt;0,P62,0))</f>
        <v>0</v>
      </c>
      <c r="Q61" s="603">
        <f>IF($Y61=1,0,$X$7*(INT(Q$6/$X61)-INT(P$6/$X61))-IF(SUM($B61:P61)&gt;0,Q62,0))</f>
        <v>0</v>
      </c>
      <c r="R61" s="603">
        <f>IF($Y61=1,0,$X$7*(INT(R$6/$X61)-INT(Q$6/$X61))-IF(SUM($B61:Q61)&gt;0,R62,0))</f>
        <v>0</v>
      </c>
      <c r="S61" s="603">
        <f>IF($Y61=1,0,$X$7*(INT(S$6/$X61)-INT(R$6/$X61))-IF(SUM($B61:R61)&gt;0,S62,0))</f>
        <v>0</v>
      </c>
      <c r="T61" s="603">
        <f>IF($Y61=1,0,$X$7*(INT(T$6/$X61)-INT(S$6/$X61))-IF(SUM($B61:S61)&gt;0,T62,0))</f>
        <v>0</v>
      </c>
      <c r="U61" s="603">
        <f>IF($Y61=1,0,$X$7*(INT(U$6/$X61)-INT(T$6/$X61))-IF(SUM($B61:T61)&gt;0,U62,0))</f>
        <v>0</v>
      </c>
      <c r="V61" s="603">
        <f>IF($Y61=1,0,$X$7*(INT(V$6/$X61)-INT(U$6/$X61))-IF(SUM($B61:U61)&gt;0,V62,0))</f>
        <v>0</v>
      </c>
      <c r="W61" s="678" t="str">
        <f xml:space="preserve"> 'GT schd cost(7EA)'!A24</f>
        <v xml:space="preserve">1st Stage Shroud Blocks </v>
      </c>
      <c r="X61" s="678">
        <f>IF($AD$6=1,'GTDB(7EA)'!B27,'GTDB(7EA)'!G27)</f>
        <v>24000</v>
      </c>
      <c r="Y61" s="678">
        <f>IF($AD$6=1,'GTDB(7EA)'!C27,'GTDB(7EA)'!H27)</f>
        <v>2</v>
      </c>
      <c r="Z61" s="679">
        <v>1</v>
      </c>
      <c r="AA61" s="834">
        <f>'Initial_Spares(7EA) '!$E$21</f>
        <v>0</v>
      </c>
      <c r="AB61" s="642">
        <f>'GT schd cost(7EA)'!X24+'GT schd cost(7EA)'!X47</f>
        <v>0</v>
      </c>
    </row>
    <row r="62" spans="1:28" s="102" customFormat="1">
      <c r="A62" s="140" t="s">
        <v>936</v>
      </c>
      <c r="B62" s="603" t="s">
        <v>278</v>
      </c>
      <c r="C62" s="603">
        <f>IF(INT(C$6/$X61)*$X$7&gt;C60*($X$7+$Z61)*$Y61,C60*($X$7+$Z61)-SUM($B62:B62),INT(C$6/$X61)*$X$7-C60*($X$7+$Z61)*($Y61-1)-SUM($B62:B62))+IF($Y61&gt;1,IF(INT(C$6/$X61)&gt;0,$Z61-$AA61,0),-$AA61)</f>
        <v>0</v>
      </c>
      <c r="D62" s="603">
        <f>IF(INT(D$6/$X61)*$X$7&gt;D60*($X$7+$Z61)*$Y61,D60*($X$7+$Z61)-SUM($B62:C62),INT(D$6/$X61)*$X$7-D60*($X$7+$Z61)*($Y61-1)-SUM($B62:C62))+IF($Y61&gt;1,IF(INT(D$6/$X61)&gt;0,$Z61-$AA61,0),-$AA61)</f>
        <v>0</v>
      </c>
      <c r="E62" s="603">
        <f>IF(INT(E$6/$X61)*$X$7&gt;E60*($X$7+$Z61)*$Y61,E60*($X$7+$Z61)-SUM($B62:D62),INT(E$6/$X61)*$X$7-E60*($X$7+$Z61)*($Y61-1)-SUM($B62:D62))+IF($Y61&gt;1,IF(INT(E$6/$X61)&gt;0,$Z61-$AA61,0),-$AA61)</f>
        <v>0</v>
      </c>
      <c r="F62" s="603">
        <f>IF(INT(F$6/$X61)*$X$7&gt;F60*($X$7+$Z61)*$Y61,F60*($X$7+$Z61)-SUM($B62:E62),INT(F$6/$X61)*$X$7-F60*($X$7+$Z61)*($Y61-1)-SUM($B62:E62))+IF($Y61&gt;1,IF(INT(F$6/$X61)&gt;0,$Z61-$AA61,0),-$AA61)</f>
        <v>0</v>
      </c>
      <c r="G62" s="603">
        <f>IF(INT(G$6/$X61)*$X$7&gt;G60*($X$7+$Z61)*$Y61,G60*($X$7+$Z61)-SUM($B62:F62),INT(G$6/$X61)*$X$7-G60*($X$7+$Z61)*($Y61-1)-SUM($B62:F62))+IF($Y61&gt;1,IF(INT(G$6/$X61)&gt;0,$Z61-$AA61,0),-$AA61)</f>
        <v>0</v>
      </c>
      <c r="H62" s="603">
        <f>IF(INT(H$6/$X61)*$X$7&gt;H60*($X$7+$Z61)*$Y61,H60*($X$7+$Z61)-SUM($B62:G62),INT(H$6/$X61)*$X$7-H60*($X$7+$Z61)*($Y61-1)-SUM($B62:G62))+IF($Y61&gt;1,IF(INT(H$6/$X61)&gt;0,$Z61-$AA61,0),-$AA61)</f>
        <v>0</v>
      </c>
      <c r="I62" s="603">
        <f>IF(INT(I$6/$X61)*$X$7&gt;I60*($X$7+$Z61)*$Y61,I60*($X$7+$Z61)-SUM($B62:H62),INT(I$6/$X61)*$X$7-I60*($X$7+$Z61)*($Y61-1)-SUM($B62:H62))+IF($Y61&gt;1,IF(INT(I$6/$X61)&gt;0,$Z61-$AA61,0),-$AA61)</f>
        <v>0</v>
      </c>
      <c r="J62" s="603">
        <f>IF(INT(J$6/$X61)*$X$7&gt;J60*($X$7+$Z61)*$Y61,J60*($X$7+$Z61)-SUM($B62:I62),INT(J$6/$X61)*$X$7-J60*($X$7+$Z61)*($Y61-1)-SUM($B62:I62))+IF($Y61&gt;1,IF(INT(J$6/$X61)&gt;0,$Z61-$AA61,0),-$AA61)</f>
        <v>0</v>
      </c>
      <c r="K62" s="603">
        <f>IF(INT(K$6/$X61)*$X$7&gt;K60*($X$7+$Z61)*$Y61,K60*($X$7+$Z61)-SUM($B62:J62),INT(K$6/$X61)*$X$7-K60*($X$7+$Z61)*($Y61-1)-SUM($B62:J62))+IF($Y61&gt;1,IF(INT(K$6/$X61)&gt;0,$Z61-$AA61,0),-$AA61)</f>
        <v>0</v>
      </c>
      <c r="L62" s="603">
        <f>IF(INT(L$6/$X61)*$X$7&gt;L60*($X$7+$Z61)*$Y61,L60*($X$7+$Z61)-SUM($B62:K62),INT(L$6/$X61)*$X$7-L60*($X$7+$Z61)*($Y61-1)-SUM($B62:K62))+IF($Y61&gt;1,IF(INT(L$6/$X61)&gt;0,$Z61-$AA61,0),-$AA61)</f>
        <v>0</v>
      </c>
      <c r="M62" s="603">
        <f>IF(INT(M$6/$X61)*$X$7&gt;M60*($X$7+$Z61)*$Y61,M60*($X$7+$Z61)-SUM($B62:L62),INT(M$6/$X61)*$X$7-M60*($X$7+$Z61)*($Y61-1)-SUM($B62:L62))+IF($Y61&gt;1,IF(INT(M$6/$X61)&gt;0,$Z61-$AA61,0),-$AA61)</f>
        <v>0</v>
      </c>
      <c r="N62" s="603">
        <f>IF(INT(N$6/$X61)*$X$7&gt;N60*($X$7+$Z61)*$Y61,N60*($X$7+$Z61)-SUM($B62:M62),INT(N$6/$X61)*$X$7-N60*($X$7+$Z61)*($Y61-1)-SUM($B62:M62))+IF($Y61&gt;1,IF(INT(N$6/$X61)&gt;0,$Z61-$AA61,0),-$AA61)</f>
        <v>0</v>
      </c>
      <c r="O62" s="603">
        <f>IF(INT(O$6/$X61)*$X$7&gt;O60*($X$7+$Z61)*$Y61,O60*($X$7+$Z61)-SUM($B62:N62),INT(O$6/$X61)*$X$7-O60*($X$7+$Z61)*($Y61-1)-SUM($B62:N62))+IF($Y61&gt;1,IF(INT(O$6/$X61)&gt;0,$Z61-$AA61,0),-$AA61)</f>
        <v>0</v>
      </c>
      <c r="P62" s="603">
        <f>IF(INT(P$6/$X61)*$X$7&gt;P60*($X$7+$Z61)*$Y61,P60*($X$7+$Z61)-SUM($B62:O62),INT(P$6/$X61)*$X$7-P60*($X$7+$Z61)*($Y61-1)-SUM($B62:O62))+IF($Y61&gt;1,IF(INT(P$6/$X61)&gt;0,$Z61-$AA61,0),-$AA61)</f>
        <v>0</v>
      </c>
      <c r="Q62" s="603">
        <f>IF(INT(Q$6/$X61)*$X$7&gt;Q60*($X$7+$Z61)*$Y61,Q60*($X$7+$Z61)-SUM($B62:P62),INT(Q$6/$X61)*$X$7-Q60*($X$7+$Z61)*($Y61-1)-SUM($B62:P62))+IF($Y61&gt;1,IF(INT(Q$6/$X61)&gt;0,$Z61-$AA61,0),-$AA61)</f>
        <v>0</v>
      </c>
      <c r="R62" s="603">
        <f>IF(INT(R$6/$X61)*$X$7&gt;R60*($X$7+$Z61)*$Y61,R60*($X$7+$Z61)-SUM($B62:Q62),INT(R$6/$X61)*$X$7-R60*($X$7+$Z61)*($Y61-1)-SUM($B62:Q62))+IF($Y61&gt;1,IF(INT(R$6/$X61)&gt;0,$Z61-$AA61,0),-$AA61)</f>
        <v>0</v>
      </c>
      <c r="S62" s="603">
        <f>IF(INT(S$6/$X61)*$X$7&gt;S60*($X$7+$Z61)*$Y61,S60*($X$7+$Z61)-SUM($B62:R62),INT(S$6/$X61)*$X$7-S60*($X$7+$Z61)*($Y61-1)-SUM($B62:R62))+IF($Y61&gt;1,IF(INT(S$6/$X61)&gt;0,$Z61-$AA61,0),-$AA61)</f>
        <v>0</v>
      </c>
      <c r="T62" s="603">
        <f>IF(INT(T$6/$X61)*$X$7&gt;T60*($X$7+$Z61)*$Y61,T60*($X$7+$Z61)-SUM($B62:S62),INT(T$6/$X61)*$X$7-T60*($X$7+$Z61)*($Y61-1)-SUM($B62:S62))+IF($Y61&gt;1,IF(INT(T$6/$X61)&gt;0,$Z61-$AA61,0),-$AA61)</f>
        <v>0</v>
      </c>
      <c r="U62" s="603">
        <f>IF(INT(U$6/$X61)*$X$7&gt;U60*($X$7+$Z61)*$Y61,U60*($X$7+$Z61)-SUM($B62:T62),INT(U$6/$X61)*$X$7-U60*($X$7+$Z61)*($Y61-1)-SUM($B62:T62))+IF($Y61&gt;1,IF(INT(U$6/$X61)&gt;0,$Z61-$AA61,0),-$AA61)</f>
        <v>0</v>
      </c>
      <c r="V62" s="603">
        <f>IF(INT(V$6/$X61)*$X$7&gt;V60*($X$7+$Z61)*$Y61,V60*($X$7+$Z61)-SUM($B62:U62),INT(V$6/$X61)*$X$7-V60*($X$7+$Z61)*($Y61-1)-SUM($B62:U62))+IF($Y61&gt;1,IF(INT(V$6/$X61)&gt;0,$Z61-$AA61,0),-$AA61)</f>
        <v>0</v>
      </c>
      <c r="W62" s="681"/>
      <c r="X62"/>
      <c r="Y62"/>
      <c r="Z62"/>
    </row>
    <row r="63" spans="1:28" s="102" customFormat="1">
      <c r="B63" s="615"/>
      <c r="C63" s="615"/>
      <c r="D63" s="615"/>
      <c r="E63" s="615"/>
      <c r="F63" s="615"/>
      <c r="G63" s="615"/>
      <c r="H63" s="615"/>
      <c r="I63" s="615"/>
      <c r="J63" s="615"/>
      <c r="K63" s="615"/>
      <c r="L63" s="615"/>
      <c r="M63" s="615"/>
      <c r="N63" s="615"/>
      <c r="O63" s="615"/>
      <c r="P63" s="615"/>
      <c r="Q63" s="615"/>
      <c r="R63" s="615"/>
      <c r="S63" s="615"/>
      <c r="T63" s="615"/>
      <c r="U63" s="615"/>
      <c r="V63" s="615"/>
      <c r="W63" s="663"/>
    </row>
    <row r="64" spans="1:28" s="102" customFormat="1" hidden="1">
      <c r="A64" s="140" t="s">
        <v>934</v>
      </c>
      <c r="B64" s="603"/>
      <c r="C64" s="140">
        <f t="shared" ref="C64:V64" si="19">INT((INT(C$6/$X65)*$X$7+$X$7+$Z65-1)/($X$7+$Z65)/$Y65)</f>
        <v>0</v>
      </c>
      <c r="D64" s="140">
        <f t="shared" si="19"/>
        <v>0</v>
      </c>
      <c r="E64" s="140">
        <f t="shared" si="19"/>
        <v>0</v>
      </c>
      <c r="F64" s="140">
        <f t="shared" si="19"/>
        <v>0</v>
      </c>
      <c r="G64" s="140">
        <f t="shared" si="19"/>
        <v>0</v>
      </c>
      <c r="H64" s="140">
        <f t="shared" si="19"/>
        <v>0</v>
      </c>
      <c r="I64" s="140">
        <f t="shared" si="19"/>
        <v>0</v>
      </c>
      <c r="J64" s="140">
        <f t="shared" si="19"/>
        <v>0</v>
      </c>
      <c r="K64" s="140">
        <f t="shared" si="19"/>
        <v>0</v>
      </c>
      <c r="L64" s="140">
        <f t="shared" si="19"/>
        <v>0</v>
      </c>
      <c r="M64" s="140">
        <f t="shared" si="19"/>
        <v>0</v>
      </c>
      <c r="N64" s="140">
        <f t="shared" si="19"/>
        <v>0</v>
      </c>
      <c r="O64" s="140">
        <f t="shared" si="19"/>
        <v>0</v>
      </c>
      <c r="P64" s="140">
        <f t="shared" si="19"/>
        <v>0</v>
      </c>
      <c r="Q64" s="140">
        <f t="shared" si="19"/>
        <v>0</v>
      </c>
      <c r="R64" s="140">
        <f t="shared" si="19"/>
        <v>0</v>
      </c>
      <c r="S64" s="140">
        <f t="shared" si="19"/>
        <v>0</v>
      </c>
      <c r="T64" s="140">
        <f t="shared" si="19"/>
        <v>0</v>
      </c>
      <c r="U64" s="140">
        <f t="shared" si="19"/>
        <v>0</v>
      </c>
      <c r="V64" s="140">
        <f t="shared" si="19"/>
        <v>0</v>
      </c>
    </row>
    <row r="65" spans="1:28" s="102" customFormat="1">
      <c r="A65" s="140" t="s">
        <v>935</v>
      </c>
      <c r="B65" s="603" t="s">
        <v>278</v>
      </c>
      <c r="C65" s="603">
        <f>IF($Y65=1,0,$X$7*(INT(C$6/$X65)-INT(B$6/$X65))-IF(SUM($B65:B65)&gt;0,C66,0))</f>
        <v>0</v>
      </c>
      <c r="D65" s="603">
        <f>IF($Y65=1,0,$X$7*(INT(D$6/$X65)-INT(C$6/$X65))-IF(SUM($B65:C65)&gt;0,D66,0))</f>
        <v>0</v>
      </c>
      <c r="E65" s="603">
        <f>IF($Y65=1,0,$X$7*(INT(E$6/$X65)-INT(D$6/$X65))-IF(SUM($B65:D65)&gt;0,E66,0))</f>
        <v>0</v>
      </c>
      <c r="F65" s="603">
        <f>IF($Y65=1,0,$X$7*(INT(F$6/$X65)-INT(E$6/$X65))-IF(SUM($B65:E65)&gt;0,F66,0))</f>
        <v>0</v>
      </c>
      <c r="G65" s="603">
        <f>IF($Y65=1,0,$X$7*(INT(G$6/$X65)-INT(F$6/$X65))-IF(SUM($B65:F65)&gt;0,G66,0))</f>
        <v>0</v>
      </c>
      <c r="H65" s="603">
        <f>IF($Y65=1,0,$X$7*(INT(H$6/$X65)-INT(G$6/$X65))-IF(SUM($B65:G65)&gt;0,H66,0))</f>
        <v>0</v>
      </c>
      <c r="I65" s="603">
        <f>IF($Y65=1,0,$X$7*(INT(I$6/$X65)-INT(H$6/$X65))-IF(SUM($B65:H65)&gt;0,I66,0))</f>
        <v>0</v>
      </c>
      <c r="J65" s="603">
        <f>IF($Y65=1,0,$X$7*(INT(J$6/$X65)-INT(I$6/$X65))-IF(SUM($B65:I65)&gt;0,J66,0))</f>
        <v>0</v>
      </c>
      <c r="K65" s="603">
        <f>IF($Y65=1,0,$X$7*(INT(K$6/$X65)-INT(J$6/$X65))-IF(SUM($B65:J65)&gt;0,K66,0))</f>
        <v>0</v>
      </c>
      <c r="L65" s="603">
        <f>IF($Y65=1,0,$X$7*(INT(L$6/$X65)-INT(K$6/$X65))-IF(SUM($B65:K65)&gt;0,L66,0))</f>
        <v>0</v>
      </c>
      <c r="M65" s="603">
        <f>IF($Y65=1,0,$X$7*(INT(M$6/$X65)-INT(L$6/$X65))-IF(SUM($B65:L65)&gt;0,M66,0))</f>
        <v>0</v>
      </c>
      <c r="N65" s="603">
        <f>IF($Y65=1,0,$X$7*(INT(N$6/$X65)-INT(M$6/$X65))-IF(SUM($B65:M65)&gt;0,N66,0))</f>
        <v>0</v>
      </c>
      <c r="O65" s="603">
        <f>IF($Y65=1,0,$X$7*(INT(O$6/$X65)-INT(N$6/$X65))-IF(SUM($B65:N65)&gt;0,O66,0))</f>
        <v>0</v>
      </c>
      <c r="P65" s="603">
        <f>IF($Y65=1,0,$X$7*(INT(P$6/$X65)-INT(O$6/$X65))-IF(SUM($B65:O65)&gt;0,P66,0))</f>
        <v>0</v>
      </c>
      <c r="Q65" s="603">
        <f>IF($Y65=1,0,$X$7*(INT(Q$6/$X65)-INT(P$6/$X65))-IF(SUM($B65:P65)&gt;0,Q66,0))</f>
        <v>0</v>
      </c>
      <c r="R65" s="603">
        <f>IF($Y65=1,0,$X$7*(INT(R$6/$X65)-INT(Q$6/$X65))-IF(SUM($B65:Q65)&gt;0,R66,0))</f>
        <v>0</v>
      </c>
      <c r="S65" s="603">
        <f>IF($Y65=1,0,$X$7*(INT(S$6/$X65)-INT(R$6/$X65))-IF(SUM($B65:R65)&gt;0,S66,0))</f>
        <v>0</v>
      </c>
      <c r="T65" s="603">
        <f>IF($Y65=1,0,$X$7*(INT(T$6/$X65)-INT(S$6/$X65))-IF(SUM($B65:S65)&gt;0,T66,0))</f>
        <v>0</v>
      </c>
      <c r="U65" s="603">
        <f>IF($Y65=1,0,$X$7*(INT(U$6/$X65)-INT(T$6/$X65))-IF(SUM($B65:T65)&gt;0,U66,0))</f>
        <v>0</v>
      </c>
      <c r="V65" s="603">
        <f>IF($Y65=1,0,$X$7*(INT(V$6/$X65)-INT(U$6/$X65))-IF(SUM($B65:U65)&gt;0,V66,0))</f>
        <v>0</v>
      </c>
      <c r="W65" s="683" t="str">
        <f xml:space="preserve"> 'GT schd cost(7EA)'!A25</f>
        <v>2nd Stage Shroud Blocks</v>
      </c>
      <c r="X65" s="678">
        <f>IF($AD$6=1,'GTDB(7EA)'!B28,'GTDB(7EA)'!G28)</f>
        <v>24000</v>
      </c>
      <c r="Y65" s="678">
        <f>IF($AD$6=1,'GTDB(7EA)'!C28,'GTDB(7EA)'!H28)</f>
        <v>3</v>
      </c>
      <c r="Z65" s="679">
        <v>1</v>
      </c>
      <c r="AA65" s="834">
        <f>'Initial_Spares(7EA) '!$E$22</f>
        <v>0</v>
      </c>
      <c r="AB65" s="642">
        <f>'GT schd cost(7EA)'!X25+'GT schd cost(7EA)'!X48</f>
        <v>0</v>
      </c>
    </row>
    <row r="66" spans="1:28" s="102" customFormat="1">
      <c r="A66" s="140" t="s">
        <v>936</v>
      </c>
      <c r="B66" s="603" t="s">
        <v>278</v>
      </c>
      <c r="C66" s="603">
        <f>IF(INT(C$6/$X65)*$X$7&gt;C64*($X$7+$Z65)*$Y65,C64*($X$7+$Z65)-SUM($B66:B66),INT(C$6/$X65)*$X$7-C64*($X$7+$Z65)*($Y65-1)-SUM($B66:B66))+IF($Y65&gt;1,IF(INT(C$6/$X65)&gt;0,$Z65-$AA65,0),-$AA65)</f>
        <v>0</v>
      </c>
      <c r="D66" s="603">
        <f>IF(INT(D$6/$X65)*$X$7&gt;D64*($X$7+$Z65)*$Y65,D64*($X$7+$Z65)-SUM($B66:C66),INT(D$6/$X65)*$X$7-D64*($X$7+$Z65)*($Y65-1)-SUM($B66:C66))+IF($Y65&gt;1,IF(INT(D$6/$X65)&gt;0,$Z65-$AA65,0),-$AA65)</f>
        <v>0</v>
      </c>
      <c r="E66" s="603">
        <f>IF(INT(E$6/$X65)*$X$7&gt;E64*($X$7+$Z65)*$Y65,E64*($X$7+$Z65)-SUM($B66:D66),INT(E$6/$X65)*$X$7-E64*($X$7+$Z65)*($Y65-1)-SUM($B66:D66))+IF($Y65&gt;1,IF(INT(E$6/$X65)&gt;0,$Z65-$AA65,0),-$AA65)</f>
        <v>0</v>
      </c>
      <c r="F66" s="603">
        <f>IF(INT(F$6/$X65)*$X$7&gt;F64*($X$7+$Z65)*$Y65,F64*($X$7+$Z65)-SUM($B66:E66),INT(F$6/$X65)*$X$7-F64*($X$7+$Z65)*($Y65-1)-SUM($B66:E66))+IF($Y65&gt;1,IF(INT(F$6/$X65)&gt;0,$Z65-$AA65,0),-$AA65)</f>
        <v>0</v>
      </c>
      <c r="G66" s="603">
        <f>IF(INT(G$6/$X65)*$X$7&gt;G64*($X$7+$Z65)*$Y65,G64*($X$7+$Z65)-SUM($B66:F66),INT(G$6/$X65)*$X$7-G64*($X$7+$Z65)*($Y65-1)-SUM($B66:F66))+IF($Y65&gt;1,IF(INT(G$6/$X65)&gt;0,$Z65-$AA65,0),-$AA65)</f>
        <v>0</v>
      </c>
      <c r="H66" s="603">
        <f>IF(INT(H$6/$X65)*$X$7&gt;H64*($X$7+$Z65)*$Y65,H64*($X$7+$Z65)-SUM($B66:G66),INT(H$6/$X65)*$X$7-H64*($X$7+$Z65)*($Y65-1)-SUM($B66:G66))+IF($Y65&gt;1,IF(INT(H$6/$X65)&gt;0,$Z65-$AA65,0),-$AA65)</f>
        <v>0</v>
      </c>
      <c r="I66" s="603">
        <f>IF(INT(I$6/$X65)*$X$7&gt;I64*($X$7+$Z65)*$Y65,I64*($X$7+$Z65)-SUM($B66:H66),INT(I$6/$X65)*$X$7-I64*($X$7+$Z65)*($Y65-1)-SUM($B66:H66))+IF($Y65&gt;1,IF(INT(I$6/$X65)&gt;0,$Z65-$AA65,0),-$AA65)</f>
        <v>0</v>
      </c>
      <c r="J66" s="603">
        <f>IF(INT(J$6/$X65)*$X$7&gt;J64*($X$7+$Z65)*$Y65,J64*($X$7+$Z65)-SUM($B66:I66),INT(J$6/$X65)*$X$7-J64*($X$7+$Z65)*($Y65-1)-SUM($B66:I66))+IF($Y65&gt;1,IF(INT(J$6/$X65)&gt;0,$Z65-$AA65,0),-$AA65)</f>
        <v>0</v>
      </c>
      <c r="K66" s="603">
        <f>IF(INT(K$6/$X65)*$X$7&gt;K64*($X$7+$Z65)*$Y65,K64*($X$7+$Z65)-SUM($B66:J66),INT(K$6/$X65)*$X$7-K64*($X$7+$Z65)*($Y65-1)-SUM($B66:J66))+IF($Y65&gt;1,IF(INT(K$6/$X65)&gt;0,$Z65-$AA65,0),-$AA65)</f>
        <v>0</v>
      </c>
      <c r="L66" s="603">
        <f>IF(INT(L$6/$X65)*$X$7&gt;L64*($X$7+$Z65)*$Y65,L64*($X$7+$Z65)-SUM($B66:K66),INT(L$6/$X65)*$X$7-L64*($X$7+$Z65)*($Y65-1)-SUM($B66:K66))+IF($Y65&gt;1,IF(INT(L$6/$X65)&gt;0,$Z65-$AA65,0),-$AA65)</f>
        <v>0</v>
      </c>
      <c r="M66" s="603">
        <f>IF(INT(M$6/$X65)*$X$7&gt;M64*($X$7+$Z65)*$Y65,M64*($X$7+$Z65)-SUM($B66:L66),INT(M$6/$X65)*$X$7-M64*($X$7+$Z65)*($Y65-1)-SUM($B66:L66))+IF($Y65&gt;1,IF(INT(M$6/$X65)&gt;0,$Z65-$AA65,0),-$AA65)</f>
        <v>0</v>
      </c>
      <c r="N66" s="603">
        <f>IF(INT(N$6/$X65)*$X$7&gt;N64*($X$7+$Z65)*$Y65,N64*($X$7+$Z65)-SUM($B66:M66),INT(N$6/$X65)*$X$7-N64*($X$7+$Z65)*($Y65-1)-SUM($B66:M66))+IF($Y65&gt;1,IF(INT(N$6/$X65)&gt;0,$Z65-$AA65,0),-$AA65)</f>
        <v>0</v>
      </c>
      <c r="O66" s="603">
        <f>IF(INT(O$6/$X65)*$X$7&gt;O64*($X$7+$Z65)*$Y65,O64*($X$7+$Z65)-SUM($B66:N66),INT(O$6/$X65)*$X$7-O64*($X$7+$Z65)*($Y65-1)-SUM($B66:N66))+IF($Y65&gt;1,IF(INT(O$6/$X65)&gt;0,$Z65-$AA65,0),-$AA65)</f>
        <v>0</v>
      </c>
      <c r="P66" s="603">
        <f>IF(INT(P$6/$X65)*$X$7&gt;P64*($X$7+$Z65)*$Y65,P64*($X$7+$Z65)-SUM($B66:O66),INT(P$6/$X65)*$X$7-P64*($X$7+$Z65)*($Y65-1)-SUM($B66:O66))+IF($Y65&gt;1,IF(INT(P$6/$X65)&gt;0,$Z65-$AA65,0),-$AA65)</f>
        <v>0</v>
      </c>
      <c r="Q66" s="603">
        <f>IF(INT(Q$6/$X65)*$X$7&gt;Q64*($X$7+$Z65)*$Y65,Q64*($X$7+$Z65)-SUM($B66:P66),INT(Q$6/$X65)*$X$7-Q64*($X$7+$Z65)*($Y65-1)-SUM($B66:P66))+IF($Y65&gt;1,IF(INT(Q$6/$X65)&gt;0,$Z65-$AA65,0),-$AA65)</f>
        <v>0</v>
      </c>
      <c r="R66" s="603">
        <f>IF(INT(R$6/$X65)*$X$7&gt;R64*($X$7+$Z65)*$Y65,R64*($X$7+$Z65)-SUM($B66:Q66),INT(R$6/$X65)*$X$7-R64*($X$7+$Z65)*($Y65-1)-SUM($B66:Q66))+IF($Y65&gt;1,IF(INT(R$6/$X65)&gt;0,$Z65-$AA65,0),-$AA65)</f>
        <v>0</v>
      </c>
      <c r="S66" s="603">
        <f>IF(INT(S$6/$X65)*$X$7&gt;S64*($X$7+$Z65)*$Y65,S64*($X$7+$Z65)-SUM($B66:R66),INT(S$6/$X65)*$X$7-S64*($X$7+$Z65)*($Y65-1)-SUM($B66:R66))+IF($Y65&gt;1,IF(INT(S$6/$X65)&gt;0,$Z65-$AA65,0),-$AA65)</f>
        <v>0</v>
      </c>
      <c r="T66" s="603">
        <f>IF(INT(T$6/$X65)*$X$7&gt;T64*($X$7+$Z65)*$Y65,T64*($X$7+$Z65)-SUM($B66:S66),INT(T$6/$X65)*$X$7-T64*($X$7+$Z65)*($Y65-1)-SUM($B66:S66))+IF($Y65&gt;1,IF(INT(T$6/$X65)&gt;0,$Z65-$AA65,0),-$AA65)</f>
        <v>0</v>
      </c>
      <c r="U66" s="603">
        <f>IF(INT(U$6/$X65)*$X$7&gt;U64*($X$7+$Z65)*$Y65,U64*($X$7+$Z65)-SUM($B66:T66),INT(U$6/$X65)*$X$7-U64*($X$7+$Z65)*($Y65-1)-SUM($B66:T66))+IF($Y65&gt;1,IF(INT(U$6/$X65)&gt;0,$Z65-$AA65,0),-$AA65)</f>
        <v>0</v>
      </c>
      <c r="V66" s="603">
        <f>IF(INT(V$6/$X65)*$X$7&gt;V64*($X$7+$Z65)*$Y65,V64*($X$7+$Z65)-SUM($B66:U66),INT(V$6/$X65)*$X$7-V64*($X$7+$Z65)*($Y65-1)-SUM($B66:U66))+IF($Y65&gt;1,IF(INT(V$6/$X65)&gt;0,$Z65-$AA65,0),-$AA65)</f>
        <v>0</v>
      </c>
      <c r="W66" s="681"/>
      <c r="X66"/>
      <c r="Y66"/>
      <c r="Z66"/>
    </row>
    <row r="67" spans="1:28" s="102" customFormat="1">
      <c r="W67" s="663"/>
    </row>
    <row r="68" spans="1:28" s="102" customFormat="1" hidden="1">
      <c r="A68" s="140" t="s">
        <v>934</v>
      </c>
      <c r="B68" s="603"/>
      <c r="C68" s="140">
        <f t="shared" ref="C68:V68" si="20">INT((INT(C$6/$X69)*$X$7+$X$7+$Z69-1)/($X$7+$Z69)/$Y69)</f>
        <v>0</v>
      </c>
      <c r="D68" s="140">
        <f t="shared" si="20"/>
        <v>0</v>
      </c>
      <c r="E68" s="140">
        <f t="shared" si="20"/>
        <v>0</v>
      </c>
      <c r="F68" s="140">
        <f t="shared" si="20"/>
        <v>0</v>
      </c>
      <c r="G68" s="140">
        <f t="shared" si="20"/>
        <v>0</v>
      </c>
      <c r="H68" s="140">
        <f t="shared" si="20"/>
        <v>0</v>
      </c>
      <c r="I68" s="140">
        <f t="shared" si="20"/>
        <v>0</v>
      </c>
      <c r="J68" s="140">
        <f t="shared" si="20"/>
        <v>0</v>
      </c>
      <c r="K68" s="140">
        <f t="shared" si="20"/>
        <v>0</v>
      </c>
      <c r="L68" s="140">
        <f t="shared" si="20"/>
        <v>0</v>
      </c>
      <c r="M68" s="140">
        <f t="shared" si="20"/>
        <v>0</v>
      </c>
      <c r="N68" s="140">
        <f t="shared" si="20"/>
        <v>0</v>
      </c>
      <c r="O68" s="140">
        <f t="shared" si="20"/>
        <v>0</v>
      </c>
      <c r="P68" s="140">
        <f t="shared" si="20"/>
        <v>0</v>
      </c>
      <c r="Q68" s="140">
        <f t="shared" si="20"/>
        <v>0</v>
      </c>
      <c r="R68" s="140">
        <f t="shared" si="20"/>
        <v>0</v>
      </c>
      <c r="S68" s="140">
        <f t="shared" si="20"/>
        <v>0</v>
      </c>
      <c r="T68" s="140">
        <f t="shared" si="20"/>
        <v>0</v>
      </c>
      <c r="U68" s="140">
        <f t="shared" si="20"/>
        <v>0</v>
      </c>
      <c r="V68" s="140">
        <f t="shared" si="20"/>
        <v>0</v>
      </c>
    </row>
    <row r="69" spans="1:28" s="102" customFormat="1">
      <c r="A69" s="140" t="s">
        <v>935</v>
      </c>
      <c r="B69" s="603" t="s">
        <v>278</v>
      </c>
      <c r="C69" s="603">
        <f>IF($Y69=1,0,$X$7*(INT(C$6/$X69)-INT(B$6/$X69))-IF(SUM($B69:B69)&gt;0,C70,0))</f>
        <v>0</v>
      </c>
      <c r="D69" s="603">
        <f>IF($Y69=1,0,$X$7*(INT(D$6/$X69)-INT(C$6/$X69))-IF(SUM($B69:C69)&gt;0,D70,0))</f>
        <v>0</v>
      </c>
      <c r="E69" s="603">
        <f>IF($Y69=1,0,$X$7*(INT(E$6/$X69)-INT(D$6/$X69))-IF(SUM($B69:D69)&gt;0,E70,0))</f>
        <v>0</v>
      </c>
      <c r="F69" s="603">
        <f>IF($Y69=1,0,$X$7*(INT(F$6/$X69)-INT(E$6/$X69))-IF(SUM($B69:E69)&gt;0,F70,0))</f>
        <v>0</v>
      </c>
      <c r="G69" s="603">
        <f>IF($Y69=1,0,$X$7*(INT(G$6/$X69)-INT(F$6/$X69))-IF(SUM($B69:F69)&gt;0,G70,0))</f>
        <v>0</v>
      </c>
      <c r="H69" s="603">
        <f>IF($Y69=1,0,$X$7*(INT(H$6/$X69)-INT(G$6/$X69))-IF(SUM($B69:G69)&gt;0,H70,0))</f>
        <v>0</v>
      </c>
      <c r="I69" s="603">
        <f>IF($Y69=1,0,$X$7*(INT(I$6/$X69)-INT(H$6/$X69))-IF(SUM($B69:H69)&gt;0,I70,0))</f>
        <v>0</v>
      </c>
      <c r="J69" s="603">
        <f>IF($Y69=1,0,$X$7*(INT(J$6/$X69)-INT(I$6/$X69))-IF(SUM($B69:I69)&gt;0,J70,0))</f>
        <v>0</v>
      </c>
      <c r="K69" s="603">
        <f>IF($Y69=1,0,$X$7*(INT(K$6/$X69)-INT(J$6/$X69))-IF(SUM($B69:J69)&gt;0,K70,0))</f>
        <v>0</v>
      </c>
      <c r="L69" s="603">
        <f>IF($Y69=1,0,$X$7*(INT(L$6/$X69)-INT(K$6/$X69))-IF(SUM($B69:K69)&gt;0,L70,0))</f>
        <v>0</v>
      </c>
      <c r="M69" s="603">
        <f>IF($Y69=1,0,$X$7*(INT(M$6/$X69)-INT(L$6/$X69))-IF(SUM($B69:L69)&gt;0,M70,0))</f>
        <v>0</v>
      </c>
      <c r="N69" s="603">
        <f>IF($Y69=1,0,$X$7*(INT(N$6/$X69)-INT(M$6/$X69))-IF(SUM($B69:M69)&gt;0,N70,0))</f>
        <v>0</v>
      </c>
      <c r="O69" s="603">
        <f>IF($Y69=1,0,$X$7*(INT(O$6/$X69)-INT(N$6/$X69))-IF(SUM($B69:N69)&gt;0,O70,0))</f>
        <v>0</v>
      </c>
      <c r="P69" s="603">
        <f>IF($Y69=1,0,$X$7*(INT(P$6/$X69)-INT(O$6/$X69))-IF(SUM($B69:O69)&gt;0,P70,0))</f>
        <v>0</v>
      </c>
      <c r="Q69" s="603">
        <f>IF($Y69=1,0,$X$7*(INT(Q$6/$X69)-INT(P$6/$X69))-IF(SUM($B69:P69)&gt;0,Q70,0))</f>
        <v>0</v>
      </c>
      <c r="R69" s="603">
        <f>IF($Y69=1,0,$X$7*(INT(R$6/$X69)-INT(Q$6/$X69))-IF(SUM($B69:Q69)&gt;0,R70,0))</f>
        <v>0</v>
      </c>
      <c r="S69" s="603">
        <f>IF($Y69=1,0,$X$7*(INT(S$6/$X69)-INT(R$6/$X69))-IF(SUM($B69:R69)&gt;0,S70,0))</f>
        <v>0</v>
      </c>
      <c r="T69" s="603">
        <f>IF($Y69=1,0,$X$7*(INT(T$6/$X69)-INT(S$6/$X69))-IF(SUM($B69:S69)&gt;0,T70,0))</f>
        <v>0</v>
      </c>
      <c r="U69" s="603">
        <f>IF($Y69=1,0,$X$7*(INT(U$6/$X69)-INT(T$6/$X69))-IF(SUM($B69:T69)&gt;0,U70,0))</f>
        <v>0</v>
      </c>
      <c r="V69" s="603">
        <f>IF($Y69=1,0,$X$7*(INT(V$6/$X69)-INT(U$6/$X69))-IF(SUM($B69:U69)&gt;0,V70,0))</f>
        <v>0</v>
      </c>
      <c r="W69" s="678" t="str">
        <f xml:space="preserve"> 'GT schd cost(7EA)'!A26</f>
        <v>3rd Stage Shroud Blocks</v>
      </c>
      <c r="X69" s="678">
        <f>IF($AD$6=1,'GTDB(7EA)'!B29,'GTDB(7EA)'!G29)</f>
        <v>24000</v>
      </c>
      <c r="Y69" s="678">
        <f>IF($AD$6=1,'GTDB(7EA)'!C29,'GTDB(7EA)'!H29)</f>
        <v>3</v>
      </c>
      <c r="Z69" s="679">
        <v>1</v>
      </c>
      <c r="AA69" s="834">
        <f>'Initial_Spares(7EA) '!$E$23</f>
        <v>0</v>
      </c>
      <c r="AB69" s="684">
        <f>'GT schd cost(7EA)'!X26+'GT schd cost(7EA)'!X49</f>
        <v>0</v>
      </c>
    </row>
    <row r="70" spans="1:28" s="102" customFormat="1">
      <c r="A70" s="140" t="s">
        <v>936</v>
      </c>
      <c r="B70" s="603" t="s">
        <v>278</v>
      </c>
      <c r="C70" s="603">
        <f>IF(INT(C$6/$X69)*$X$7&gt;C68*($X$7+$Z69)*$Y69,C68*($X$7+$Z69)-SUM($B70:B70),INT(C$6/$X69)*$X$7-C68*($X$7+$Z69)*($Y69-1)-SUM($B70:B70))+IF($Y69&gt;1,IF(INT(C$6/$X69)&gt;0,$Z69-$AA69,0),-$AA69)</f>
        <v>0</v>
      </c>
      <c r="D70" s="603">
        <f>IF(INT(D$6/$X69)*$X$7&gt;D68*($X$7+$Z69)*$Y69,D68*($X$7+$Z69)-SUM($B70:C70),INT(D$6/$X69)*$X$7-D68*($X$7+$Z69)*($Y69-1)-SUM($B70:C70))+IF($Y69&gt;1,IF(INT(D$6/$X69)&gt;0,$Z69-$AA69,0),-$AA69)</f>
        <v>0</v>
      </c>
      <c r="E70" s="603">
        <f>IF(INT(E$6/$X69)*$X$7&gt;E68*($X$7+$Z69)*$Y69,E68*($X$7+$Z69)-SUM($B70:D70),INT(E$6/$X69)*$X$7-E68*($X$7+$Z69)*($Y69-1)-SUM($B70:D70))+IF($Y69&gt;1,IF(INT(E$6/$X69)&gt;0,$Z69-$AA69,0),-$AA69)</f>
        <v>0</v>
      </c>
      <c r="F70" s="603">
        <f>IF(INT(F$6/$X69)*$X$7&gt;F68*($X$7+$Z69)*$Y69,F68*($X$7+$Z69)-SUM($B70:E70),INT(F$6/$X69)*$X$7-F68*($X$7+$Z69)*($Y69-1)-SUM($B70:E70))+IF($Y69&gt;1,IF(INT(F$6/$X69)&gt;0,$Z69-$AA69,0),-$AA69)</f>
        <v>0</v>
      </c>
      <c r="G70" s="603">
        <f>IF(INT(G$6/$X69)*$X$7&gt;G68*($X$7+$Z69)*$Y69,G68*($X$7+$Z69)-SUM($B70:F70),INT(G$6/$X69)*$X$7-G68*($X$7+$Z69)*($Y69-1)-SUM($B70:F70))+IF($Y69&gt;1,IF(INT(G$6/$X69)&gt;0,$Z69-$AA69,0),-$AA69)</f>
        <v>0</v>
      </c>
      <c r="H70" s="603">
        <f>IF(INT(H$6/$X69)*$X$7&gt;H68*($X$7+$Z69)*$Y69,H68*($X$7+$Z69)-SUM($B70:G70),INT(H$6/$X69)*$X$7-H68*($X$7+$Z69)*($Y69-1)-SUM($B70:G70))+IF($Y69&gt;1,IF(INT(H$6/$X69)&gt;0,$Z69-$AA69,0),-$AA69)</f>
        <v>0</v>
      </c>
      <c r="I70" s="603">
        <f>IF(INT(I$6/$X69)*$X$7&gt;I68*($X$7+$Z69)*$Y69,I68*($X$7+$Z69)-SUM($B70:H70),INT(I$6/$X69)*$X$7-I68*($X$7+$Z69)*($Y69-1)-SUM($B70:H70))+IF($Y69&gt;1,IF(INT(I$6/$X69)&gt;0,$Z69-$AA69,0),-$AA69)</f>
        <v>0</v>
      </c>
      <c r="J70" s="603">
        <f>IF(INT(J$6/$X69)*$X$7&gt;J68*($X$7+$Z69)*$Y69,J68*($X$7+$Z69)-SUM($B70:I70),INT(J$6/$X69)*$X$7-J68*($X$7+$Z69)*($Y69-1)-SUM($B70:I70))+IF($Y69&gt;1,IF(INT(J$6/$X69)&gt;0,$Z69-$AA69,0),-$AA69)</f>
        <v>0</v>
      </c>
      <c r="K70" s="603">
        <f>IF(INT(K$6/$X69)*$X$7&gt;K68*($X$7+$Z69)*$Y69,K68*($X$7+$Z69)-SUM($B70:J70),INT(K$6/$X69)*$X$7-K68*($X$7+$Z69)*($Y69-1)-SUM($B70:J70))+IF($Y69&gt;1,IF(INT(K$6/$X69)&gt;0,$Z69-$AA69,0),-$AA69)</f>
        <v>0</v>
      </c>
      <c r="L70" s="603">
        <f>IF(INT(L$6/$X69)*$X$7&gt;L68*($X$7+$Z69)*$Y69,L68*($X$7+$Z69)-SUM($B70:K70),INT(L$6/$X69)*$X$7-L68*($X$7+$Z69)*($Y69-1)-SUM($B70:K70))+IF($Y69&gt;1,IF(INT(L$6/$X69)&gt;0,$Z69-$AA69,0),-$AA69)</f>
        <v>0</v>
      </c>
      <c r="M70" s="603">
        <f>IF(INT(M$6/$X69)*$X$7&gt;M68*($X$7+$Z69)*$Y69,M68*($X$7+$Z69)-SUM($B70:L70),INT(M$6/$X69)*$X$7-M68*($X$7+$Z69)*($Y69-1)-SUM($B70:L70))+IF($Y69&gt;1,IF(INT(M$6/$X69)&gt;0,$Z69-$AA69,0),-$AA69)</f>
        <v>0</v>
      </c>
      <c r="N70" s="603">
        <f>IF(INT(N$6/$X69)*$X$7&gt;N68*($X$7+$Z69)*$Y69,N68*($X$7+$Z69)-SUM($B70:M70),INT(N$6/$X69)*$X$7-N68*($X$7+$Z69)*($Y69-1)-SUM($B70:M70))+IF($Y69&gt;1,IF(INT(N$6/$X69)&gt;0,$Z69-$AA69,0),-$AA69)</f>
        <v>0</v>
      </c>
      <c r="O70" s="603">
        <f>IF(INT(O$6/$X69)*$X$7&gt;O68*($X$7+$Z69)*$Y69,O68*($X$7+$Z69)-SUM($B70:N70),INT(O$6/$X69)*$X$7-O68*($X$7+$Z69)*($Y69-1)-SUM($B70:N70))+IF($Y69&gt;1,IF(INT(O$6/$X69)&gt;0,$Z69-$AA69,0),-$AA69)</f>
        <v>0</v>
      </c>
      <c r="P70" s="603">
        <f>IF(INT(P$6/$X69)*$X$7&gt;P68*($X$7+$Z69)*$Y69,P68*($X$7+$Z69)-SUM($B70:O70),INT(P$6/$X69)*$X$7-P68*($X$7+$Z69)*($Y69-1)-SUM($B70:O70))+IF($Y69&gt;1,IF(INT(P$6/$X69)&gt;0,$Z69-$AA69,0),-$AA69)</f>
        <v>0</v>
      </c>
      <c r="Q70" s="603">
        <f>IF(INT(Q$6/$X69)*$X$7&gt;Q68*($X$7+$Z69)*$Y69,Q68*($X$7+$Z69)-SUM($B70:P70),INT(Q$6/$X69)*$X$7-Q68*($X$7+$Z69)*($Y69-1)-SUM($B70:P70))+IF($Y69&gt;1,IF(INT(Q$6/$X69)&gt;0,$Z69-$AA69,0),-$AA69)</f>
        <v>0</v>
      </c>
      <c r="R70" s="603">
        <f>IF(INT(R$6/$X69)*$X$7&gt;R68*($X$7+$Z69)*$Y69,R68*($X$7+$Z69)-SUM($B70:Q70),INT(R$6/$X69)*$X$7-R68*($X$7+$Z69)*($Y69-1)-SUM($B70:Q70))+IF($Y69&gt;1,IF(INT(R$6/$X69)&gt;0,$Z69-$AA69,0),-$AA69)</f>
        <v>0</v>
      </c>
      <c r="S70" s="603">
        <f>IF(INT(S$6/$X69)*$X$7&gt;S68*($X$7+$Z69)*$Y69,S68*($X$7+$Z69)-SUM($B70:R70),INT(S$6/$X69)*$X$7-S68*($X$7+$Z69)*($Y69-1)-SUM($B70:R70))+IF($Y69&gt;1,IF(INT(S$6/$X69)&gt;0,$Z69-$AA69,0),-$AA69)</f>
        <v>0</v>
      </c>
      <c r="T70" s="603">
        <f>IF(INT(T$6/$X69)*$X$7&gt;T68*($X$7+$Z69)*$Y69,T68*($X$7+$Z69)-SUM($B70:S70),INT(T$6/$X69)*$X$7-T68*($X$7+$Z69)*($Y69-1)-SUM($B70:S70))+IF($Y69&gt;1,IF(INT(T$6/$X69)&gt;0,$Z69-$AA69,0),-$AA69)</f>
        <v>0</v>
      </c>
      <c r="U70" s="603">
        <f>IF(INT(U$6/$X69)*$X$7&gt;U68*($X$7+$Z69)*$Y69,U68*($X$7+$Z69)-SUM($B70:T70),INT(U$6/$X69)*$X$7-U68*($X$7+$Z69)*($Y69-1)-SUM($B70:T70))+IF($Y69&gt;1,IF(INT(U$6/$X69)&gt;0,$Z69-$AA69,0),-$AA69)</f>
        <v>0</v>
      </c>
      <c r="V70" s="603">
        <f>IF(INT(V$6/$X69)*$X$7&gt;V68*($X$7+$Z69)*$Y69,V68*($X$7+$Z69)-SUM($B70:U70),INT(V$6/$X69)*$X$7-V68*($X$7+$Z69)*($Y69-1)-SUM($B70:U70))+IF($Y69&gt;1,IF(INT(V$6/$X69)&gt;0,$Z69-$AA69,0),-$AA69)</f>
        <v>0</v>
      </c>
      <c r="W70" s="681"/>
      <c r="X70"/>
      <c r="Y70"/>
      <c r="Z70"/>
    </row>
  </sheetData>
  <pageMargins left="0.75" right="0.75" top="1" bottom="1" header="0.5" footer="0.5"/>
  <pageSetup scale="47" firstPageNumber="34" orientation="landscape" useFirstPageNumber="1" horizontalDpi="4294967292" r:id="rId1"/>
  <headerFooter alignWithMargins="0">
    <oddHeader>&amp;LHERMOSILLO</oddHeader>
    <oddFooter xml:space="preserve">&amp;Ldkwok&amp;C
&amp;R&amp;F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Option Button 1">
              <controlPr defaultSize="0" autoFill="0" autoLine="0" autoPict="0">
                <anchor moveWithCells="1">
                  <from>
                    <xdr:col>26</xdr:col>
                    <xdr:colOff>123825</xdr:colOff>
                    <xdr:row>4</xdr:row>
                    <xdr:rowOff>76200</xdr:rowOff>
                  </from>
                  <to>
                    <xdr:col>27</xdr:col>
                    <xdr:colOff>647700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Option Button 2">
              <controlPr defaultSize="0" autoFill="0" autoLine="0" autoPict="0">
                <anchor moveWithCells="1">
                  <from>
                    <xdr:col>26</xdr:col>
                    <xdr:colOff>142875</xdr:colOff>
                    <xdr:row>5</xdr:row>
                    <xdr:rowOff>161925</xdr:rowOff>
                  </from>
                  <to>
                    <xdr:col>27</xdr:col>
                    <xdr:colOff>523875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2:P48"/>
  <sheetViews>
    <sheetView zoomScale="75" zoomScaleNormal="100" workbookViewId="0">
      <selection activeCell="C11" sqref="C11"/>
    </sheetView>
  </sheetViews>
  <sheetFormatPr defaultRowHeight="12.75"/>
  <cols>
    <col min="1" max="1" width="26" customWidth="1"/>
    <col min="2" max="2" width="10.140625" bestFit="1" customWidth="1"/>
    <col min="7" max="7" width="9.28515625" bestFit="1" customWidth="1"/>
  </cols>
  <sheetData>
    <row r="2" spans="1:13" ht="21" customHeight="1">
      <c r="A2" s="685" t="s">
        <v>937</v>
      </c>
      <c r="B2" s="102"/>
      <c r="C2" s="102"/>
      <c r="D2" s="102"/>
      <c r="E2" s="102"/>
    </row>
    <row r="3" spans="1:13" ht="11.25" customHeight="1">
      <c r="A3" s="685"/>
      <c r="B3" s="102"/>
      <c r="C3" s="102"/>
      <c r="D3" s="102"/>
      <c r="E3" s="102"/>
    </row>
    <row r="4" spans="1:13">
      <c r="A4" s="615" t="s">
        <v>938</v>
      </c>
      <c r="B4" s="686" t="s">
        <v>959</v>
      </c>
      <c r="C4" s="686"/>
      <c r="D4" s="102"/>
      <c r="E4" s="102"/>
    </row>
    <row r="5" spans="1:13">
      <c r="A5" s="615" t="s">
        <v>939</v>
      </c>
      <c r="B5" s="686" t="s">
        <v>958</v>
      </c>
      <c r="C5" s="686"/>
      <c r="D5" s="102"/>
      <c r="E5" s="102" t="s">
        <v>278</v>
      </c>
    </row>
    <row r="6" spans="1:13">
      <c r="A6" s="615" t="s">
        <v>940</v>
      </c>
      <c r="B6" s="720">
        <v>36600</v>
      </c>
      <c r="C6" s="102"/>
      <c r="D6" s="102"/>
      <c r="E6" s="102" t="s">
        <v>278</v>
      </c>
    </row>
    <row r="7" spans="1:13">
      <c r="A7" s="615" t="s">
        <v>941</v>
      </c>
      <c r="B7" s="102" t="s">
        <v>1011</v>
      </c>
      <c r="C7" s="102"/>
      <c r="D7" s="102"/>
      <c r="E7" s="102"/>
    </row>
    <row r="8" spans="1:13">
      <c r="A8" s="615" t="s">
        <v>278</v>
      </c>
      <c r="B8" s="102"/>
      <c r="C8" s="102"/>
      <c r="D8" s="102"/>
      <c r="E8" s="102"/>
    </row>
    <row r="9" spans="1:13">
      <c r="A9" s="615" t="s">
        <v>278</v>
      </c>
      <c r="B9" s="102" t="s">
        <v>278</v>
      </c>
      <c r="C9" s="102"/>
      <c r="D9" s="102"/>
      <c r="E9" s="102"/>
    </row>
    <row r="10" spans="1:13" s="687" customFormat="1"/>
    <row r="11" spans="1:13" s="687" customFormat="1" ht="26.25" thickBot="1">
      <c r="A11" s="688" t="s">
        <v>278</v>
      </c>
      <c r="B11" s="688" t="s">
        <v>942</v>
      </c>
      <c r="C11" s="688" t="s">
        <v>943</v>
      </c>
      <c r="D11" s="688" t="s">
        <v>944</v>
      </c>
      <c r="G11" s="688" t="s">
        <v>945</v>
      </c>
    </row>
    <row r="12" spans="1:13">
      <c r="A12" s="689" t="s">
        <v>946</v>
      </c>
      <c r="B12" s="690">
        <v>8000</v>
      </c>
      <c r="C12" s="716">
        <v>27.9</v>
      </c>
      <c r="D12" s="716">
        <v>20.332000000000001</v>
      </c>
      <c r="G12" s="690">
        <v>800</v>
      </c>
    </row>
    <row r="13" spans="1:13">
      <c r="A13" s="140" t="s">
        <v>947</v>
      </c>
      <c r="B13" s="691">
        <v>24000</v>
      </c>
      <c r="C13" s="648">
        <v>123</v>
      </c>
      <c r="D13" s="648">
        <v>32.328000000000003</v>
      </c>
      <c r="G13" s="691">
        <v>1200</v>
      </c>
    </row>
    <row r="14" spans="1:13">
      <c r="A14" s="140" t="s">
        <v>948</v>
      </c>
      <c r="B14" s="691">
        <v>48000</v>
      </c>
      <c r="C14" s="648">
        <v>220</v>
      </c>
      <c r="D14" s="648">
        <v>154.464</v>
      </c>
      <c r="G14" s="691">
        <v>2400</v>
      </c>
      <c r="M14" s="670"/>
    </row>
    <row r="16" spans="1:13" s="687" customFormat="1" ht="39" thickBot="1">
      <c r="A16" s="692" t="s">
        <v>949</v>
      </c>
      <c r="B16" s="692" t="s">
        <v>950</v>
      </c>
      <c r="C16" s="692" t="s">
        <v>951</v>
      </c>
      <c r="D16" s="692" t="s">
        <v>952</v>
      </c>
      <c r="E16" s="692" t="s">
        <v>953</v>
      </c>
      <c r="F16" s="693"/>
      <c r="G16" s="688" t="s">
        <v>954</v>
      </c>
      <c r="H16" s="688" t="s">
        <v>955</v>
      </c>
    </row>
    <row r="17" spans="1:16">
      <c r="A17" s="694" t="s">
        <v>961</v>
      </c>
      <c r="B17" s="695">
        <v>8000</v>
      </c>
      <c r="C17" s="695">
        <v>5</v>
      </c>
      <c r="D17" s="694">
        <v>18</v>
      </c>
      <c r="E17" s="694">
        <v>1058.9000000000001</v>
      </c>
      <c r="F17" s="663"/>
      <c r="G17" s="713">
        <v>800</v>
      </c>
      <c r="H17" s="714">
        <v>5</v>
      </c>
      <c r="L17" s="670"/>
    </row>
    <row r="18" spans="1:16">
      <c r="A18" s="641" t="s">
        <v>774</v>
      </c>
      <c r="B18" s="696">
        <v>8000</v>
      </c>
      <c r="C18" s="696">
        <v>6</v>
      </c>
      <c r="D18" s="641">
        <v>18.5</v>
      </c>
      <c r="E18" s="694">
        <v>463.06400000000002</v>
      </c>
      <c r="F18" s="663"/>
      <c r="G18" s="713">
        <v>800</v>
      </c>
      <c r="H18" s="715">
        <v>6</v>
      </c>
      <c r="P18" s="670"/>
    </row>
    <row r="19" spans="1:16">
      <c r="A19" s="710" t="s">
        <v>956</v>
      </c>
      <c r="B19" s="696">
        <v>8000</v>
      </c>
      <c r="C19" s="711">
        <v>3</v>
      </c>
      <c r="D19" s="710">
        <v>120</v>
      </c>
      <c r="E19" s="694">
        <v>489.47</v>
      </c>
      <c r="F19" s="663"/>
      <c r="G19" s="713">
        <v>800</v>
      </c>
      <c r="H19" s="715">
        <v>3</v>
      </c>
    </row>
    <row r="20" spans="1:16">
      <c r="A20" s="697" t="s">
        <v>966</v>
      </c>
      <c r="B20" s="698">
        <v>24000</v>
      </c>
      <c r="C20" s="698">
        <v>3</v>
      </c>
      <c r="D20" s="697">
        <v>46</v>
      </c>
      <c r="E20" s="694">
        <v>899.48800000000006</v>
      </c>
      <c r="F20" s="663"/>
      <c r="G20" s="699">
        <v>1200</v>
      </c>
      <c r="H20" s="700">
        <v>3</v>
      </c>
    </row>
    <row r="21" spans="1:16">
      <c r="A21" s="697" t="s">
        <v>967</v>
      </c>
      <c r="B21" s="698">
        <v>24000</v>
      </c>
      <c r="C21" s="698">
        <v>3</v>
      </c>
      <c r="D21" s="697">
        <v>29.5</v>
      </c>
      <c r="E21" s="694">
        <v>926.971</v>
      </c>
      <c r="F21" s="663"/>
      <c r="G21" s="699">
        <v>1200</v>
      </c>
      <c r="H21" s="700">
        <v>3</v>
      </c>
    </row>
    <row r="22" spans="1:16">
      <c r="A22" s="697" t="s">
        <v>968</v>
      </c>
      <c r="B22" s="698">
        <v>24000</v>
      </c>
      <c r="C22" s="698">
        <v>3</v>
      </c>
      <c r="D22" s="697">
        <v>26</v>
      </c>
      <c r="E22" s="694">
        <v>986.56799999999998</v>
      </c>
      <c r="F22" s="663"/>
      <c r="G22" s="699">
        <v>1200</v>
      </c>
      <c r="H22" s="700">
        <v>3</v>
      </c>
      <c r="K22" s="670"/>
    </row>
    <row r="23" spans="1:16">
      <c r="A23" s="697" t="s">
        <v>969</v>
      </c>
      <c r="B23" s="698">
        <v>24000</v>
      </c>
      <c r="C23" s="698">
        <v>3</v>
      </c>
      <c r="D23" s="697">
        <v>74.5</v>
      </c>
      <c r="E23" s="694">
        <v>910.54</v>
      </c>
      <c r="F23" s="663"/>
      <c r="G23" s="699">
        <v>1200</v>
      </c>
      <c r="H23" s="700">
        <v>3</v>
      </c>
    </row>
    <row r="24" spans="1:16">
      <c r="A24" s="697" t="s">
        <v>970</v>
      </c>
      <c r="B24" s="698">
        <v>24000</v>
      </c>
      <c r="C24" s="698">
        <v>3</v>
      </c>
      <c r="D24" s="697">
        <v>39</v>
      </c>
      <c r="E24" s="694">
        <v>901.96500000000003</v>
      </c>
      <c r="F24" s="663"/>
      <c r="G24" s="699">
        <v>1200</v>
      </c>
      <c r="H24" s="700">
        <v>4</v>
      </c>
    </row>
    <row r="25" spans="1:16">
      <c r="A25" s="697" t="s">
        <v>971</v>
      </c>
      <c r="B25" s="698">
        <v>24000</v>
      </c>
      <c r="C25" s="698">
        <v>3</v>
      </c>
      <c r="D25" s="697">
        <v>42</v>
      </c>
      <c r="E25" s="694">
        <v>791.255</v>
      </c>
      <c r="F25" s="663"/>
      <c r="G25" s="699">
        <v>1200</v>
      </c>
      <c r="H25" s="700">
        <v>4</v>
      </c>
    </row>
    <row r="26" spans="1:16">
      <c r="A26" s="697" t="s">
        <v>962</v>
      </c>
      <c r="B26" s="698">
        <v>24000</v>
      </c>
      <c r="C26" s="698">
        <v>3</v>
      </c>
      <c r="D26" s="697">
        <v>25</v>
      </c>
      <c r="E26" s="694">
        <v>36.558</v>
      </c>
      <c r="F26" s="663"/>
      <c r="G26" s="699">
        <v>1200</v>
      </c>
      <c r="H26" s="700">
        <v>3</v>
      </c>
    </row>
    <row r="27" spans="1:16">
      <c r="A27" s="697" t="s">
        <v>963</v>
      </c>
      <c r="B27" s="698">
        <v>24000</v>
      </c>
      <c r="C27" s="698">
        <v>2</v>
      </c>
      <c r="D27" s="697">
        <v>15.4</v>
      </c>
      <c r="E27" s="694">
        <v>182.90199999999999</v>
      </c>
      <c r="F27" s="663"/>
      <c r="G27" s="699">
        <v>1200</v>
      </c>
      <c r="H27" s="700">
        <v>2</v>
      </c>
      <c r="K27" s="670"/>
    </row>
    <row r="28" spans="1:16">
      <c r="A28" s="697" t="s">
        <v>965</v>
      </c>
      <c r="B28" s="698">
        <v>24000</v>
      </c>
      <c r="C28" s="698">
        <v>3</v>
      </c>
      <c r="D28" s="697">
        <v>14.4</v>
      </c>
      <c r="E28" s="694">
        <v>137.41399999999999</v>
      </c>
      <c r="F28" s="663"/>
      <c r="G28" s="699">
        <v>1200</v>
      </c>
      <c r="H28" s="700">
        <v>4</v>
      </c>
    </row>
    <row r="29" spans="1:16">
      <c r="A29" s="697" t="s">
        <v>964</v>
      </c>
      <c r="B29" s="698">
        <v>24000</v>
      </c>
      <c r="C29" s="698">
        <v>3</v>
      </c>
      <c r="D29" s="697">
        <v>13.4</v>
      </c>
      <c r="E29" s="694">
        <v>74.762</v>
      </c>
      <c r="F29" s="663"/>
      <c r="G29" s="699">
        <v>1200</v>
      </c>
      <c r="H29" s="700">
        <v>4</v>
      </c>
    </row>
    <row r="30" spans="1:16">
      <c r="A30" s="650"/>
      <c r="B30" s="701"/>
      <c r="C30" s="701"/>
      <c r="D30" s="650"/>
      <c r="E30" s="650"/>
      <c r="F30" s="721"/>
      <c r="G30" s="702"/>
      <c r="H30" s="703"/>
    </row>
    <row r="31" spans="1:16">
      <c r="A31" s="650"/>
      <c r="B31" s="701"/>
      <c r="C31" s="701"/>
      <c r="D31" s="650"/>
      <c r="E31" s="650"/>
      <c r="F31" s="663"/>
      <c r="G31" s="702"/>
      <c r="H31" s="704"/>
    </row>
    <row r="32" spans="1:16">
      <c r="A32" s="650"/>
      <c r="B32" s="701"/>
      <c r="C32" s="701"/>
      <c r="D32" s="650"/>
      <c r="E32" s="650"/>
      <c r="F32" s="663"/>
      <c r="G32" s="702"/>
      <c r="H32" s="704"/>
    </row>
    <row r="33" spans="1:8">
      <c r="A33" s="650"/>
      <c r="B33" s="701"/>
      <c r="C33" s="701"/>
      <c r="D33" s="650"/>
      <c r="E33" s="650"/>
      <c r="F33" s="663"/>
      <c r="G33" s="702"/>
      <c r="H33" s="704"/>
    </row>
    <row r="34" spans="1:8">
      <c r="A34" s="650"/>
      <c r="B34" s="701"/>
      <c r="C34" s="701"/>
      <c r="D34" s="650"/>
      <c r="E34" s="650"/>
      <c r="F34" s="663"/>
      <c r="G34" s="702"/>
      <c r="H34" s="704"/>
    </row>
    <row r="35" spans="1:8">
      <c r="A35" s="650"/>
      <c r="B35" s="701"/>
      <c r="C35" s="701"/>
      <c r="D35" s="705"/>
      <c r="E35" s="650"/>
      <c r="F35" s="663"/>
      <c r="G35" s="705"/>
      <c r="H35" s="705"/>
    </row>
    <row r="36" spans="1:8">
      <c r="A36" s="650"/>
      <c r="B36" s="701"/>
      <c r="C36" s="701"/>
      <c r="D36" s="705"/>
      <c r="E36" s="650"/>
      <c r="F36" s="663"/>
      <c r="G36" s="705"/>
      <c r="H36" s="705"/>
    </row>
    <row r="37" spans="1:8">
      <c r="A37" s="712"/>
      <c r="B37" s="701"/>
      <c r="C37" s="701"/>
      <c r="D37" s="705"/>
      <c r="E37" s="650"/>
      <c r="F37" s="663"/>
      <c r="G37" s="705"/>
      <c r="H37" s="705"/>
    </row>
    <row r="38" spans="1:8">
      <c r="A38" s="712"/>
      <c r="B38" s="701"/>
      <c r="C38" s="701"/>
      <c r="D38" s="705"/>
      <c r="E38" s="705"/>
      <c r="F38" s="663"/>
      <c r="G38" s="705"/>
      <c r="H38" s="705"/>
    </row>
    <row r="39" spans="1:8">
      <c r="A39" s="705"/>
      <c r="B39" s="701"/>
      <c r="C39" s="701"/>
      <c r="D39" s="705"/>
      <c r="E39" s="705"/>
      <c r="F39" s="663"/>
      <c r="G39" s="705"/>
      <c r="H39" s="705"/>
    </row>
    <row r="40" spans="1:8">
      <c r="A40" s="650"/>
      <c r="B40" s="701"/>
      <c r="C40" s="701"/>
      <c r="D40" s="650"/>
      <c r="E40" s="650"/>
      <c r="F40" s="663"/>
      <c r="G40" s="705"/>
      <c r="H40" s="705"/>
    </row>
    <row r="41" spans="1:8">
      <c r="A41" s="650"/>
      <c r="B41" s="701"/>
      <c r="C41" s="701"/>
      <c r="D41" s="650"/>
      <c r="E41" s="650"/>
      <c r="F41" s="663"/>
      <c r="G41" s="705"/>
      <c r="H41" s="705"/>
    </row>
    <row r="42" spans="1:8">
      <c r="A42" s="650"/>
      <c r="B42" s="701"/>
      <c r="C42" s="701"/>
      <c r="D42" s="650"/>
      <c r="E42" s="650"/>
      <c r="F42" s="663"/>
      <c r="G42" s="705"/>
      <c r="H42" s="705"/>
    </row>
    <row r="44" spans="1:8">
      <c r="A44" s="706" t="s">
        <v>957</v>
      </c>
      <c r="B44" s="707"/>
      <c r="C44" s="707"/>
      <c r="D44" s="707"/>
      <c r="E44" s="708"/>
    </row>
    <row r="45" spans="1:8">
      <c r="A45" s="152"/>
      <c r="B45" s="102"/>
      <c r="C45" s="102"/>
      <c r="D45" s="102"/>
      <c r="E45" s="80"/>
    </row>
    <row r="46" spans="1:8">
      <c r="A46" s="152"/>
      <c r="B46" s="102"/>
      <c r="C46" s="102"/>
      <c r="D46" s="102"/>
      <c r="E46" s="80"/>
    </row>
    <row r="47" spans="1:8">
      <c r="A47" s="152"/>
      <c r="B47" s="102"/>
      <c r="C47" s="102"/>
      <c r="D47" s="102"/>
      <c r="E47" s="80"/>
    </row>
    <row r="48" spans="1:8">
      <c r="A48" s="709"/>
      <c r="B48" s="617"/>
      <c r="C48" s="617"/>
      <c r="D48" s="617"/>
      <c r="E48" s="618"/>
    </row>
  </sheetData>
  <pageMargins left="0.75" right="0.75" top="1" bottom="1" header="0.5" footer="0.5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340"/>
  <sheetViews>
    <sheetView showGridLines="0" zoomScale="85" workbookViewId="0">
      <selection activeCell="C22" sqref="C22"/>
    </sheetView>
  </sheetViews>
  <sheetFormatPr defaultRowHeight="12.75"/>
  <cols>
    <col min="1" max="1" width="3.42578125" style="237" customWidth="1"/>
    <col min="2" max="2" width="5.28515625" style="224" customWidth="1"/>
    <col min="3" max="3" width="4.5703125" style="76" customWidth="1"/>
    <col min="4" max="16384" width="9.140625" style="76"/>
  </cols>
  <sheetData>
    <row r="1" spans="1:44" s="74" customFormat="1" ht="15" customHeight="1">
      <c r="A1" s="894" t="str">
        <f>Scope!A1</f>
        <v>AES Corp, Dallas, TX (640 MW)</v>
      </c>
      <c r="B1" s="894"/>
      <c r="C1" s="894"/>
      <c r="D1" s="894"/>
      <c r="E1" s="894"/>
      <c r="F1" s="894"/>
      <c r="G1" s="894"/>
      <c r="H1" s="894"/>
      <c r="I1" s="894"/>
      <c r="J1" s="894"/>
      <c r="K1" s="894"/>
    </row>
    <row r="2" spans="1:44" s="74" customFormat="1" ht="15" customHeight="1">
      <c r="A2" s="895"/>
      <c r="B2" s="895"/>
      <c r="C2" s="895"/>
      <c r="D2" s="895"/>
      <c r="E2" s="895"/>
      <c r="F2" s="895"/>
      <c r="G2" s="895"/>
      <c r="H2" s="895"/>
      <c r="I2" s="895"/>
      <c r="J2" s="895"/>
      <c r="K2" s="895"/>
    </row>
    <row r="3" spans="1:44" s="74" customFormat="1" ht="15.75">
      <c r="A3" s="893" t="s">
        <v>1128</v>
      </c>
      <c r="B3" s="893"/>
      <c r="C3" s="893"/>
      <c r="D3" s="893"/>
      <c r="E3" s="893"/>
      <c r="F3" s="893"/>
      <c r="G3" s="893"/>
      <c r="H3" s="893"/>
      <c r="I3" s="893"/>
      <c r="J3" s="893"/>
      <c r="K3" s="893"/>
    </row>
    <row r="4" spans="1:44" s="74" customFormat="1" ht="31.5" customHeight="1">
      <c r="A4" s="72"/>
      <c r="B4" s="221"/>
      <c r="C4" s="72"/>
      <c r="D4" s="72"/>
      <c r="E4" s="72"/>
      <c r="F4" s="72"/>
      <c r="G4" s="72"/>
      <c r="H4" s="72"/>
      <c r="I4" s="73"/>
      <c r="J4" s="73"/>
      <c r="K4" s="73"/>
    </row>
    <row r="5" spans="1:44" s="75" customFormat="1">
      <c r="A5" s="182"/>
      <c r="B5" s="222"/>
      <c r="C5" s="54"/>
      <c r="D5" s="66"/>
      <c r="E5" s="66"/>
      <c r="F5" s="66"/>
      <c r="G5" s="66"/>
      <c r="H5" s="66"/>
      <c r="I5" s="66"/>
      <c r="J5" s="66"/>
      <c r="K5" s="66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</row>
    <row r="6" spans="1:44" s="75" customFormat="1">
      <c r="A6" s="182" t="s">
        <v>1261</v>
      </c>
      <c r="B6" s="222"/>
      <c r="C6" s="54"/>
      <c r="D6" s="66"/>
      <c r="E6" s="66"/>
      <c r="F6" s="66"/>
      <c r="G6" s="66"/>
      <c r="H6" s="66"/>
      <c r="I6" s="66"/>
      <c r="J6" s="66"/>
      <c r="K6" s="66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</row>
    <row r="7" spans="1:44" s="75" customFormat="1">
      <c r="A7" s="182"/>
      <c r="B7" s="222"/>
      <c r="C7" s="54"/>
      <c r="D7" s="66"/>
      <c r="E7" s="66"/>
      <c r="F7" s="66"/>
      <c r="G7" s="66"/>
      <c r="H7" s="66"/>
      <c r="I7" s="66"/>
      <c r="J7" s="66"/>
      <c r="K7" s="66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</row>
    <row r="8" spans="1:44" s="75" customFormat="1">
      <c r="A8" s="182" t="s">
        <v>786</v>
      </c>
      <c r="B8" s="222"/>
      <c r="C8" s="54"/>
      <c r="D8" s="66"/>
      <c r="E8" s="66"/>
      <c r="F8" s="66"/>
      <c r="G8" s="66"/>
      <c r="H8" s="66"/>
      <c r="I8" s="66"/>
      <c r="J8" s="66"/>
      <c r="K8" s="66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</row>
    <row r="9" spans="1:44" s="75" customFormat="1">
      <c r="A9" s="182"/>
      <c r="B9" s="222">
        <v>1</v>
      </c>
      <c r="C9" s="54" t="s">
        <v>439</v>
      </c>
      <c r="D9" s="66"/>
      <c r="E9" s="66"/>
      <c r="F9" s="66"/>
      <c r="G9" s="66"/>
      <c r="H9" s="66"/>
      <c r="I9" s="66"/>
      <c r="J9" s="66"/>
      <c r="K9" s="66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</row>
    <row r="10" spans="1:44" s="75" customFormat="1">
      <c r="A10" s="182"/>
      <c r="B10" s="222">
        <v>2</v>
      </c>
      <c r="C10" s="54" t="s">
        <v>440</v>
      </c>
      <c r="D10" s="66"/>
      <c r="E10" s="66"/>
      <c r="F10" s="66"/>
      <c r="G10" s="66"/>
      <c r="H10" s="66"/>
      <c r="I10" s="66"/>
      <c r="J10" s="66"/>
      <c r="K10" s="66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</row>
    <row r="11" spans="1:44" s="75" customFormat="1">
      <c r="A11" s="182"/>
      <c r="B11" s="222"/>
      <c r="C11" s="54"/>
      <c r="D11" s="66"/>
      <c r="E11" s="66"/>
      <c r="F11" s="66"/>
      <c r="G11" s="66"/>
      <c r="H11" s="66"/>
      <c r="I11" s="66"/>
      <c r="J11" s="66"/>
      <c r="K11" s="66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</row>
    <row r="12" spans="1:44" s="75" customFormat="1">
      <c r="A12" s="182" t="s">
        <v>1263</v>
      </c>
      <c r="B12" s="222"/>
      <c r="C12" s="54"/>
      <c r="D12" s="66"/>
      <c r="E12" s="66"/>
      <c r="F12" s="66"/>
      <c r="G12" s="66"/>
      <c r="H12" s="66"/>
      <c r="I12" s="66"/>
      <c r="J12" s="66"/>
      <c r="K12" s="66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</row>
    <row r="13" spans="1:44" s="75" customFormat="1">
      <c r="A13" s="182"/>
      <c r="B13" s="223">
        <v>1</v>
      </c>
      <c r="C13" s="321" t="str">
        <f>CONCATENATE("Plant is ",Scope!F43," loaded with a PLF of ",TEXT(Scope!F39,"##%"))</f>
        <v>Plant is Base loaded with a PLF of 95%</v>
      </c>
      <c r="D13" s="66"/>
      <c r="E13" s="66"/>
      <c r="F13" s="66"/>
      <c r="G13" s="66"/>
      <c r="H13" s="66"/>
      <c r="I13" s="66"/>
      <c r="J13" s="66"/>
      <c r="K13" s="66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</row>
    <row r="14" spans="1:44" s="75" customFormat="1">
      <c r="A14" s="182"/>
      <c r="B14" s="223">
        <f>B13+1</f>
        <v>2</v>
      </c>
      <c r="C14" s="321" t="str">
        <f>CONCATENATE("Plant is assumed to start ",Scope!F42," times per year")</f>
        <v>Plant is assumed to start &lt;100 times per year</v>
      </c>
      <c r="D14" s="66"/>
      <c r="E14" s="66"/>
      <c r="F14" s="66"/>
      <c r="G14" s="66"/>
      <c r="H14" s="66"/>
      <c r="I14" s="66"/>
      <c r="J14" s="66"/>
      <c r="K14" s="66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</row>
    <row r="15" spans="1:44" s="75" customFormat="1">
      <c r="A15" s="182"/>
      <c r="B15" s="223"/>
      <c r="C15" s="321"/>
      <c r="D15" s="66"/>
      <c r="E15" s="66"/>
      <c r="F15" s="66"/>
      <c r="G15" s="66"/>
      <c r="H15" s="66"/>
      <c r="I15" s="66"/>
      <c r="J15" s="66"/>
      <c r="K15" s="66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</row>
    <row r="16" spans="1:44" s="75" customFormat="1">
      <c r="A16" s="182" t="s">
        <v>1262</v>
      </c>
      <c r="B16" s="223"/>
      <c r="C16" s="54"/>
      <c r="D16" s="66"/>
      <c r="E16" s="66"/>
      <c r="F16" s="66"/>
      <c r="G16" s="66"/>
      <c r="H16" s="66"/>
      <c r="I16" s="66"/>
      <c r="J16" s="66"/>
      <c r="K16" s="66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</row>
    <row r="17" spans="1:44" s="75" customFormat="1">
      <c r="A17" s="182"/>
      <c r="B17" s="223">
        <v>1</v>
      </c>
      <c r="C17" s="54" t="str">
        <f>Scope!$F$36</f>
        <v>Pipeline Quality Natural Gas</v>
      </c>
      <c r="D17" s="66"/>
      <c r="E17" s="66"/>
      <c r="F17" s="66"/>
      <c r="G17" s="66"/>
      <c r="H17" s="66"/>
      <c r="I17" s="66"/>
      <c r="J17" s="66"/>
      <c r="K17" s="66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</row>
    <row r="18" spans="1:44" s="75" customFormat="1">
      <c r="A18" s="182"/>
      <c r="B18" s="223">
        <v>2</v>
      </c>
      <c r="C18" s="54" t="str">
        <f>Scope!$F$37</f>
        <v>None</v>
      </c>
      <c r="D18" s="66"/>
      <c r="E18" s="66"/>
      <c r="F18" s="66"/>
      <c r="G18" s="66"/>
      <c r="H18" s="66"/>
      <c r="I18" s="66"/>
      <c r="J18" s="66"/>
      <c r="K18" s="66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</row>
    <row r="19" spans="1:44" s="75" customFormat="1">
      <c r="A19" s="182"/>
      <c r="B19" s="223"/>
      <c r="C19" s="54"/>
      <c r="D19" s="66"/>
      <c r="E19" s="66"/>
      <c r="F19" s="66"/>
      <c r="G19" s="66"/>
      <c r="H19" s="66"/>
      <c r="I19" s="66"/>
      <c r="J19" s="66"/>
      <c r="K19" s="66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</row>
    <row r="20" spans="1:44" s="75" customFormat="1">
      <c r="A20" s="182" t="s">
        <v>1264</v>
      </c>
      <c r="B20" s="223"/>
      <c r="C20" s="54"/>
      <c r="D20" s="66"/>
      <c r="E20" s="66"/>
      <c r="F20" s="66"/>
      <c r="G20" s="66"/>
      <c r="H20" s="66"/>
      <c r="I20" s="66"/>
      <c r="J20" s="66"/>
      <c r="K20" s="66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</row>
    <row r="21" spans="1:44" s="229" customFormat="1">
      <c r="A21" s="233"/>
      <c r="B21" s="171">
        <v>1</v>
      </c>
      <c r="C21" s="54" t="s">
        <v>441</v>
      </c>
      <c r="D21" s="227"/>
      <c r="E21" s="227"/>
      <c r="F21" s="227"/>
      <c r="G21" s="227"/>
      <c r="H21" s="227"/>
      <c r="I21" s="227"/>
      <c r="J21" s="227"/>
      <c r="K21" s="227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</row>
    <row r="22" spans="1:44" s="229" customFormat="1">
      <c r="A22" s="233"/>
      <c r="B22" s="171">
        <v>2</v>
      </c>
      <c r="C22" s="866" t="s">
        <v>789</v>
      </c>
      <c r="D22" s="867"/>
      <c r="E22" s="867"/>
      <c r="F22" s="867"/>
      <c r="G22" s="867"/>
      <c r="H22" s="867"/>
      <c r="I22" s="867"/>
      <c r="J22" s="867"/>
      <c r="K22" s="867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</row>
    <row r="23" spans="1:44" s="229" customFormat="1">
      <c r="A23" s="235"/>
      <c r="B23" s="171"/>
      <c r="C23" s="226"/>
      <c r="D23" s="227"/>
      <c r="E23" s="227"/>
      <c r="F23" s="227"/>
      <c r="G23" s="227"/>
      <c r="H23" s="227"/>
      <c r="I23" s="227"/>
      <c r="J23" s="227"/>
      <c r="K23" s="227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</row>
    <row r="24" spans="1:44" s="229" customFormat="1" hidden="1">
      <c r="A24" s="235" t="s">
        <v>397</v>
      </c>
      <c r="B24" s="230"/>
      <c r="C24" s="227"/>
      <c r="D24" s="227"/>
      <c r="E24" s="227"/>
      <c r="F24" s="227"/>
      <c r="G24" s="227"/>
      <c r="H24" s="227"/>
      <c r="I24" s="227"/>
      <c r="J24" s="227"/>
      <c r="K24" s="227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28"/>
      <c r="AD24" s="228"/>
      <c r="AE24" s="228"/>
      <c r="AF24" s="228"/>
      <c r="AG24" s="228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  <c r="AR24" s="228"/>
    </row>
    <row r="25" spans="1:44" s="229" customFormat="1" hidden="1">
      <c r="A25" s="235"/>
      <c r="B25" s="230">
        <v>1</v>
      </c>
      <c r="C25" s="227" t="s">
        <v>396</v>
      </c>
      <c r="D25" s="227"/>
      <c r="E25" s="227"/>
      <c r="F25" s="227"/>
      <c r="G25" s="227"/>
      <c r="H25" s="227"/>
      <c r="I25" s="227"/>
      <c r="J25" s="227"/>
      <c r="K25" s="227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</row>
    <row r="26" spans="1:44" s="229" customFormat="1" hidden="1">
      <c r="A26" s="235"/>
      <c r="B26" s="230"/>
      <c r="C26" s="227"/>
      <c r="D26" s="227"/>
      <c r="E26" s="227"/>
      <c r="F26" s="227"/>
      <c r="G26" s="227"/>
      <c r="H26" s="227"/>
      <c r="I26" s="227"/>
      <c r="J26" s="227"/>
      <c r="K26" s="227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28"/>
      <c r="AD26" s="228"/>
      <c r="AE26" s="228"/>
      <c r="AF26" s="228"/>
      <c r="AG26" s="228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  <c r="AR26" s="228"/>
    </row>
    <row r="27" spans="1:44" s="229" customFormat="1">
      <c r="A27" s="235" t="s">
        <v>1266</v>
      </c>
      <c r="B27" s="230"/>
      <c r="C27" s="227"/>
      <c r="D27" s="227"/>
      <c r="E27" s="227"/>
      <c r="F27" s="227"/>
      <c r="G27" s="227"/>
      <c r="H27" s="227"/>
      <c r="I27" s="227"/>
      <c r="J27" s="227"/>
      <c r="K27" s="227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</row>
    <row r="28" spans="1:44" s="229" customFormat="1">
      <c r="A28" s="185"/>
      <c r="B28" s="230">
        <v>1</v>
      </c>
      <c r="C28" s="227" t="s">
        <v>279</v>
      </c>
      <c r="D28" s="227"/>
      <c r="E28" s="227"/>
      <c r="F28" s="227"/>
      <c r="G28" s="227"/>
      <c r="H28" s="227"/>
      <c r="I28" s="227"/>
      <c r="J28" s="227"/>
      <c r="K28" s="227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</row>
    <row r="29" spans="1:44" s="229" customFormat="1">
      <c r="A29" s="233"/>
      <c r="B29" s="225">
        <v>2</v>
      </c>
      <c r="C29" s="226" t="s">
        <v>280</v>
      </c>
      <c r="D29" s="227"/>
      <c r="E29" s="227"/>
      <c r="F29" s="227"/>
      <c r="G29" s="227"/>
      <c r="H29" s="227"/>
      <c r="I29" s="227"/>
      <c r="J29" s="227"/>
      <c r="K29" s="227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</row>
    <row r="30" spans="1:44" s="229" customFormat="1">
      <c r="A30" s="233"/>
      <c r="B30" s="225"/>
      <c r="C30" s="226"/>
      <c r="D30" s="227"/>
      <c r="E30" s="227"/>
      <c r="F30" s="227"/>
      <c r="G30" s="227"/>
      <c r="H30" s="227"/>
      <c r="I30" s="227"/>
      <c r="J30" s="227"/>
      <c r="K30" s="227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</row>
    <row r="31" spans="1:44" s="229" customFormat="1">
      <c r="A31" s="233" t="s">
        <v>1267</v>
      </c>
      <c r="B31" s="230"/>
      <c r="C31" s="226"/>
      <c r="D31" s="227"/>
      <c r="E31" s="227"/>
      <c r="F31" s="227"/>
      <c r="G31" s="227"/>
      <c r="H31" s="227"/>
      <c r="I31" s="227"/>
      <c r="J31" s="227"/>
      <c r="K31" s="227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</row>
    <row r="32" spans="1:44" s="232" customFormat="1">
      <c r="A32" s="236"/>
      <c r="B32" s="226">
        <v>1</v>
      </c>
      <c r="C32" s="226" t="s">
        <v>1268</v>
      </c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</row>
    <row r="33" spans="1:44" s="232" customFormat="1">
      <c r="A33" s="233"/>
      <c r="B33" s="226">
        <v>2</v>
      </c>
      <c r="C33" s="227" t="s">
        <v>1269</v>
      </c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</row>
    <row r="34" spans="1:44" s="232" customFormat="1">
      <c r="A34" s="233"/>
      <c r="B34" s="226">
        <v>3</v>
      </c>
      <c r="C34" s="227" t="s">
        <v>1270</v>
      </c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</row>
    <row r="35" spans="1:44" s="232" customFormat="1">
      <c r="A35" s="233"/>
      <c r="B35" s="226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</row>
    <row r="36" spans="1:44" s="232" customFormat="1">
      <c r="A36" s="233" t="s">
        <v>1271</v>
      </c>
      <c r="B36" s="226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</row>
    <row r="37" spans="1:44" s="232" customFormat="1">
      <c r="A37" s="233"/>
      <c r="B37" s="226">
        <v>1</v>
      </c>
      <c r="C37" s="227" t="s">
        <v>1272</v>
      </c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</row>
    <row r="38" spans="1:44" s="232" customFormat="1">
      <c r="A38" s="233"/>
      <c r="B38" s="226">
        <v>2</v>
      </c>
      <c r="C38" s="227" t="s">
        <v>281</v>
      </c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</row>
    <row r="39" spans="1:44" s="232" customFormat="1">
      <c r="A39" s="233"/>
      <c r="B39" s="226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</row>
    <row r="40" spans="1:44" s="232" customFormat="1">
      <c r="A40" s="233" t="s">
        <v>1273</v>
      </c>
      <c r="B40" s="226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</row>
    <row r="41" spans="1:44" s="232" customFormat="1">
      <c r="A41" s="233"/>
      <c r="B41" s="226">
        <v>1</v>
      </c>
      <c r="C41" s="232" t="s">
        <v>1383</v>
      </c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</row>
    <row r="42" spans="1:44" s="232" customFormat="1">
      <c r="A42" s="233"/>
      <c r="B42" s="226">
        <v>2</v>
      </c>
      <c r="C42" s="227" t="s">
        <v>1274</v>
      </c>
      <c r="D42" s="54" t="s">
        <v>1</v>
      </c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</row>
    <row r="43" spans="1:44" s="232" customFormat="1">
      <c r="A43" s="233"/>
      <c r="B43" s="226"/>
      <c r="C43" s="227" t="s">
        <v>1275</v>
      </c>
      <c r="D43" s="54" t="s">
        <v>2</v>
      </c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</row>
    <row r="44" spans="1:44" s="232" customFormat="1">
      <c r="A44" s="233"/>
      <c r="B44" s="226"/>
      <c r="C44" s="227" t="s">
        <v>1276</v>
      </c>
      <c r="D44" s="54" t="s">
        <v>3</v>
      </c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</row>
    <row r="45" spans="1:44" s="232" customFormat="1">
      <c r="A45" s="233"/>
      <c r="B45" s="226"/>
      <c r="C45" s="227" t="s">
        <v>1277</v>
      </c>
      <c r="D45" s="54" t="s">
        <v>4</v>
      </c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</row>
    <row r="46" spans="1:44" s="232" customFormat="1">
      <c r="A46" s="233"/>
      <c r="B46" s="226"/>
      <c r="C46" s="227" t="s">
        <v>1278</v>
      </c>
      <c r="D46" s="54" t="s">
        <v>5</v>
      </c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</row>
    <row r="47" spans="1:44" s="232" customFormat="1">
      <c r="A47" s="233"/>
      <c r="B47" s="226"/>
      <c r="C47" s="227" t="s">
        <v>1279</v>
      </c>
      <c r="D47" s="54" t="s">
        <v>6</v>
      </c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</row>
    <row r="48" spans="1:44" s="232" customFormat="1">
      <c r="B48" s="226"/>
      <c r="C48" s="227" t="s">
        <v>1280</v>
      </c>
      <c r="D48" s="54" t="s">
        <v>7</v>
      </c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</row>
    <row r="49" spans="1:44" s="232" customFormat="1">
      <c r="C49" s="232" t="s">
        <v>1281</v>
      </c>
      <c r="D49" s="54" t="s">
        <v>8</v>
      </c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</row>
    <row r="50" spans="1:44" s="232" customFormat="1">
      <c r="C50" s="232" t="s">
        <v>1282</v>
      </c>
      <c r="D50" s="54" t="s">
        <v>9</v>
      </c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</row>
    <row r="51" spans="1:44" s="232" customFormat="1">
      <c r="C51" s="232" t="s">
        <v>1286</v>
      </c>
      <c r="D51" s="54" t="s">
        <v>10</v>
      </c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</row>
    <row r="52" spans="1:44" s="232" customFormat="1">
      <c r="C52" s="232" t="s">
        <v>1283</v>
      </c>
      <c r="D52" s="54" t="s">
        <v>11</v>
      </c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</row>
    <row r="53" spans="1:44" s="232" customFormat="1">
      <c r="C53" s="232" t="s">
        <v>1284</v>
      </c>
      <c r="D53" s="54" t="s">
        <v>12</v>
      </c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</row>
    <row r="54" spans="1:44" s="232" customFormat="1">
      <c r="C54" s="232" t="s">
        <v>1285</v>
      </c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</row>
    <row r="55" spans="1:44" s="232" customFormat="1"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</row>
    <row r="56" spans="1:44" s="225" customFormat="1">
      <c r="A56" s="233" t="s">
        <v>1287</v>
      </c>
      <c r="B56" s="232"/>
      <c r="C56" s="232"/>
      <c r="D56" s="227"/>
      <c r="E56" s="227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</row>
    <row r="57" spans="1:44" s="232" customFormat="1">
      <c r="A57" s="233"/>
      <c r="B57" s="232">
        <v>1</v>
      </c>
      <c r="C57" s="234" t="s">
        <v>13</v>
      </c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</row>
    <row r="58" spans="1:44" s="232" customFormat="1">
      <c r="A58" s="233"/>
      <c r="B58" s="232">
        <f>B57+1</f>
        <v>2</v>
      </c>
      <c r="C58" s="234" t="s">
        <v>14</v>
      </c>
      <c r="D58" s="227"/>
      <c r="E58" s="231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</row>
    <row r="59" spans="1:44" s="232" customFormat="1">
      <c r="A59" s="233"/>
      <c r="B59" s="232">
        <f t="shared" ref="B59:B64" si="0">B58+1</f>
        <v>3</v>
      </c>
      <c r="C59" s="234" t="s">
        <v>15</v>
      </c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</row>
    <row r="60" spans="1:44" s="232" customFormat="1">
      <c r="A60" s="233"/>
      <c r="B60" s="232">
        <f t="shared" si="0"/>
        <v>4</v>
      </c>
      <c r="C60" s="234" t="s">
        <v>16</v>
      </c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  <c r="AD60" s="227"/>
      <c r="AE60" s="227"/>
      <c r="AF60" s="227"/>
      <c r="AG60" s="227"/>
      <c r="AH60" s="227"/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</row>
    <row r="61" spans="1:44">
      <c r="A61" s="233"/>
      <c r="B61" s="232">
        <f t="shared" si="0"/>
        <v>5</v>
      </c>
      <c r="C61" s="234" t="s">
        <v>17</v>
      </c>
      <c r="D61" s="227"/>
      <c r="E61" s="227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</row>
    <row r="62" spans="1:44">
      <c r="A62" s="185"/>
      <c r="B62" s="232">
        <f t="shared" si="0"/>
        <v>6</v>
      </c>
      <c r="C62" s="234" t="s">
        <v>18</v>
      </c>
      <c r="D62" s="227"/>
      <c r="E62" s="227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</row>
    <row r="63" spans="1:44">
      <c r="A63" s="185"/>
      <c r="B63" s="232">
        <f t="shared" si="0"/>
        <v>7</v>
      </c>
      <c r="C63" s="185" t="s">
        <v>19</v>
      </c>
      <c r="D63" s="231"/>
      <c r="E63" s="227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</row>
    <row r="64" spans="1:44">
      <c r="A64" s="185"/>
      <c r="B64" s="232">
        <f t="shared" si="0"/>
        <v>8</v>
      </c>
      <c r="C64" s="185" t="s">
        <v>20</v>
      </c>
      <c r="D64" s="227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</row>
    <row r="65" spans="1:44">
      <c r="A65" s="112"/>
      <c r="B65" s="232">
        <f>B64+1</f>
        <v>9</v>
      </c>
      <c r="C65" s="185" t="s">
        <v>21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</row>
    <row r="66" spans="1:44">
      <c r="A66" s="112"/>
      <c r="B66" s="67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</row>
    <row r="67" spans="1:44">
      <c r="A67" s="112"/>
      <c r="B67" s="67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</row>
    <row r="68" spans="1:44">
      <c r="A68" s="112"/>
      <c r="B68" s="67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</row>
    <row r="69" spans="1:44">
      <c r="A69" s="112"/>
      <c r="B69" s="67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</row>
    <row r="70" spans="1:44">
      <c r="A70" s="112"/>
      <c r="B70" s="67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</row>
    <row r="71" spans="1:44">
      <c r="A71" s="112"/>
      <c r="B71" s="67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</row>
    <row r="72" spans="1:44">
      <c r="A72" s="112"/>
      <c r="B72" s="67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</row>
    <row r="73" spans="1:44">
      <c r="A73" s="112"/>
      <c r="B73" s="67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</row>
    <row r="74" spans="1:44">
      <c r="A74" s="112"/>
      <c r="B74" s="67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</row>
    <row r="75" spans="1:44">
      <c r="A75" s="112"/>
      <c r="B75" s="67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</row>
    <row r="76" spans="1:44">
      <c r="A76" s="112"/>
      <c r="B76" s="67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</row>
    <row r="77" spans="1:44">
      <c r="A77" s="112"/>
      <c r="B77" s="67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</row>
    <row r="78" spans="1:44">
      <c r="A78" s="112"/>
      <c r="B78" s="67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</row>
    <row r="79" spans="1:44">
      <c r="A79" s="112"/>
      <c r="B79" s="67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</row>
    <row r="80" spans="1:44">
      <c r="A80" s="112"/>
      <c r="B80" s="67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</row>
    <row r="81" spans="1:44">
      <c r="A81" s="112"/>
      <c r="B81" s="67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</row>
    <row r="82" spans="1:44">
      <c r="A82" s="112"/>
      <c r="B82" s="67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</row>
    <row r="83" spans="1:44">
      <c r="A83" s="112"/>
      <c r="B83" s="67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</row>
    <row r="84" spans="1:44">
      <c r="A84" s="112"/>
      <c r="B84" s="67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</row>
    <row r="85" spans="1:44">
      <c r="A85" s="112"/>
      <c r="B85" s="67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</row>
    <row r="86" spans="1:44">
      <c r="A86" s="112"/>
      <c r="B86" s="67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</row>
    <row r="87" spans="1:44">
      <c r="A87" s="112"/>
      <c r="B87" s="67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</row>
    <row r="88" spans="1:44">
      <c r="A88" s="112"/>
      <c r="B88" s="67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</row>
    <row r="89" spans="1:44">
      <c r="A89" s="112"/>
      <c r="B89" s="67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</row>
    <row r="90" spans="1:44">
      <c r="A90" s="112"/>
      <c r="B90" s="67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</row>
    <row r="91" spans="1:44">
      <c r="A91" s="112"/>
      <c r="B91" s="67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</row>
    <row r="92" spans="1:44">
      <c r="A92" s="112"/>
      <c r="B92" s="67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</row>
    <row r="93" spans="1:44">
      <c r="A93" s="112"/>
      <c r="B93" s="67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</row>
    <row r="94" spans="1:44">
      <c r="A94" s="112"/>
      <c r="B94" s="67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</row>
    <row r="95" spans="1:44">
      <c r="A95" s="112"/>
      <c r="B95" s="67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</row>
    <row r="96" spans="1:44">
      <c r="A96" s="112"/>
      <c r="B96" s="67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</row>
    <row r="97" spans="1:44">
      <c r="A97" s="112"/>
      <c r="B97" s="67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</row>
    <row r="98" spans="1:44">
      <c r="A98" s="112"/>
      <c r="B98" s="67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</row>
    <row r="99" spans="1:44">
      <c r="A99" s="112"/>
      <c r="B99" s="67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</row>
    <row r="100" spans="1:44">
      <c r="A100" s="112"/>
      <c r="B100" s="67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</row>
    <row r="101" spans="1:44">
      <c r="A101" s="112"/>
      <c r="B101" s="67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</row>
    <row r="102" spans="1:44">
      <c r="A102" s="112"/>
      <c r="B102" s="67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</row>
    <row r="103" spans="1:44">
      <c r="A103" s="112"/>
      <c r="B103" s="67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</row>
    <row r="104" spans="1:44">
      <c r="A104" s="112"/>
      <c r="B104" s="67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</row>
    <row r="105" spans="1:44">
      <c r="A105" s="112"/>
      <c r="B105" s="67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</row>
    <row r="106" spans="1:44">
      <c r="A106" s="112"/>
      <c r="B106" s="67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</row>
    <row r="107" spans="1:44">
      <c r="A107" s="112"/>
      <c r="B107" s="67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</row>
    <row r="108" spans="1:44">
      <c r="A108" s="112"/>
      <c r="B108" s="67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</row>
    <row r="109" spans="1:44">
      <c r="A109" s="112"/>
      <c r="B109" s="67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</row>
    <row r="110" spans="1:44">
      <c r="A110" s="112"/>
      <c r="B110" s="67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</row>
    <row r="111" spans="1:44">
      <c r="A111" s="112"/>
      <c r="B111" s="67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</row>
    <row r="112" spans="1:44">
      <c r="A112" s="112"/>
      <c r="B112" s="67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</row>
    <row r="113" spans="1:44">
      <c r="A113" s="112"/>
      <c r="B113" s="67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</row>
    <row r="114" spans="1:44">
      <c r="A114" s="112"/>
      <c r="B114" s="67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</row>
    <row r="115" spans="1:44">
      <c r="A115" s="112"/>
      <c r="B115" s="67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</row>
    <row r="116" spans="1:44">
      <c r="A116" s="112"/>
      <c r="B116" s="67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</row>
    <row r="117" spans="1:44">
      <c r="A117" s="112"/>
      <c r="B117" s="67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</row>
    <row r="118" spans="1:44">
      <c r="A118" s="112"/>
      <c r="B118" s="67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</row>
    <row r="119" spans="1:44">
      <c r="A119" s="112"/>
      <c r="B119" s="67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</row>
    <row r="120" spans="1:44">
      <c r="A120" s="112"/>
      <c r="B120" s="67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</row>
    <row r="121" spans="1:44">
      <c r="A121" s="112"/>
      <c r="B121" s="67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</row>
    <row r="122" spans="1:44">
      <c r="A122" s="112"/>
      <c r="B122" s="67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</row>
    <row r="123" spans="1:44">
      <c r="A123" s="112"/>
      <c r="B123" s="67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</row>
    <row r="124" spans="1:44">
      <c r="A124" s="112"/>
      <c r="B124" s="67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</row>
    <row r="125" spans="1:44">
      <c r="A125" s="112"/>
      <c r="B125" s="67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</row>
    <row r="126" spans="1:44">
      <c r="A126" s="112"/>
      <c r="B126" s="67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</row>
    <row r="127" spans="1:44">
      <c r="A127" s="112"/>
      <c r="B127" s="67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</row>
    <row r="128" spans="1:44">
      <c r="A128" s="112"/>
      <c r="B128" s="67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</row>
    <row r="129" spans="1:44">
      <c r="A129" s="112"/>
      <c r="B129" s="67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</row>
    <row r="130" spans="1:44">
      <c r="A130" s="112"/>
      <c r="B130" s="67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</row>
    <row r="131" spans="1:44">
      <c r="A131" s="112"/>
      <c r="B131" s="67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</row>
    <row r="132" spans="1:44">
      <c r="A132" s="112"/>
      <c r="B132" s="67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</row>
    <row r="133" spans="1:44">
      <c r="A133" s="112"/>
      <c r="B133" s="67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</row>
    <row r="134" spans="1:44">
      <c r="A134" s="112"/>
      <c r="B134" s="67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</row>
    <row r="135" spans="1:44">
      <c r="A135" s="112"/>
      <c r="B135" s="67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</row>
    <row r="136" spans="1:44">
      <c r="A136" s="112"/>
      <c r="B136" s="67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</row>
    <row r="137" spans="1:44">
      <c r="A137" s="112"/>
      <c r="B137" s="67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</row>
    <row r="138" spans="1:44">
      <c r="A138" s="112"/>
      <c r="B138" s="67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</row>
    <row r="139" spans="1:44">
      <c r="A139" s="112"/>
      <c r="B139" s="67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</row>
    <row r="140" spans="1:44">
      <c r="A140" s="112"/>
      <c r="B140" s="67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</row>
    <row r="141" spans="1:44">
      <c r="A141" s="112"/>
      <c r="B141" s="67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</row>
    <row r="142" spans="1:44">
      <c r="A142" s="112"/>
      <c r="B142" s="67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</row>
    <row r="143" spans="1:44">
      <c r="A143" s="112"/>
      <c r="B143" s="67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</row>
    <row r="144" spans="1:44">
      <c r="A144" s="112"/>
      <c r="B144" s="67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</row>
    <row r="145" spans="1:44">
      <c r="A145" s="112"/>
      <c r="B145" s="67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</row>
    <row r="146" spans="1:44">
      <c r="A146" s="112"/>
      <c r="B146" s="67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</row>
    <row r="147" spans="1:44">
      <c r="A147" s="112"/>
      <c r="B147" s="67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</row>
    <row r="148" spans="1:44">
      <c r="A148" s="112"/>
      <c r="B148" s="67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</row>
    <row r="149" spans="1:44">
      <c r="A149" s="112"/>
      <c r="B149" s="67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</row>
    <row r="150" spans="1:44">
      <c r="A150" s="112"/>
      <c r="B150" s="67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</row>
    <row r="151" spans="1:44">
      <c r="A151" s="112"/>
      <c r="B151" s="67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</row>
    <row r="152" spans="1:44">
      <c r="A152" s="112"/>
      <c r="B152" s="67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</row>
    <row r="153" spans="1:44">
      <c r="A153" s="112"/>
      <c r="B153" s="67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</row>
    <row r="154" spans="1:44">
      <c r="A154" s="112"/>
      <c r="B154" s="67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</row>
    <row r="155" spans="1:44">
      <c r="A155" s="112"/>
      <c r="B155" s="67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</row>
    <row r="156" spans="1:44">
      <c r="A156" s="112"/>
      <c r="B156" s="67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</row>
    <row r="157" spans="1:44">
      <c r="A157" s="112"/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</row>
    <row r="158" spans="1:44">
      <c r="A158" s="112"/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</row>
    <row r="159" spans="1:44">
      <c r="A159" s="112"/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</row>
    <row r="160" spans="1:44">
      <c r="A160" s="112"/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</row>
    <row r="161" spans="1:44">
      <c r="A161" s="112"/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</row>
    <row r="162" spans="1:44">
      <c r="A162" s="112"/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</row>
    <row r="163" spans="1:44">
      <c r="A163" s="112"/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</row>
    <row r="164" spans="1:44">
      <c r="A164" s="112"/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</row>
    <row r="165" spans="1:44">
      <c r="A165" s="112"/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</row>
    <row r="166" spans="1:44">
      <c r="A166" s="112"/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</row>
    <row r="167" spans="1:44">
      <c r="A167" s="112"/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</row>
    <row r="168" spans="1:44">
      <c r="A168" s="112"/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</row>
    <row r="169" spans="1:44">
      <c r="A169" s="112"/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</row>
    <row r="170" spans="1:44">
      <c r="A170" s="112"/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</row>
    <row r="171" spans="1:44">
      <c r="A171" s="112"/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</row>
    <row r="172" spans="1:44">
      <c r="A172" s="112"/>
      <c r="B172" s="67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</row>
    <row r="173" spans="1:44">
      <c r="A173" s="112"/>
      <c r="B173" s="67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</row>
    <row r="174" spans="1:44">
      <c r="A174" s="112"/>
      <c r="B174" s="67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</row>
    <row r="175" spans="1:44">
      <c r="A175" s="112"/>
      <c r="B175" s="67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</row>
    <row r="176" spans="1:44">
      <c r="A176" s="112"/>
      <c r="B176" s="67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</row>
    <row r="177" spans="1:44">
      <c r="A177" s="112"/>
      <c r="B177" s="67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</row>
    <row r="178" spans="1:44">
      <c r="A178" s="112"/>
      <c r="B178" s="67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</row>
    <row r="179" spans="1:44">
      <c r="A179" s="112"/>
      <c r="B179" s="67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</row>
    <row r="180" spans="1:44">
      <c r="A180" s="112"/>
      <c r="B180" s="67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</row>
    <row r="181" spans="1:44">
      <c r="A181" s="112"/>
      <c r="B181" s="67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</row>
    <row r="182" spans="1:44">
      <c r="A182" s="112"/>
      <c r="B182" s="67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</row>
    <row r="183" spans="1:44">
      <c r="A183" s="112"/>
      <c r="B183" s="67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</row>
    <row r="184" spans="1:44">
      <c r="A184" s="112"/>
      <c r="B184" s="67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</row>
    <row r="185" spans="1:44">
      <c r="A185" s="112"/>
      <c r="B185" s="67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</row>
    <row r="186" spans="1:44">
      <c r="A186" s="112"/>
      <c r="B186" s="67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</row>
    <row r="187" spans="1:44">
      <c r="A187" s="112"/>
      <c r="B187" s="67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</row>
    <row r="188" spans="1:44">
      <c r="A188" s="112"/>
      <c r="B188" s="67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</row>
    <row r="189" spans="1:44">
      <c r="A189" s="112"/>
      <c r="B189" s="67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</row>
    <row r="190" spans="1:44">
      <c r="A190" s="112"/>
      <c r="B190" s="67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</row>
    <row r="191" spans="1:44">
      <c r="A191" s="112"/>
      <c r="B191" s="67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</row>
    <row r="192" spans="1:44">
      <c r="A192" s="112"/>
      <c r="B192" s="67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</row>
    <row r="193" spans="1:44">
      <c r="A193" s="112"/>
      <c r="B193" s="67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</row>
    <row r="194" spans="1:44">
      <c r="A194" s="112"/>
      <c r="B194" s="67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</row>
    <row r="195" spans="1:44">
      <c r="A195" s="112"/>
      <c r="B195" s="67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</row>
    <row r="196" spans="1:44">
      <c r="A196" s="112"/>
      <c r="B196" s="67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</row>
    <row r="197" spans="1:44">
      <c r="A197" s="112"/>
      <c r="B197" s="67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</row>
    <row r="198" spans="1:44">
      <c r="A198" s="112"/>
      <c r="B198" s="67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</row>
    <row r="199" spans="1:44">
      <c r="A199" s="112"/>
      <c r="B199" s="67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</row>
    <row r="200" spans="1:44">
      <c r="A200" s="112"/>
      <c r="B200" s="67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</row>
    <row r="201" spans="1:44">
      <c r="A201" s="112"/>
      <c r="B201" s="67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</row>
    <row r="202" spans="1:44">
      <c r="A202" s="112"/>
      <c r="B202" s="67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</row>
    <row r="203" spans="1:44">
      <c r="A203" s="112"/>
      <c r="B203" s="67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</row>
    <row r="204" spans="1:44">
      <c r="A204" s="112"/>
      <c r="B204" s="67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</row>
    <row r="205" spans="1:44">
      <c r="A205" s="112"/>
      <c r="B205" s="67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</row>
    <row r="206" spans="1:44">
      <c r="A206" s="112"/>
      <c r="B206" s="67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</row>
    <row r="207" spans="1:44">
      <c r="A207" s="112"/>
      <c r="B207" s="67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</row>
    <row r="208" spans="1:44">
      <c r="A208" s="112"/>
      <c r="B208" s="67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</row>
    <row r="209" spans="1:44">
      <c r="A209" s="112"/>
      <c r="B209" s="67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</row>
    <row r="210" spans="1:44">
      <c r="A210" s="112"/>
      <c r="B210" s="67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</row>
    <row r="211" spans="1:44">
      <c r="A211" s="112"/>
      <c r="B211" s="67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</row>
    <row r="212" spans="1:44">
      <c r="A212" s="112"/>
      <c r="B212" s="67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</row>
    <row r="213" spans="1:44">
      <c r="A213" s="112"/>
      <c r="B213" s="67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</row>
    <row r="214" spans="1:44">
      <c r="A214" s="112"/>
      <c r="B214" s="67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</row>
    <row r="215" spans="1:44">
      <c r="A215" s="112"/>
      <c r="B215" s="67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</row>
    <row r="216" spans="1:44">
      <c r="A216" s="112"/>
      <c r="B216" s="67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</row>
    <row r="217" spans="1:44">
      <c r="A217" s="112"/>
      <c r="B217" s="67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</row>
    <row r="218" spans="1:44">
      <c r="A218" s="112"/>
      <c r="B218" s="67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</row>
    <row r="219" spans="1:44">
      <c r="A219" s="112"/>
      <c r="B219" s="67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</row>
    <row r="220" spans="1:44">
      <c r="A220" s="112"/>
      <c r="B220" s="67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</row>
    <row r="221" spans="1:44">
      <c r="A221" s="112"/>
      <c r="B221" s="67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</row>
    <row r="222" spans="1:44">
      <c r="A222" s="112"/>
      <c r="B222" s="67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</row>
    <row r="223" spans="1:44">
      <c r="A223" s="112"/>
      <c r="B223" s="67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</row>
    <row r="224" spans="1:44">
      <c r="A224" s="112"/>
      <c r="B224" s="67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</row>
    <row r="225" spans="1:44">
      <c r="A225" s="112"/>
      <c r="B225" s="67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</row>
    <row r="226" spans="1:44">
      <c r="A226" s="112"/>
      <c r="B226" s="67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</row>
    <row r="227" spans="1:44">
      <c r="A227" s="112"/>
      <c r="B227" s="67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</row>
    <row r="228" spans="1:44">
      <c r="A228" s="112"/>
      <c r="B228" s="67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</row>
    <row r="229" spans="1:44">
      <c r="A229" s="112"/>
      <c r="B229" s="67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</row>
    <row r="230" spans="1:44">
      <c r="A230" s="112"/>
      <c r="B230" s="67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</row>
    <row r="231" spans="1:44">
      <c r="A231" s="112"/>
      <c r="B231" s="67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</row>
    <row r="232" spans="1:44">
      <c r="A232" s="112"/>
      <c r="B232" s="67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</row>
    <row r="233" spans="1:44">
      <c r="A233" s="112"/>
      <c r="B233" s="67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</row>
    <row r="234" spans="1:44">
      <c r="A234" s="112"/>
      <c r="B234" s="67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</row>
    <row r="235" spans="1:44">
      <c r="A235" s="112"/>
      <c r="B235" s="67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</row>
    <row r="236" spans="1:44">
      <c r="A236" s="112"/>
      <c r="B236" s="6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</row>
    <row r="237" spans="1:44">
      <c r="A237" s="112"/>
      <c r="B237" s="67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</row>
    <row r="238" spans="1:44">
      <c r="A238" s="112"/>
      <c r="B238" s="67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</row>
    <row r="239" spans="1:44">
      <c r="A239" s="112"/>
      <c r="B239" s="67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</row>
    <row r="240" spans="1:44">
      <c r="A240" s="112"/>
      <c r="B240" s="67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</row>
    <row r="241" spans="1:44">
      <c r="A241" s="112"/>
      <c r="B241" s="67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</row>
    <row r="242" spans="1:44">
      <c r="A242" s="112"/>
      <c r="B242" s="67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</row>
    <row r="243" spans="1:44">
      <c r="A243" s="112"/>
      <c r="B243" s="67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</row>
    <row r="244" spans="1:44">
      <c r="A244" s="112"/>
      <c r="B244" s="67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</row>
    <row r="245" spans="1:44">
      <c r="A245" s="112"/>
      <c r="B245" s="67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</row>
    <row r="246" spans="1:44">
      <c r="A246" s="112"/>
      <c r="B246" s="67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</row>
    <row r="247" spans="1:44">
      <c r="A247" s="112"/>
      <c r="B247" s="67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</row>
    <row r="248" spans="1:44">
      <c r="A248" s="112"/>
      <c r="B248" s="6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</row>
    <row r="249" spans="1:44">
      <c r="A249" s="112"/>
      <c r="B249" s="67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</row>
    <row r="250" spans="1:44">
      <c r="A250" s="112"/>
      <c r="B250" s="67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</row>
    <row r="251" spans="1:44">
      <c r="A251" s="112"/>
      <c r="B251" s="67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</row>
    <row r="252" spans="1:44">
      <c r="A252" s="112"/>
      <c r="B252" s="67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</row>
    <row r="253" spans="1:44">
      <c r="A253" s="112"/>
      <c r="B253" s="67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</row>
    <row r="254" spans="1:44">
      <c r="A254" s="112"/>
      <c r="B254" s="67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</row>
    <row r="255" spans="1:44">
      <c r="A255" s="112"/>
      <c r="B255" s="67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</row>
    <row r="256" spans="1:44">
      <c r="A256" s="112"/>
      <c r="B256" s="67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</row>
    <row r="257" spans="1:44">
      <c r="A257" s="112"/>
      <c r="B257" s="67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</row>
    <row r="258" spans="1:44">
      <c r="A258" s="112"/>
      <c r="B258" s="67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</row>
    <row r="259" spans="1:44">
      <c r="A259" s="112"/>
      <c r="B259" s="67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</row>
    <row r="260" spans="1:44">
      <c r="A260" s="112"/>
      <c r="B260" s="67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</row>
    <row r="261" spans="1:44">
      <c r="A261" s="112"/>
      <c r="B261" s="67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</row>
    <row r="262" spans="1:44">
      <c r="A262" s="112"/>
      <c r="B262" s="67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</row>
    <row r="263" spans="1:44">
      <c r="A263" s="112"/>
      <c r="B263" s="67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</row>
    <row r="264" spans="1:44">
      <c r="A264" s="112"/>
      <c r="B264" s="67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</row>
    <row r="265" spans="1:44">
      <c r="A265" s="112"/>
      <c r="B265" s="67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</row>
    <row r="266" spans="1:44">
      <c r="A266" s="112"/>
      <c r="B266" s="67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</row>
    <row r="267" spans="1:44">
      <c r="A267" s="112"/>
      <c r="B267" s="67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</row>
    <row r="268" spans="1:44">
      <c r="A268" s="112"/>
      <c r="B268" s="67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</row>
    <row r="269" spans="1:44">
      <c r="A269" s="112"/>
      <c r="B269" s="67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</row>
    <row r="270" spans="1:44">
      <c r="A270" s="112"/>
      <c r="B270" s="67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</row>
    <row r="271" spans="1:44">
      <c r="A271" s="112"/>
      <c r="B271" s="67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</row>
    <row r="272" spans="1:44">
      <c r="A272" s="112"/>
      <c r="B272" s="67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</row>
    <row r="273" spans="1:44">
      <c r="A273" s="112"/>
      <c r="B273" s="67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</row>
    <row r="274" spans="1:44">
      <c r="A274" s="112"/>
      <c r="B274" s="67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</row>
    <row r="275" spans="1:44">
      <c r="A275" s="112"/>
      <c r="B275" s="67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</row>
    <row r="276" spans="1:44">
      <c r="A276" s="112"/>
      <c r="B276" s="67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</row>
    <row r="277" spans="1:44">
      <c r="A277" s="112"/>
      <c r="B277" s="67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</row>
    <row r="278" spans="1:44">
      <c r="A278" s="112"/>
      <c r="B278" s="67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</row>
    <row r="279" spans="1:44">
      <c r="A279" s="112"/>
      <c r="B279" s="67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</row>
    <row r="280" spans="1:44">
      <c r="A280" s="112"/>
      <c r="B280" s="67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</row>
    <row r="281" spans="1:44">
      <c r="A281" s="112"/>
      <c r="B281" s="67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</row>
    <row r="282" spans="1:44">
      <c r="A282" s="112"/>
      <c r="B282" s="67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</row>
    <row r="283" spans="1:44">
      <c r="A283" s="112"/>
      <c r="B283" s="67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</row>
    <row r="284" spans="1:44">
      <c r="A284" s="112"/>
      <c r="B284" s="67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</row>
    <row r="285" spans="1:44">
      <c r="A285" s="112"/>
      <c r="B285" s="67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</row>
    <row r="286" spans="1:44">
      <c r="A286" s="112"/>
      <c r="B286" s="67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</row>
    <row r="287" spans="1:44">
      <c r="A287" s="112"/>
      <c r="B287" s="67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</row>
    <row r="288" spans="1:44">
      <c r="A288" s="112"/>
      <c r="B288" s="67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</row>
    <row r="289" spans="1:44">
      <c r="A289" s="112"/>
      <c r="B289" s="67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</row>
    <row r="290" spans="1:44">
      <c r="A290" s="112"/>
      <c r="B290" s="67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</row>
    <row r="291" spans="1:44">
      <c r="A291" s="112"/>
      <c r="B291" s="67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</row>
    <row r="292" spans="1:44">
      <c r="A292" s="112"/>
      <c r="B292" s="67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</row>
    <row r="293" spans="1:44">
      <c r="A293" s="112"/>
      <c r="B293" s="67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</row>
    <row r="294" spans="1:44">
      <c r="A294" s="112"/>
      <c r="B294" s="67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</row>
    <row r="295" spans="1:44">
      <c r="A295" s="112"/>
      <c r="B295" s="67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</row>
    <row r="296" spans="1:44">
      <c r="A296" s="112"/>
      <c r="B296" s="67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</row>
    <row r="297" spans="1:44">
      <c r="A297" s="112"/>
      <c r="B297" s="67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</row>
    <row r="298" spans="1:44">
      <c r="A298" s="112"/>
      <c r="B298" s="67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</row>
    <row r="299" spans="1:44">
      <c r="A299" s="112"/>
      <c r="B299" s="67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</row>
    <row r="300" spans="1:44">
      <c r="A300" s="112"/>
      <c r="B300" s="67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</row>
    <row r="301" spans="1:44">
      <c r="A301" s="112"/>
      <c r="B301" s="67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</row>
    <row r="302" spans="1:44">
      <c r="A302" s="112"/>
      <c r="B302" s="67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</row>
    <row r="303" spans="1:44">
      <c r="A303" s="112"/>
      <c r="B303" s="67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</row>
    <row r="304" spans="1:44">
      <c r="A304" s="112"/>
      <c r="B304" s="67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</row>
    <row r="305" spans="1:44">
      <c r="A305" s="112"/>
      <c r="B305" s="67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</row>
    <row r="306" spans="1:44">
      <c r="A306" s="112"/>
      <c r="B306" s="67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</row>
    <row r="307" spans="1:44">
      <c r="A307" s="112"/>
      <c r="B307" s="67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</row>
    <row r="308" spans="1:44">
      <c r="A308" s="112"/>
      <c r="B308" s="67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</row>
    <row r="309" spans="1:44">
      <c r="A309" s="112"/>
      <c r="B309" s="67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</row>
    <row r="310" spans="1:44">
      <c r="A310" s="112"/>
      <c r="B310" s="67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</row>
    <row r="311" spans="1:44">
      <c r="A311" s="112"/>
      <c r="B311" s="67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</row>
    <row r="312" spans="1:44">
      <c r="A312" s="112"/>
      <c r="B312" s="67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</row>
    <row r="313" spans="1:44">
      <c r="A313" s="112"/>
      <c r="B313" s="67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</row>
    <row r="314" spans="1:44">
      <c r="A314" s="112"/>
      <c r="B314" s="67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</row>
    <row r="315" spans="1:44">
      <c r="A315" s="112"/>
      <c r="B315" s="67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</row>
    <row r="316" spans="1:44">
      <c r="A316" s="112"/>
      <c r="B316" s="67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</row>
    <row r="317" spans="1:44">
      <c r="A317" s="112"/>
      <c r="B317" s="67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</row>
    <row r="318" spans="1:44">
      <c r="A318" s="112"/>
      <c r="B318" s="67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</row>
    <row r="319" spans="1:44">
      <c r="A319" s="112"/>
      <c r="B319" s="67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</row>
    <row r="320" spans="1:44">
      <c r="A320" s="112"/>
      <c r="B320" s="67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</row>
    <row r="321" spans="1:44">
      <c r="A321" s="112"/>
      <c r="B321" s="67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</row>
    <row r="322" spans="1:44">
      <c r="A322" s="112"/>
      <c r="B322" s="67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</row>
    <row r="323" spans="1:44">
      <c r="A323" s="112"/>
      <c r="B323" s="67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</row>
    <row r="324" spans="1:44">
      <c r="A324" s="112"/>
      <c r="B324" s="67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</row>
    <row r="325" spans="1:44">
      <c r="A325" s="112"/>
      <c r="B325" s="67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</row>
    <row r="326" spans="1:44">
      <c r="A326" s="112"/>
      <c r="B326" s="67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</row>
    <row r="327" spans="1:44">
      <c r="A327" s="112"/>
      <c r="B327" s="67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</row>
    <row r="328" spans="1:44">
      <c r="A328" s="112"/>
      <c r="B328" s="67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</row>
    <row r="329" spans="1:44">
      <c r="A329" s="112"/>
      <c r="B329" s="67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</row>
    <row r="330" spans="1:44">
      <c r="A330" s="112"/>
      <c r="B330" s="67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</row>
    <row r="331" spans="1:44">
      <c r="A331" s="112"/>
      <c r="B331" s="67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</row>
    <row r="332" spans="1:44">
      <c r="A332" s="112"/>
      <c r="B332" s="67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</row>
    <row r="333" spans="1:44">
      <c r="A333" s="112"/>
      <c r="B333" s="67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</row>
    <row r="334" spans="1:44">
      <c r="A334" s="112"/>
      <c r="B334" s="67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</row>
    <row r="335" spans="1:44">
      <c r="A335" s="112"/>
      <c r="B335" s="67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</row>
    <row r="336" spans="1:44">
      <c r="A336" s="112"/>
      <c r="B336" s="67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</row>
    <row r="337" spans="1:44">
      <c r="A337" s="112"/>
      <c r="B337" s="67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</row>
    <row r="338" spans="1:44">
      <c r="A338" s="112"/>
      <c r="B338" s="67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</row>
    <row r="339" spans="1:44">
      <c r="A339" s="112"/>
      <c r="B339" s="67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</row>
    <row r="340" spans="1:44">
      <c r="B340" s="67"/>
      <c r="C340" s="66"/>
    </row>
  </sheetData>
  <mergeCells count="2">
    <mergeCell ref="A3:K3"/>
    <mergeCell ref="A1:K2"/>
  </mergeCells>
  <printOptions horizontalCentered="1"/>
  <pageMargins left="0.75" right="0.75" top="1" bottom="1" header="0.5" footer="0.5"/>
  <pageSetup scale="70" firstPageNumber="2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1">
    <pageSetUpPr fitToPage="1"/>
  </sheetPr>
  <dimension ref="A1:AP369"/>
  <sheetViews>
    <sheetView topLeftCell="A6" zoomScale="75" workbookViewId="0">
      <selection activeCell="C40" sqref="C40"/>
    </sheetView>
  </sheetViews>
  <sheetFormatPr defaultRowHeight="12.75"/>
  <cols>
    <col min="1" max="1" width="34.28515625" customWidth="1"/>
    <col min="2" max="2" width="30.7109375" customWidth="1"/>
    <col min="3" max="3" width="15.28515625" style="21" customWidth="1"/>
  </cols>
  <sheetData>
    <row r="1" spans="1:42" s="59" customFormat="1" ht="15" customHeight="1">
      <c r="A1" s="899" t="str">
        <f>Scope!$A$1</f>
        <v>AES Corp, Dallas, TX (640 MW)</v>
      </c>
      <c r="B1" s="892"/>
      <c r="C1" s="89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</row>
    <row r="2" spans="1:42" s="59" customFormat="1" ht="15" customHeight="1">
      <c r="A2" s="892"/>
      <c r="B2" s="892"/>
      <c r="C2" s="89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</row>
    <row r="3" spans="1:42" s="59" customFormat="1" ht="15.75">
      <c r="A3" s="814" t="s">
        <v>1148</v>
      </c>
      <c r="B3" s="8"/>
      <c r="C3" s="39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</row>
    <row r="4" spans="1:42">
      <c r="A4" s="8"/>
      <c r="B4" s="8"/>
      <c r="C4" s="39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>
      <c r="A5" s="8"/>
      <c r="B5" s="158" t="s">
        <v>1207</v>
      </c>
      <c r="C5" s="159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>
      <c r="A6" s="5"/>
      <c r="B6" s="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3.5" thickBot="1">
      <c r="A7" s="5"/>
      <c r="B7" s="5"/>
      <c r="C7" s="5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3.5" thickBot="1">
      <c r="A8" s="56" t="s">
        <v>1208</v>
      </c>
      <c r="C8" s="777" t="s">
        <v>578</v>
      </c>
      <c r="D8" s="83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>
      <c r="A9" s="56"/>
      <c r="C9" s="778"/>
      <c r="D9" s="84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>
      <c r="C10" s="779"/>
      <c r="D10" s="83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>
      <c r="A11" s="21" t="str">
        <f>'GTDB(6B)'!A17</f>
        <v>FUEL NOZZLES</v>
      </c>
      <c r="C11" s="837">
        <f>'GTDB(6B)'!G17*D11</f>
        <v>0</v>
      </c>
      <c r="D11" s="84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>
      <c r="A12" s="21" t="str">
        <f>'GTDB(6B)'!A18</f>
        <v>CROSSFIRE TUBES</v>
      </c>
      <c r="C12" s="837">
        <f>'GTDB(6B)'!G18*D12</f>
        <v>0</v>
      </c>
      <c r="D12" s="84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>
      <c r="A13" s="21" t="str">
        <f>'GTDB(6B)'!A19</f>
        <v>COMBUSTION LINERS</v>
      </c>
      <c r="C13" s="837">
        <f>'GTDB(6B)'!G19*D13</f>
        <v>0</v>
      </c>
      <c r="D13" s="84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>
      <c r="A14" s="21" t="str">
        <f>'GTDB(6B)'!A20</f>
        <v>TRANSITION PIECES</v>
      </c>
      <c r="C14" s="837">
        <f>'GTDB(6B)'!G20*D14</f>
        <v>0</v>
      </c>
      <c r="D14" s="84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>
      <c r="A15" s="21" t="str">
        <f>'GTDB(6B)'!A21</f>
        <v>1ST STAGE BUCKETS</v>
      </c>
      <c r="C15" s="837">
        <f>'GTDB(6B)'!G21*D15</f>
        <v>0</v>
      </c>
      <c r="D15" s="84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>
      <c r="A16" s="21" t="str">
        <f>'GTDB(6B)'!A22</f>
        <v>2ND STAGE BUCKETS</v>
      </c>
      <c r="C16" s="837">
        <f>'GTDB(6B)'!G22*D16</f>
        <v>0</v>
      </c>
      <c r="D16" s="84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>
      <c r="A17" s="21" t="str">
        <f>'GTDB(6B)'!A23</f>
        <v>3RD STAGE BUCKETS</v>
      </c>
      <c r="C17" s="837">
        <f>'GTDB(6B)'!G23*D17</f>
        <v>0</v>
      </c>
      <c r="D17" s="84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>
      <c r="A18" s="21" t="str">
        <f>'GTDB(6B)'!A24</f>
        <v>1ST STAGE SHROUDS</v>
      </c>
      <c r="C18" s="837">
        <f>'GTDB(6B)'!G24*D18</f>
        <v>0</v>
      </c>
      <c r="D18" s="84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>
      <c r="A19" s="21" t="str">
        <f>'GTDB(6B)'!A25</f>
        <v>2ND STAGE SHROUDS</v>
      </c>
      <c r="C19" s="837">
        <f>'GTDB(6B)'!G25*D19</f>
        <v>0</v>
      </c>
      <c r="D19" s="84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>
      <c r="A20" s="21" t="str">
        <f>'GTDB(6B)'!A26</f>
        <v>3RD STAGE SHROUDS</v>
      </c>
      <c r="C20" s="837">
        <f>'GTDB(6B)'!G26*D20</f>
        <v>0</v>
      </c>
      <c r="D20" s="84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>
      <c r="A21" s="21" t="str">
        <f>'GTDB(6B)'!A27</f>
        <v>1ST STAGE NOZZLES</v>
      </c>
      <c r="C21" s="837">
        <f>'GTDB(6B)'!G27*D21</f>
        <v>0</v>
      </c>
      <c r="D21" s="84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>
      <c r="A22" s="21" t="str">
        <f>'GTDB(6B)'!A28</f>
        <v>2ND STAGE NOZZLES</v>
      </c>
      <c r="C22" s="837">
        <f>'GTDB(6B)'!G28*D22</f>
        <v>0</v>
      </c>
      <c r="D22" s="84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3.5" thickBot="1">
      <c r="A23" s="21" t="str">
        <f>'GTDB(6B)'!A29</f>
        <v>3RD STAGE NOZZLES</v>
      </c>
      <c r="C23" s="837">
        <f>'GTDB(6B)'!G29*D23</f>
        <v>0</v>
      </c>
      <c r="D23" s="842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>
      <c r="A24" t="s">
        <v>1209</v>
      </c>
      <c r="C24" s="115">
        <v>0</v>
      </c>
      <c r="D24" s="48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3.5" thickBot="1">
      <c r="A25" t="s">
        <v>1210</v>
      </c>
      <c r="C25" s="115">
        <v>0</v>
      </c>
      <c r="D25" s="48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>
      <c r="A26" t="s">
        <v>1144</v>
      </c>
      <c r="C26" s="782">
        <f>'GTDB(6B)'!$G$12*D26</f>
        <v>0</v>
      </c>
      <c r="D26" s="84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>
      <c r="A27" t="s">
        <v>1145</v>
      </c>
      <c r="C27" s="782">
        <f>'GTDB(6B)'!$G$13*D27</f>
        <v>0</v>
      </c>
      <c r="D27" s="84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3.5" thickBot="1">
      <c r="A28" t="s">
        <v>1146</v>
      </c>
      <c r="C28" s="782">
        <f>'GTDB(6B)'!$G$14*D28</f>
        <v>0</v>
      </c>
      <c r="D28" s="842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>
      <c r="A29" t="s">
        <v>1211</v>
      </c>
      <c r="C29" s="115">
        <v>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>
      <c r="A30" t="s">
        <v>1147</v>
      </c>
      <c r="C30" s="815">
        <v>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>
      <c r="A31" t="s">
        <v>1212</v>
      </c>
      <c r="C31" s="162">
        <f>SUM(C10:C30)</f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>
      <c r="C32" s="11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>
      <c r="C33" s="11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>
      <c r="A34" s="56" t="s">
        <v>1213</v>
      </c>
      <c r="C34" s="11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>
      <c r="A35" s="56"/>
      <c r="C35" s="1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>
      <c r="A36" t="s">
        <v>1214</v>
      </c>
      <c r="C36" s="1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>
      <c r="C37" s="1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>
      <c r="B38" t="s">
        <v>1215</v>
      </c>
      <c r="C38" s="162">
        <f>(C36+C31)</f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>
      <c r="C39" s="11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>
      <c r="A40" s="56" t="s">
        <v>1216</v>
      </c>
      <c r="C40" s="83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>
      <c r="C41" s="11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>
      <c r="A42" s="56" t="s">
        <v>1217</v>
      </c>
      <c r="C42" s="162">
        <f>C40+C38</f>
        <v>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>
      <c r="A43" s="56"/>
      <c r="C43" s="115"/>
      <c r="E43" s="81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>
      <c r="A44" s="56" t="s">
        <v>1218</v>
      </c>
      <c r="C44" s="115">
        <f>C42*0.0025</f>
        <v>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>
      <c r="A45" s="56"/>
      <c r="C45" s="11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>
      <c r="A46" s="56" t="s">
        <v>1219</v>
      </c>
      <c r="C46" s="115">
        <f>0.01*C42</f>
        <v>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3.5" thickBot="1">
      <c r="C47" s="11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3.5" thickBot="1">
      <c r="A48" s="56" t="s">
        <v>607</v>
      </c>
      <c r="C48" s="118">
        <f>SUM(C42:C46)</f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>
      <c r="A49" s="32"/>
      <c r="B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>
      <c r="A50" s="5"/>
      <c r="B50" s="5"/>
      <c r="C50" s="2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>
      <c r="A51" s="5"/>
      <c r="B51" s="5"/>
      <c r="C51" s="2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>
      <c r="A52" s="5"/>
      <c r="B52" s="5"/>
      <c r="C52" s="2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>
      <c r="A53" s="5"/>
      <c r="B53" s="5"/>
      <c r="C53" s="25"/>
      <c r="D53" s="2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>
      <c r="A54" s="5"/>
      <c r="B54" s="5"/>
      <c r="C54" s="2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>
      <c r="A55" s="5"/>
      <c r="B55" s="5"/>
      <c r="C55" s="2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>
      <c r="A56" s="5"/>
      <c r="B56" s="5"/>
      <c r="C56" s="2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>
      <c r="A57" s="5"/>
      <c r="B57" s="5"/>
      <c r="C57" s="2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>
      <c r="A58" s="5"/>
      <c r="B58" s="5"/>
      <c r="C58" s="2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>
      <c r="A59" s="5"/>
      <c r="B59" s="5"/>
      <c r="C59" s="2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>
      <c r="A60" s="5"/>
      <c r="B60" s="5"/>
      <c r="C60" s="2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>
      <c r="A61" s="5"/>
      <c r="B61" s="5"/>
      <c r="C61" s="2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>
      <c r="A62" s="5"/>
      <c r="B62" s="5"/>
      <c r="C62" s="2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>
      <c r="A63" s="5"/>
      <c r="B63" s="5"/>
      <c r="C63" s="2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>
      <c r="A64" s="5"/>
      <c r="B64" s="5"/>
      <c r="C64" s="2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>
      <c r="A65" s="5"/>
      <c r="B65" s="5"/>
      <c r="C65" s="2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>
      <c r="A66" s="5"/>
      <c r="B66" s="5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>
      <c r="A67" s="5"/>
      <c r="B67" s="5"/>
      <c r="C67" s="2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>
      <c r="A68" s="5"/>
      <c r="B68" s="5"/>
      <c r="C68" s="2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>
      <c r="A69" s="5"/>
      <c r="B69" s="5"/>
      <c r="C69" s="2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>
      <c r="A70" s="5"/>
      <c r="B70" s="5"/>
      <c r="C70" s="2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>
      <c r="A71" s="5"/>
      <c r="B71" s="5"/>
      <c r="C71" s="2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>
      <c r="A72" s="5"/>
      <c r="B72" s="5"/>
      <c r="C72" s="2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>
      <c r="A73" s="5"/>
      <c r="B73" s="5"/>
      <c r="C73" s="2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>
      <c r="A74" s="5"/>
      <c r="B74" s="5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>
      <c r="A75" s="5"/>
      <c r="B75" s="5"/>
      <c r="C75" s="2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>
      <c r="A76" s="5"/>
      <c r="B76" s="5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>
      <c r="A77" s="5"/>
      <c r="B77" s="5"/>
      <c r="C77" s="2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>
      <c r="A78" s="5"/>
      <c r="B78" s="5"/>
      <c r="C78" s="2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>
      <c r="A79" s="5"/>
      <c r="B79" s="5"/>
      <c r="C79" s="2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>
      <c r="A80" s="5"/>
      <c r="B80" s="5"/>
      <c r="C80" s="2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>
      <c r="A81" s="5"/>
      <c r="B81" s="5"/>
      <c r="C81" s="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>
      <c r="A82" s="5"/>
      <c r="B82" s="5"/>
      <c r="C82" s="2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>
      <c r="A83" s="5"/>
      <c r="B83" s="5"/>
      <c r="C83" s="2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>
      <c r="A84" s="5"/>
      <c r="B84" s="5"/>
      <c r="C84" s="2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>
      <c r="A85" s="5"/>
      <c r="B85" s="5"/>
      <c r="C85" s="2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>
      <c r="A86" s="5"/>
      <c r="B86" s="5"/>
      <c r="C86" s="2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>
      <c r="A87" s="5"/>
      <c r="B87" s="5"/>
      <c r="C87" s="2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>
      <c r="A88" s="5"/>
      <c r="B88" s="5"/>
      <c r="C88" s="2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>
      <c r="A89" s="5"/>
      <c r="B89" s="5"/>
      <c r="C89" s="2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>
      <c r="A90" s="5"/>
      <c r="B90" s="5"/>
      <c r="C90" s="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>
      <c r="A91" s="5"/>
      <c r="B91" s="5"/>
      <c r="C91" s="2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>
      <c r="A92" s="5"/>
      <c r="B92" s="5"/>
      <c r="C92" s="2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>
      <c r="A93" s="5"/>
      <c r="B93" s="5"/>
      <c r="C93" s="2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>
      <c r="A94" s="5"/>
      <c r="B94" s="5"/>
      <c r="C94" s="2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>
      <c r="A95" s="5"/>
      <c r="B95" s="5"/>
      <c r="C95" s="2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>
      <c r="A96" s="5"/>
      <c r="B96" s="5"/>
      <c r="C96" s="2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>
      <c r="A97" s="5"/>
      <c r="B97" s="5"/>
      <c r="C97" s="2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>
      <c r="A98" s="5"/>
      <c r="B98" s="5"/>
      <c r="C98" s="2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>
      <c r="A99" s="5"/>
      <c r="B99" s="5"/>
      <c r="C99" s="2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>
      <c r="A100" s="5"/>
      <c r="B100" s="5"/>
      <c r="C100" s="2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>
      <c r="A101" s="5"/>
      <c r="B101" s="5"/>
      <c r="C101" s="2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>
      <c r="A102" s="5"/>
      <c r="B102" s="5"/>
      <c r="C102" s="2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>
      <c r="A103" s="5"/>
      <c r="B103" s="5"/>
      <c r="C103" s="2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>
      <c r="A104" s="5"/>
      <c r="B104" s="5"/>
      <c r="C104" s="2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>
      <c r="A105" s="5"/>
      <c r="B105" s="5"/>
      <c r="C105" s="2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>
      <c r="A106" s="5"/>
      <c r="B106" s="5"/>
      <c r="C106" s="2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>
      <c r="A107" s="5"/>
      <c r="B107" s="5"/>
      <c r="C107" s="2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>
      <c r="A108" s="5"/>
      <c r="B108" s="5"/>
      <c r="C108" s="2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>
      <c r="A109" s="5"/>
      <c r="B109" s="5"/>
      <c r="C109" s="2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>
      <c r="A110" s="5"/>
      <c r="B110" s="5"/>
      <c r="C110" s="2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>
      <c r="A111" s="5"/>
      <c r="B111" s="5"/>
      <c r="C111" s="2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>
      <c r="A112" s="5"/>
      <c r="B112" s="5"/>
      <c r="C112" s="2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>
      <c r="A113" s="5"/>
      <c r="B113" s="5"/>
      <c r="C113" s="2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>
      <c r="A114" s="5"/>
      <c r="B114" s="5"/>
      <c r="C114" s="2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>
      <c r="A115" s="5"/>
      <c r="B115" s="5"/>
      <c r="C115" s="2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>
      <c r="A116" s="5"/>
      <c r="B116" s="5"/>
      <c r="C116" s="2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>
      <c r="A117" s="5"/>
      <c r="B117" s="5"/>
      <c r="C117" s="2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>
      <c r="A118" s="5"/>
      <c r="B118" s="5"/>
      <c r="C118" s="2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>
      <c r="A119" s="5"/>
      <c r="B119" s="5"/>
      <c r="C119" s="2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>
      <c r="A120" s="5"/>
      <c r="B120" s="5"/>
      <c r="C120" s="2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>
      <c r="A121" s="5"/>
      <c r="B121" s="5"/>
      <c r="C121" s="2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>
      <c r="A122" s="5"/>
      <c r="B122" s="5"/>
      <c r="C122" s="2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>
      <c r="A123" s="5"/>
      <c r="B123" s="5"/>
      <c r="C123" s="2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>
      <c r="A124" s="5"/>
      <c r="B124" s="5"/>
      <c r="C124" s="2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>
      <c r="A125" s="5"/>
      <c r="B125" s="5"/>
      <c r="C125" s="2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>
      <c r="A126" s="5"/>
      <c r="B126" s="5"/>
      <c r="C126" s="2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>
      <c r="A127" s="5"/>
      <c r="B127" s="5"/>
      <c r="C127" s="2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>
      <c r="A128" s="5"/>
      <c r="B128" s="5"/>
      <c r="C128" s="2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>
      <c r="A129" s="5"/>
      <c r="B129" s="5"/>
      <c r="C129" s="2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>
      <c r="A130" s="5"/>
      <c r="B130" s="5"/>
      <c r="C130" s="2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>
      <c r="A131" s="5"/>
      <c r="B131" s="5"/>
      <c r="C131" s="2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>
      <c r="A132" s="5"/>
      <c r="B132" s="5"/>
      <c r="C132" s="2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>
      <c r="A133" s="5"/>
      <c r="B133" s="5"/>
      <c r="C133" s="2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>
      <c r="A134" s="5"/>
      <c r="B134" s="5"/>
      <c r="C134" s="2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>
      <c r="A135" s="5"/>
      <c r="B135" s="5"/>
      <c r="C135" s="2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>
      <c r="A136" s="5"/>
      <c r="B136" s="5"/>
      <c r="C136" s="2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>
      <c r="A137" s="5"/>
      <c r="B137" s="5"/>
      <c r="C137" s="2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>
      <c r="A138" s="5"/>
      <c r="B138" s="5"/>
      <c r="C138" s="2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>
      <c r="A139" s="5"/>
      <c r="B139" s="5"/>
      <c r="C139" s="2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>
      <c r="A140" s="5"/>
      <c r="B140" s="5"/>
      <c r="C140" s="2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>
      <c r="A141" s="5"/>
      <c r="B141" s="5"/>
      <c r="C141" s="2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>
      <c r="A142" s="5"/>
      <c r="B142" s="5"/>
      <c r="C142" s="2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>
      <c r="A143" s="5"/>
      <c r="B143" s="5"/>
      <c r="C143" s="2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>
      <c r="A144" s="5"/>
      <c r="B144" s="5"/>
      <c r="C144" s="2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>
      <c r="A145" s="5"/>
      <c r="B145" s="5"/>
      <c r="C145" s="2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>
      <c r="A146" s="5"/>
      <c r="B146" s="5"/>
      <c r="C146" s="2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>
      <c r="A147" s="5"/>
      <c r="B147" s="5"/>
      <c r="C147" s="2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>
      <c r="A148" s="5"/>
      <c r="B148" s="5"/>
      <c r="C148" s="2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>
      <c r="A149" s="5"/>
      <c r="B149" s="5"/>
      <c r="C149" s="2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>
      <c r="A150" s="5"/>
      <c r="B150" s="5"/>
      <c r="C150" s="2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>
      <c r="A151" s="5"/>
      <c r="B151" s="5"/>
      <c r="C151" s="2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>
      <c r="A152" s="5"/>
      <c r="B152" s="5"/>
      <c r="C152" s="2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>
      <c r="A153" s="5"/>
      <c r="B153" s="5"/>
      <c r="C153" s="2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>
      <c r="A154" s="5"/>
      <c r="B154" s="5"/>
      <c r="C154" s="2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>
      <c r="A155" s="5"/>
      <c r="B155" s="5"/>
      <c r="C155" s="2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>
      <c r="A156" s="5"/>
      <c r="B156" s="5"/>
      <c r="C156" s="2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>
      <c r="A157" s="5"/>
      <c r="B157" s="5"/>
      <c r="C157" s="2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>
      <c r="A158" s="5"/>
      <c r="B158" s="5"/>
      <c r="C158" s="2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>
      <c r="A159" s="5"/>
      <c r="B159" s="5"/>
      <c r="C159" s="2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>
      <c r="A160" s="5"/>
      <c r="B160" s="5"/>
      <c r="C160" s="2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>
      <c r="A161" s="5"/>
      <c r="B161" s="5"/>
      <c r="C161" s="2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>
      <c r="A162" s="5"/>
      <c r="B162" s="5"/>
      <c r="C162" s="2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>
      <c r="A163" s="5"/>
      <c r="B163" s="5"/>
      <c r="C163" s="2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>
      <c r="A164" s="5"/>
      <c r="B164" s="5"/>
      <c r="C164" s="2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>
      <c r="A165" s="5"/>
      <c r="B165" s="5"/>
      <c r="C165" s="2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>
      <c r="A166" s="5"/>
      <c r="B166" s="5"/>
      <c r="C166" s="2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>
      <c r="A167" s="5"/>
      <c r="B167" s="5"/>
      <c r="C167" s="2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>
      <c r="A168" s="5"/>
      <c r="B168" s="5"/>
      <c r="C168" s="2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>
      <c r="A169" s="5"/>
      <c r="B169" s="5"/>
      <c r="C169" s="2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>
      <c r="A170" s="5"/>
      <c r="B170" s="5"/>
      <c r="C170" s="2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>
      <c r="A171" s="5"/>
      <c r="B171" s="5"/>
      <c r="C171" s="2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>
      <c r="A172" s="5"/>
      <c r="B172" s="5"/>
      <c r="C172" s="2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>
      <c r="A173" s="5"/>
      <c r="B173" s="5"/>
      <c r="C173" s="2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>
      <c r="A174" s="5"/>
      <c r="B174" s="5"/>
      <c r="C174" s="2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>
      <c r="A175" s="5"/>
      <c r="B175" s="5"/>
      <c r="C175" s="2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>
      <c r="A176" s="5"/>
      <c r="B176" s="5"/>
      <c r="C176" s="2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>
      <c r="A177" s="5"/>
      <c r="B177" s="5"/>
      <c r="C177" s="2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>
      <c r="A178" s="5"/>
      <c r="B178" s="5"/>
      <c r="C178" s="2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>
      <c r="A179" s="5"/>
      <c r="B179" s="5"/>
      <c r="C179" s="2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>
      <c r="A180" s="5"/>
      <c r="B180" s="5"/>
      <c r="C180" s="2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>
      <c r="A181" s="5"/>
      <c r="B181" s="5"/>
      <c r="C181" s="2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>
      <c r="A182" s="5"/>
      <c r="B182" s="5"/>
      <c r="C182" s="2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>
      <c r="A183" s="5"/>
      <c r="B183" s="5"/>
      <c r="C183" s="2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>
      <c r="A184" s="5"/>
      <c r="B184" s="5"/>
      <c r="C184" s="2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>
      <c r="A185" s="5"/>
      <c r="B185" s="5"/>
      <c r="C185" s="2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>
      <c r="A186" s="5"/>
      <c r="B186" s="5"/>
      <c r="C186" s="2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>
      <c r="A187" s="5"/>
      <c r="B187" s="5"/>
      <c r="C187" s="2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>
      <c r="A188" s="5"/>
      <c r="B188" s="5"/>
      <c r="C188" s="2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>
      <c r="A189" s="5"/>
      <c r="B189" s="5"/>
      <c r="C189" s="2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>
      <c r="A190" s="5"/>
      <c r="B190" s="5"/>
      <c r="C190" s="2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>
      <c r="A191" s="5"/>
      <c r="B191" s="5"/>
      <c r="C191" s="2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>
      <c r="A192" s="5"/>
      <c r="B192" s="5"/>
      <c r="C192" s="2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>
      <c r="A193" s="5"/>
      <c r="B193" s="5"/>
      <c r="C193" s="2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>
      <c r="A194" s="5"/>
      <c r="B194" s="5"/>
      <c r="C194" s="2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>
      <c r="A195" s="5"/>
      <c r="B195" s="5"/>
      <c r="C195" s="2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>
      <c r="A196" s="5"/>
      <c r="B196" s="5"/>
      <c r="C196" s="2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>
      <c r="A197" s="5"/>
      <c r="B197" s="5"/>
      <c r="C197" s="2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>
      <c r="A198" s="5"/>
      <c r="B198" s="5"/>
      <c r="C198" s="2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>
      <c r="A199" s="5"/>
      <c r="B199" s="5"/>
      <c r="C199" s="2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>
      <c r="A200" s="5"/>
      <c r="B200" s="5"/>
      <c r="C200" s="2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>
      <c r="A201" s="5"/>
      <c r="B201" s="5"/>
      <c r="C201" s="2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>
      <c r="A202" s="5"/>
      <c r="B202" s="5"/>
      <c r="C202" s="2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>
      <c r="A203" s="5"/>
      <c r="B203" s="5"/>
      <c r="C203" s="2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>
      <c r="A204" s="5"/>
      <c r="B204" s="5"/>
      <c r="C204" s="2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>
      <c r="A205" s="5"/>
      <c r="B205" s="5"/>
      <c r="C205" s="2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>
      <c r="A206" s="5"/>
      <c r="B206" s="5"/>
      <c r="C206" s="2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>
      <c r="A207" s="5"/>
      <c r="B207" s="5"/>
      <c r="C207" s="2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>
      <c r="A208" s="5"/>
      <c r="B208" s="5"/>
      <c r="C208" s="2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>
      <c r="A209" s="5"/>
      <c r="B209" s="5"/>
      <c r="C209" s="2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>
      <c r="A210" s="5"/>
      <c r="B210" s="5"/>
      <c r="C210" s="2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>
      <c r="A211" s="5"/>
      <c r="B211" s="5"/>
      <c r="C211" s="2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>
      <c r="A212" s="5"/>
      <c r="B212" s="5"/>
      <c r="C212" s="2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>
      <c r="A213" s="5"/>
      <c r="B213" s="5"/>
      <c r="C213" s="2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>
      <c r="A214" s="5"/>
      <c r="B214" s="5"/>
      <c r="C214" s="2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>
      <c r="A215" s="5"/>
      <c r="B215" s="5"/>
      <c r="C215" s="2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>
      <c r="A216" s="5"/>
      <c r="B216" s="5"/>
      <c r="C216" s="2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>
      <c r="A217" s="5"/>
      <c r="B217" s="5"/>
      <c r="C217" s="2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>
      <c r="A218" s="5"/>
      <c r="B218" s="5"/>
      <c r="C218" s="2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>
      <c r="A219" s="5"/>
      <c r="B219" s="5"/>
      <c r="C219" s="2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>
      <c r="A220" s="5"/>
      <c r="B220" s="5"/>
      <c r="C220" s="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>
      <c r="A221" s="5"/>
      <c r="B221" s="5"/>
      <c r="C221" s="2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>
      <c r="A222" s="5"/>
      <c r="B222" s="5"/>
      <c r="C222" s="2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>
      <c r="A223" s="5"/>
      <c r="B223" s="5"/>
      <c r="C223" s="2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>
      <c r="A224" s="5"/>
      <c r="B224" s="5"/>
      <c r="C224" s="2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>
      <c r="A225" s="5"/>
      <c r="B225" s="5"/>
      <c r="C225" s="2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>
      <c r="A226" s="5"/>
      <c r="B226" s="5"/>
      <c r="C226" s="2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>
      <c r="A227" s="5"/>
      <c r="B227" s="5"/>
      <c r="C227" s="2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>
      <c r="A228" s="5"/>
      <c r="B228" s="5"/>
      <c r="C228" s="2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>
      <c r="A229" s="5"/>
      <c r="B229" s="5"/>
      <c r="C229" s="2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>
      <c r="A230" s="5"/>
      <c r="B230" s="5"/>
      <c r="C230" s="2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>
      <c r="A231" s="5"/>
      <c r="B231" s="5"/>
      <c r="C231" s="2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>
      <c r="A232" s="5"/>
      <c r="B232" s="5"/>
      <c r="C232" s="2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>
      <c r="A233" s="5"/>
      <c r="B233" s="5"/>
      <c r="C233" s="2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>
      <c r="A234" s="5"/>
      <c r="B234" s="5"/>
      <c r="C234" s="2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>
      <c r="A235" s="5"/>
      <c r="B235" s="5"/>
      <c r="C235" s="2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>
      <c r="A236" s="5"/>
      <c r="B236" s="5"/>
      <c r="C236" s="2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>
      <c r="A237" s="5"/>
      <c r="B237" s="5"/>
      <c r="C237" s="2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>
      <c r="A238" s="5"/>
      <c r="B238" s="5"/>
      <c r="C238" s="2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>
      <c r="A239" s="5"/>
      <c r="B239" s="5"/>
      <c r="C239" s="2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>
      <c r="A240" s="5"/>
      <c r="B240" s="5"/>
      <c r="C240" s="2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>
      <c r="A241" s="5"/>
      <c r="B241" s="5"/>
      <c r="C241" s="2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>
      <c r="A242" s="5"/>
      <c r="B242" s="5"/>
      <c r="C242" s="2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>
      <c r="A243" s="5"/>
      <c r="B243" s="5"/>
      <c r="C243" s="2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>
      <c r="A244" s="5"/>
      <c r="B244" s="5"/>
      <c r="C244" s="2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>
      <c r="A245" s="5"/>
      <c r="B245" s="5"/>
      <c r="C245" s="2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>
      <c r="A246" s="5"/>
      <c r="B246" s="5"/>
      <c r="C246" s="2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>
      <c r="A247" s="5"/>
      <c r="B247" s="5"/>
      <c r="C247" s="2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>
      <c r="A248" s="5"/>
      <c r="B248" s="5"/>
      <c r="C248" s="2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>
      <c r="A249" s="5"/>
      <c r="B249" s="5"/>
      <c r="C249" s="2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>
      <c r="A250" s="5"/>
      <c r="B250" s="5"/>
      <c r="C250" s="2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>
      <c r="A251" s="5"/>
      <c r="B251" s="5"/>
      <c r="C251" s="2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>
      <c r="A252" s="5"/>
      <c r="B252" s="5"/>
      <c r="C252" s="2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>
      <c r="A253" s="5"/>
      <c r="B253" s="5"/>
      <c r="C253" s="2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>
      <c r="A254" s="5"/>
      <c r="B254" s="5"/>
      <c r="C254" s="2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>
      <c r="A255" s="5"/>
      <c r="B255" s="5"/>
      <c r="C255" s="2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>
      <c r="A256" s="5"/>
      <c r="B256" s="5"/>
      <c r="C256" s="2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>
      <c r="A257" s="5"/>
      <c r="B257" s="5"/>
      <c r="C257" s="2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>
      <c r="A258" s="5"/>
      <c r="B258" s="5"/>
      <c r="C258" s="2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>
      <c r="A259" s="5"/>
      <c r="B259" s="5"/>
      <c r="C259" s="2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>
      <c r="A260" s="5"/>
      <c r="B260" s="5"/>
      <c r="C260" s="2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>
      <c r="A261" s="5"/>
      <c r="B261" s="5"/>
      <c r="C261" s="2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>
      <c r="A262" s="5"/>
      <c r="B262" s="5"/>
      <c r="C262" s="2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>
      <c r="A263" s="5"/>
      <c r="B263" s="5"/>
      <c r="C263" s="2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>
      <c r="A264" s="5"/>
      <c r="B264" s="5"/>
      <c r="C264" s="2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>
      <c r="A265" s="5"/>
      <c r="B265" s="5"/>
      <c r="C265" s="2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>
      <c r="A266" s="5"/>
      <c r="B266" s="5"/>
      <c r="C266" s="2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>
      <c r="A267" s="5"/>
      <c r="B267" s="5"/>
      <c r="C267" s="2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>
      <c r="A268" s="5"/>
      <c r="B268" s="5"/>
      <c r="C268" s="2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>
      <c r="A269" s="5"/>
      <c r="B269" s="5"/>
      <c r="C269" s="2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>
      <c r="A270" s="5"/>
      <c r="B270" s="5"/>
      <c r="C270" s="2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>
      <c r="A271" s="5"/>
      <c r="B271" s="5"/>
      <c r="C271" s="2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>
      <c r="A272" s="5"/>
      <c r="B272" s="5"/>
      <c r="C272" s="2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>
      <c r="A273" s="5"/>
      <c r="B273" s="5"/>
      <c r="C273" s="2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>
      <c r="A274" s="5"/>
      <c r="B274" s="5"/>
      <c r="C274" s="2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>
      <c r="A275" s="5"/>
      <c r="B275" s="5"/>
      <c r="C275" s="2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>
      <c r="A276" s="5"/>
      <c r="B276" s="5"/>
      <c r="C276" s="2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>
      <c r="A277" s="5"/>
      <c r="B277" s="5"/>
      <c r="C277" s="2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>
      <c r="A278" s="5"/>
      <c r="B278" s="5"/>
      <c r="C278" s="2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>
      <c r="A279" s="5"/>
      <c r="B279" s="5"/>
      <c r="C279" s="2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>
      <c r="A280" s="5"/>
      <c r="B280" s="5"/>
      <c r="C280" s="2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>
      <c r="A281" s="5"/>
      <c r="B281" s="5"/>
      <c r="C281" s="2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>
      <c r="A282" s="5"/>
      <c r="B282" s="5"/>
      <c r="C282" s="2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>
      <c r="A283" s="5"/>
      <c r="B283" s="5"/>
      <c r="C283" s="2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>
      <c r="A284" s="5"/>
      <c r="B284" s="5"/>
      <c r="C284" s="2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>
      <c r="A285" s="5"/>
      <c r="B285" s="5"/>
      <c r="C285" s="2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>
      <c r="A286" s="5"/>
      <c r="B286" s="5"/>
      <c r="C286" s="2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>
      <c r="A287" s="5"/>
      <c r="B287" s="5"/>
      <c r="C287" s="2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>
      <c r="A288" s="5"/>
      <c r="B288" s="5"/>
      <c r="C288" s="2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>
      <c r="A289" s="5"/>
      <c r="B289" s="5"/>
      <c r="C289" s="2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>
      <c r="A290" s="5"/>
      <c r="B290" s="5"/>
      <c r="C290" s="2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>
      <c r="A291" s="5"/>
      <c r="B291" s="5"/>
      <c r="C291" s="2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>
      <c r="A292" s="5"/>
      <c r="B292" s="5"/>
      <c r="C292" s="2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>
      <c r="A293" s="5"/>
      <c r="B293" s="5"/>
      <c r="C293" s="2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>
      <c r="A294" s="5"/>
      <c r="B294" s="5"/>
      <c r="C294" s="2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>
      <c r="A295" s="5"/>
      <c r="B295" s="5"/>
      <c r="C295" s="2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>
      <c r="A296" s="5"/>
      <c r="B296" s="5"/>
      <c r="C296" s="2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>
      <c r="A297" s="5"/>
      <c r="B297" s="5"/>
      <c r="C297" s="2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>
      <c r="A298" s="5"/>
      <c r="B298" s="5"/>
      <c r="C298" s="2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>
      <c r="A299" s="5"/>
      <c r="B299" s="5"/>
      <c r="C299" s="2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>
      <c r="A300" s="5"/>
      <c r="B300" s="5"/>
      <c r="C300" s="2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>
      <c r="A301" s="5"/>
      <c r="B301" s="5"/>
      <c r="C301" s="2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>
      <c r="A302" s="5"/>
      <c r="B302" s="5"/>
      <c r="C302" s="2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>
      <c r="A303" s="5"/>
      <c r="B303" s="5"/>
      <c r="C303" s="2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>
      <c r="A304" s="5"/>
      <c r="B304" s="5"/>
      <c r="C304" s="2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>
      <c r="A305" s="5"/>
      <c r="B305" s="5"/>
      <c r="C305" s="2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>
      <c r="A306" s="5"/>
      <c r="B306" s="5"/>
      <c r="C306" s="2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>
      <c r="A307" s="5"/>
      <c r="B307" s="5"/>
      <c r="C307" s="2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>
      <c r="A308" s="5"/>
      <c r="B308" s="5"/>
      <c r="C308" s="2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>
      <c r="A309" s="5"/>
      <c r="B309" s="5"/>
      <c r="C309" s="2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>
      <c r="A310" s="5"/>
      <c r="B310" s="5"/>
      <c r="C310" s="2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>
      <c r="A311" s="5"/>
      <c r="B311" s="5"/>
      <c r="C311" s="2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>
      <c r="A312" s="5"/>
      <c r="B312" s="5"/>
      <c r="C312" s="2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>
      <c r="A313" s="5"/>
      <c r="B313" s="5"/>
      <c r="C313" s="2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>
      <c r="A314" s="5"/>
      <c r="B314" s="5"/>
      <c r="C314" s="2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>
      <c r="A315" s="5"/>
      <c r="B315" s="5"/>
      <c r="C315" s="2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>
      <c r="A316" s="5"/>
      <c r="B316" s="5"/>
      <c r="C316" s="2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>
      <c r="A317" s="5"/>
      <c r="B317" s="5"/>
      <c r="C317" s="2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>
      <c r="A318" s="5"/>
      <c r="B318" s="5"/>
      <c r="C318" s="2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>
      <c r="A319" s="5"/>
      <c r="B319" s="5"/>
      <c r="C319" s="2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>
      <c r="A320" s="5"/>
      <c r="B320" s="5"/>
      <c r="C320" s="2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>
      <c r="A321" s="5"/>
      <c r="B321" s="5"/>
      <c r="C321" s="2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>
      <c r="A322" s="5"/>
      <c r="B322" s="5"/>
      <c r="C322" s="2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>
      <c r="A323" s="5"/>
      <c r="B323" s="5"/>
      <c r="C323" s="2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>
      <c r="A324" s="5"/>
      <c r="B324" s="5"/>
      <c r="C324" s="2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>
      <c r="A325" s="5"/>
      <c r="B325" s="5"/>
      <c r="C325" s="2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>
      <c r="A326" s="5"/>
      <c r="B326" s="5"/>
      <c r="C326" s="2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>
      <c r="A327" s="5"/>
      <c r="B327" s="5"/>
      <c r="C327" s="2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>
      <c r="A328" s="5"/>
      <c r="B328" s="5"/>
      <c r="C328" s="2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>
      <c r="A329" s="5"/>
      <c r="B329" s="5"/>
      <c r="C329" s="2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>
      <c r="A330" s="5"/>
      <c r="B330" s="5"/>
      <c r="C330" s="2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>
      <c r="A331" s="5"/>
      <c r="B331" s="5"/>
      <c r="C331" s="2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>
      <c r="A332" s="5"/>
      <c r="B332" s="5"/>
      <c r="C332" s="2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>
      <c r="A333" s="5"/>
      <c r="B333" s="5"/>
      <c r="C333" s="2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>
      <c r="A334" s="5"/>
      <c r="B334" s="5"/>
      <c r="C334" s="2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>
      <c r="A335" s="5"/>
      <c r="B335" s="5"/>
      <c r="C335" s="2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>
      <c r="A336" s="5"/>
      <c r="B336" s="5"/>
      <c r="C336" s="2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>
      <c r="A337" s="5"/>
      <c r="B337" s="5"/>
      <c r="C337" s="2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>
      <c r="A338" s="5"/>
      <c r="B338" s="5"/>
      <c r="C338" s="2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>
      <c r="A339" s="5"/>
      <c r="B339" s="5"/>
      <c r="C339" s="2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>
      <c r="A340" s="5"/>
      <c r="B340" s="5"/>
      <c r="C340" s="2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>
      <c r="A341" s="5"/>
      <c r="B341" s="5"/>
      <c r="C341" s="2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>
      <c r="A342" s="5"/>
      <c r="B342" s="5"/>
      <c r="C342" s="2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>
      <c r="A343" s="5"/>
      <c r="B343" s="5"/>
      <c r="C343" s="2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>
      <c r="A344" s="5"/>
      <c r="B344" s="5"/>
      <c r="C344" s="2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>
      <c r="A345" s="5"/>
      <c r="B345" s="5"/>
      <c r="C345" s="2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>
      <c r="A346" s="5"/>
      <c r="B346" s="5"/>
      <c r="C346" s="2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>
      <c r="A347" s="5"/>
      <c r="B347" s="5"/>
      <c r="C347" s="2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>
      <c r="A348" s="5"/>
      <c r="B348" s="5"/>
      <c r="C348" s="2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>
      <c r="A349" s="5"/>
      <c r="B349" s="5"/>
      <c r="C349" s="2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>
      <c r="A350" s="5"/>
      <c r="B350" s="5"/>
      <c r="C350" s="2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>
      <c r="A351" s="5"/>
      <c r="B351" s="5"/>
      <c r="C351" s="2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>
      <c r="A352" s="5"/>
      <c r="B352" s="5"/>
      <c r="C352" s="2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>
      <c r="A353" s="5"/>
      <c r="B353" s="5"/>
      <c r="C353" s="2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>
      <c r="A354" s="5"/>
      <c r="B354" s="5"/>
      <c r="C354" s="2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>
      <c r="A355" s="5"/>
      <c r="B355" s="5"/>
      <c r="C355" s="2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>
      <c r="A356" s="5"/>
      <c r="B356" s="5"/>
      <c r="C356" s="2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>
      <c r="A357" s="5"/>
      <c r="B357" s="5"/>
      <c r="C357" s="2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>
      <c r="A358" s="5"/>
      <c r="B358" s="5"/>
      <c r="C358" s="2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>
      <c r="A359" s="5"/>
      <c r="B359" s="5"/>
      <c r="C359" s="2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>
      <c r="A360" s="5"/>
      <c r="B360" s="5"/>
      <c r="C360" s="2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>
      <c r="A361" s="5"/>
      <c r="B361" s="5"/>
      <c r="C361" s="2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>
      <c r="A362" s="5"/>
      <c r="B362" s="5"/>
      <c r="C362" s="2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>
      <c r="A363" s="5"/>
      <c r="B363" s="5"/>
      <c r="C363" s="2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>
      <c r="A364" s="5"/>
      <c r="B364" s="5"/>
      <c r="C364" s="2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>
      <c r="A365" s="5"/>
      <c r="B365" s="5"/>
      <c r="C365" s="2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>
      <c r="A366" s="5"/>
      <c r="B366" s="5"/>
      <c r="C366" s="2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>
      <c r="A367" s="5"/>
      <c r="B367" s="5"/>
      <c r="C367" s="2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>
      <c r="A368" s="5"/>
      <c r="B368" s="5"/>
      <c r="C368" s="2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1:42">
      <c r="A369" s="5"/>
      <c r="B369" s="5"/>
      <c r="C369" s="2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</sheetData>
  <mergeCells count="1">
    <mergeCell ref="A1:C2"/>
  </mergeCells>
  <printOptions horizontalCentered="1"/>
  <pageMargins left="0.75" right="0.75" top="1" bottom="1" header="0.5" footer="0.5"/>
  <pageSetup scale="99" firstPageNumber="6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2">
    <pageSetUpPr fitToPage="1"/>
  </sheetPr>
  <dimension ref="A2:X68"/>
  <sheetViews>
    <sheetView topLeftCell="A24" zoomScale="75" zoomScaleNormal="75" workbookViewId="0">
      <selection activeCell="F37" sqref="F37:G37"/>
    </sheetView>
  </sheetViews>
  <sheetFormatPr defaultRowHeight="12.75"/>
  <cols>
    <col min="1" max="1" width="18.28515625" style="640" customWidth="1"/>
    <col min="2" max="2" width="10.28515625" customWidth="1"/>
    <col min="3" max="4" width="9.28515625" bestFit="1" customWidth="1"/>
    <col min="24" max="24" width="9.85546875" style="635" bestFit="1" customWidth="1"/>
  </cols>
  <sheetData>
    <row r="2" spans="1:24" ht="18">
      <c r="A2" s="803" t="str">
        <f>CONCATENATE('rotation(6B)'!$X$7,"x",'GTDB(6B)'!$B$5," GT Scheduled Maintenance  Cost")</f>
        <v>0xGE-Frame 6B GT Scheduled Maintenance  Cost</v>
      </c>
      <c r="B2" s="374"/>
    </row>
    <row r="4" spans="1:24">
      <c r="A4" s="636" t="s">
        <v>1220</v>
      </c>
      <c r="B4" s="140"/>
      <c r="C4" s="140"/>
      <c r="D4" s="140">
        <v>1</v>
      </c>
      <c r="E4" s="140">
        <v>2</v>
      </c>
      <c r="F4" s="140">
        <v>3</v>
      </c>
      <c r="G4" s="140">
        <v>4</v>
      </c>
      <c r="H4" s="140">
        <v>5</v>
      </c>
      <c r="I4" s="140">
        <v>6</v>
      </c>
      <c r="J4" s="140">
        <v>7</v>
      </c>
      <c r="K4" s="140">
        <v>8</v>
      </c>
      <c r="L4" s="140">
        <v>9</v>
      </c>
      <c r="M4" s="140">
        <v>10</v>
      </c>
      <c r="N4" s="140">
        <v>11</v>
      </c>
      <c r="O4" s="140">
        <v>12</v>
      </c>
      <c r="P4" s="140">
        <v>13</v>
      </c>
      <c r="Q4" s="140">
        <v>14</v>
      </c>
      <c r="R4" s="140">
        <v>15</v>
      </c>
      <c r="S4" s="140">
        <v>16</v>
      </c>
      <c r="T4" s="140">
        <v>17</v>
      </c>
      <c r="U4" s="140">
        <v>18</v>
      </c>
      <c r="V4" s="140">
        <v>19</v>
      </c>
      <c r="W4" s="140">
        <v>20</v>
      </c>
      <c r="X4" s="635" t="s">
        <v>898</v>
      </c>
    </row>
    <row r="5" spans="1:24">
      <c r="A5" s="804" t="str">
        <f>IF('rotation(6B)'!$X$7&lt;1," ", "UNIT 1")</f>
        <v xml:space="preserve"> </v>
      </c>
      <c r="B5" s="140"/>
      <c r="C5" s="140"/>
      <c r="D5" s="637" t="str">
        <f>CONCATENATE('rotation(6B)'!C$12,'rotation(6B)'!C$13,'rotation(6B)'!C$14)</f>
        <v xml:space="preserve">   </v>
      </c>
      <c r="E5" s="637" t="str">
        <f>CONCATENATE('rotation(6B)'!D$12,'rotation(6B)'!D$13,'rotation(6B)'!D$14)</f>
        <v xml:space="preserve">   </v>
      </c>
      <c r="F5" s="637" t="str">
        <f>CONCATENATE('rotation(6B)'!E$12,'rotation(6B)'!E$13,'rotation(6B)'!E$14)</f>
        <v xml:space="preserve">   </v>
      </c>
      <c r="G5" s="637" t="str">
        <f>CONCATENATE('rotation(6B)'!F$12,'rotation(6B)'!F$13,'rotation(6B)'!F$14)</f>
        <v xml:space="preserve">   </v>
      </c>
      <c r="H5" s="637" t="str">
        <f>CONCATENATE('rotation(6B)'!G$12,'rotation(6B)'!G$13,'rotation(6B)'!G$14)</f>
        <v xml:space="preserve">   </v>
      </c>
      <c r="I5" s="637" t="str">
        <f>CONCATENATE('rotation(6B)'!H$12,'rotation(6B)'!H$13,'rotation(6B)'!H$14)</f>
        <v xml:space="preserve">   </v>
      </c>
      <c r="J5" s="637" t="str">
        <f>CONCATENATE('rotation(6B)'!I$12,'rotation(6B)'!I$13,'rotation(6B)'!I$14)</f>
        <v xml:space="preserve">   </v>
      </c>
      <c r="K5" s="637" t="str">
        <f>CONCATENATE('rotation(6B)'!J$12,'rotation(6B)'!J$13,'rotation(6B)'!J$14)</f>
        <v xml:space="preserve">   </v>
      </c>
      <c r="L5" s="637" t="str">
        <f>CONCATENATE('rotation(6B)'!K$12,'rotation(6B)'!K$13,'rotation(6B)'!K$14)</f>
        <v xml:space="preserve">   </v>
      </c>
      <c r="M5" s="637" t="str">
        <f>CONCATENATE('rotation(6B)'!L$12,'rotation(6B)'!L$13,'rotation(6B)'!L$14)</f>
        <v xml:space="preserve">   </v>
      </c>
      <c r="N5" s="637" t="str">
        <f>CONCATENATE('rotation(6B)'!M$12,'rotation(6B)'!M$13,'rotation(6B)'!M$14)</f>
        <v xml:space="preserve">   </v>
      </c>
      <c r="O5" s="637" t="str">
        <f>CONCATENATE('rotation(6B)'!N$12,'rotation(6B)'!N$13,'rotation(6B)'!N$14)</f>
        <v xml:space="preserve">   </v>
      </c>
      <c r="P5" s="637" t="str">
        <f>CONCATENATE('rotation(6B)'!O$12,'rotation(6B)'!O$13,'rotation(6B)'!O$14)</f>
        <v xml:space="preserve">   </v>
      </c>
      <c r="Q5" s="637" t="str">
        <f>CONCATENATE('rotation(6B)'!P$12,'rotation(6B)'!P$13,'rotation(6B)'!P$14)</f>
        <v xml:space="preserve">   </v>
      </c>
      <c r="R5" s="637" t="str">
        <f>CONCATENATE('rotation(6B)'!Q$12,'rotation(6B)'!Q$13,'rotation(6B)'!Q$14)</f>
        <v xml:space="preserve">   </v>
      </c>
      <c r="S5" s="637" t="str">
        <f>CONCATENATE('rotation(6B)'!R$12,'rotation(6B)'!R$13,'rotation(6B)'!R$14)</f>
        <v xml:space="preserve">   </v>
      </c>
      <c r="T5" s="637" t="str">
        <f>CONCATENATE('rotation(6B)'!S$12,'rotation(6B)'!S$13,'rotation(6B)'!S$14)</f>
        <v xml:space="preserve">   </v>
      </c>
      <c r="U5" s="637" t="str">
        <f>CONCATENATE('rotation(6B)'!T$12,'rotation(6B)'!T$13,'rotation(6B)'!T$14)</f>
        <v xml:space="preserve">   </v>
      </c>
      <c r="V5" s="637" t="str">
        <f>CONCATENATE('rotation(6B)'!U$12,'rotation(6B)'!U$13,'rotation(6B)'!U$14)</f>
        <v xml:space="preserve">   </v>
      </c>
      <c r="W5" s="637" t="str">
        <f>CONCATENATE('rotation(6B)'!V$12,'rotation(6B)'!V$13,'rotation(6B)'!V$14)</f>
        <v xml:space="preserve">   </v>
      </c>
    </row>
    <row r="6" spans="1:24">
      <c r="A6" s="804" t="str">
        <f>IF('rotation(6B)'!$X$7&lt;2," ", "UNIT 2")</f>
        <v xml:space="preserve"> </v>
      </c>
      <c r="B6" s="140"/>
      <c r="C6" s="140"/>
      <c r="D6" s="637" t="str">
        <f>IF('rotation(6B)'!$X$7&lt;2," ",CONCATENATE('rotation(6B)'!C$12,'rotation(6B)'!C$13,'rotation(6B)'!C$14))</f>
        <v xml:space="preserve"> </v>
      </c>
      <c r="E6" s="637" t="str">
        <f>IF('rotation(6B)'!$X$7&lt;2," ",CONCATENATE('rotation(6B)'!D$12,'rotation(6B)'!D$13,'rotation(6B)'!D$14))</f>
        <v xml:space="preserve"> </v>
      </c>
      <c r="F6" s="637" t="str">
        <f>IF('rotation(6B)'!$X$7&lt;2," ",CONCATENATE('rotation(6B)'!E$12,'rotation(6B)'!E$13,'rotation(6B)'!E$14))</f>
        <v xml:space="preserve"> </v>
      </c>
      <c r="G6" s="637" t="str">
        <f>IF('rotation(6B)'!$X$7&lt;2," ",CONCATENATE('rotation(6B)'!F$12,'rotation(6B)'!F$13,'rotation(6B)'!F$14))</f>
        <v xml:space="preserve"> </v>
      </c>
      <c r="H6" s="637" t="str">
        <f>IF('rotation(6B)'!$X$7&lt;2," ",CONCATENATE('rotation(6B)'!G$12,'rotation(6B)'!G$13,'rotation(6B)'!G$14))</f>
        <v xml:space="preserve"> </v>
      </c>
      <c r="I6" s="637" t="str">
        <f>IF('rotation(6B)'!$X$7&lt;2," ",CONCATENATE('rotation(6B)'!H$12,'rotation(6B)'!H$13,'rotation(6B)'!H$14))</f>
        <v xml:space="preserve"> </v>
      </c>
      <c r="J6" s="637" t="str">
        <f>IF('rotation(6B)'!$X$7&lt;2," ",CONCATENATE('rotation(6B)'!I$12,'rotation(6B)'!I$13,'rotation(6B)'!I$14))</f>
        <v xml:space="preserve"> </v>
      </c>
      <c r="K6" s="637" t="str">
        <f>IF('rotation(6B)'!$X$7&lt;2," ",CONCATENATE('rotation(6B)'!J$12,'rotation(6B)'!J$13,'rotation(6B)'!J$14))</f>
        <v xml:space="preserve"> </v>
      </c>
      <c r="L6" s="637" t="str">
        <f>IF('rotation(6B)'!$X$7&lt;2," ",CONCATENATE('rotation(6B)'!K$12,'rotation(6B)'!K$13,'rotation(6B)'!K$14))</f>
        <v xml:space="preserve"> </v>
      </c>
      <c r="M6" s="637" t="str">
        <f>IF('rotation(6B)'!$X$7&lt;2," ",CONCATENATE('rotation(6B)'!L$12,'rotation(6B)'!L$13,'rotation(6B)'!L$14))</f>
        <v xml:space="preserve"> </v>
      </c>
      <c r="N6" s="637" t="str">
        <f>IF('rotation(6B)'!$X$7&lt;2," ",CONCATENATE('rotation(6B)'!M$12,'rotation(6B)'!M$13,'rotation(6B)'!M$14))</f>
        <v xml:space="preserve"> </v>
      </c>
      <c r="O6" s="637" t="str">
        <f>IF('rotation(6B)'!$X$7&lt;2," ",CONCATENATE('rotation(6B)'!N$12,'rotation(6B)'!N$13,'rotation(6B)'!N$14))</f>
        <v xml:space="preserve"> </v>
      </c>
      <c r="P6" s="637" t="str">
        <f>IF('rotation(6B)'!$X$7&lt;2," ",CONCATENATE('rotation(6B)'!O$12,'rotation(6B)'!O$13,'rotation(6B)'!O$14))</f>
        <v xml:space="preserve"> </v>
      </c>
      <c r="Q6" s="637" t="str">
        <f>IF('rotation(6B)'!$X$7&lt;2," ",CONCATENATE('rotation(6B)'!P$12,'rotation(6B)'!P$13,'rotation(6B)'!P$14))</f>
        <v xml:space="preserve"> </v>
      </c>
      <c r="R6" s="637" t="str">
        <f>IF('rotation(6B)'!$X$7&lt;2," ",CONCATENATE('rotation(6B)'!Q$12,'rotation(6B)'!Q$13,'rotation(6B)'!Q$14))</f>
        <v xml:space="preserve"> </v>
      </c>
      <c r="S6" s="637" t="str">
        <f>IF('rotation(6B)'!$X$7&lt;2," ",CONCATENATE('rotation(6B)'!R$12,'rotation(6B)'!R$13,'rotation(6B)'!R$14))</f>
        <v xml:space="preserve"> </v>
      </c>
      <c r="T6" s="637" t="str">
        <f>IF('rotation(6B)'!$X$7&lt;2," ",CONCATENATE('rotation(6B)'!S$12,'rotation(6B)'!S$13,'rotation(6B)'!S$14))</f>
        <v xml:space="preserve"> </v>
      </c>
      <c r="U6" s="637" t="str">
        <f>IF('rotation(6B)'!$X$7&lt;2," ",CONCATENATE('rotation(6B)'!T$12,'rotation(6B)'!T$13,'rotation(6B)'!T$14))</f>
        <v xml:space="preserve"> </v>
      </c>
      <c r="V6" s="637" t="str">
        <f>IF('rotation(6B)'!$X$7&lt;2," ",CONCATENATE('rotation(6B)'!U$12,'rotation(6B)'!U$13,'rotation(6B)'!U$14))</f>
        <v xml:space="preserve"> </v>
      </c>
      <c r="W6" s="637" t="str">
        <f>IF('rotation(6B)'!$X$7&lt;2," ",CONCATENATE('rotation(6B)'!V$12,'rotation(6B)'!V$13,'rotation(6B)'!V$14))</f>
        <v xml:space="preserve"> </v>
      </c>
    </row>
    <row r="7" spans="1:24">
      <c r="A7" s="804" t="str">
        <f>IF('rotation(6B)'!$X$7&lt;3," ", "UNIT 3")</f>
        <v xml:space="preserve"> </v>
      </c>
      <c r="B7" s="140"/>
      <c r="C7" s="140"/>
      <c r="D7" s="637" t="str">
        <f>IF('rotation(6B)'!$X$7&lt;3," ",CONCATENATE('rotation(6B)'!C$12,'rotation(6B)'!C$13,'rotation(6B)'!C$14))</f>
        <v xml:space="preserve"> </v>
      </c>
      <c r="E7" s="637" t="str">
        <f>IF('rotation(6B)'!$X$7&lt;3," ",CONCATENATE('rotation(6B)'!D$12,'rotation(6B)'!D$13,'rotation(6B)'!D$14))</f>
        <v xml:space="preserve"> </v>
      </c>
      <c r="F7" s="637" t="str">
        <f>IF('rotation(6B)'!$X$7&lt;3," ",CONCATENATE('rotation(6B)'!E$12,'rotation(6B)'!E$13,'rotation(6B)'!E$14))</f>
        <v xml:space="preserve"> </v>
      </c>
      <c r="G7" s="637" t="str">
        <f>IF('rotation(6B)'!$X$7&lt;3," ",CONCATENATE('rotation(6B)'!F$12,'rotation(6B)'!F$13,'rotation(6B)'!F$14))</f>
        <v xml:space="preserve"> </v>
      </c>
      <c r="H7" s="637" t="str">
        <f>IF('rotation(6B)'!$X$7&lt;3," ",CONCATENATE('rotation(6B)'!G$12,'rotation(6B)'!G$13,'rotation(6B)'!G$14))</f>
        <v xml:space="preserve"> </v>
      </c>
      <c r="I7" s="637" t="str">
        <f>IF('rotation(6B)'!$X$7&lt;3," ",CONCATENATE('rotation(6B)'!H$12,'rotation(6B)'!H$13,'rotation(6B)'!H$14))</f>
        <v xml:space="preserve"> </v>
      </c>
      <c r="J7" s="637" t="str">
        <f>IF('rotation(6B)'!$X$7&lt;3," ",CONCATENATE('rotation(6B)'!I$12,'rotation(6B)'!I$13,'rotation(6B)'!I$14))</f>
        <v xml:space="preserve"> </v>
      </c>
      <c r="K7" s="637" t="str">
        <f>IF('rotation(6B)'!$X$7&lt;3," ",CONCATENATE('rotation(6B)'!J$12,'rotation(6B)'!J$13,'rotation(6B)'!J$14))</f>
        <v xml:space="preserve"> </v>
      </c>
      <c r="L7" s="637" t="str">
        <f>IF('rotation(6B)'!$X$7&lt;3," ",CONCATENATE('rotation(6B)'!K$12,'rotation(6B)'!K$13,'rotation(6B)'!K$14))</f>
        <v xml:space="preserve"> </v>
      </c>
      <c r="M7" s="637" t="str">
        <f>IF('rotation(6B)'!$X$7&lt;3," ",CONCATENATE('rotation(6B)'!L$12,'rotation(6B)'!L$13,'rotation(6B)'!L$14))</f>
        <v xml:space="preserve"> </v>
      </c>
      <c r="N7" s="637" t="str">
        <f>IF('rotation(6B)'!$X$7&lt;3," ",CONCATENATE('rotation(6B)'!M$12,'rotation(6B)'!M$13,'rotation(6B)'!M$14))</f>
        <v xml:space="preserve"> </v>
      </c>
      <c r="O7" s="637" t="str">
        <f>IF('rotation(6B)'!$X$7&lt;3," ",CONCATENATE('rotation(6B)'!N$12,'rotation(6B)'!N$13,'rotation(6B)'!N$14))</f>
        <v xml:space="preserve"> </v>
      </c>
      <c r="P7" s="637" t="str">
        <f>IF('rotation(6B)'!$X$7&lt;3," ",CONCATENATE('rotation(6B)'!O$12,'rotation(6B)'!O$13,'rotation(6B)'!O$14))</f>
        <v xml:space="preserve"> </v>
      </c>
      <c r="Q7" s="637" t="str">
        <f>IF('rotation(6B)'!$X$7&lt;3," ",CONCATENATE('rotation(6B)'!P$12,'rotation(6B)'!P$13,'rotation(6B)'!P$14))</f>
        <v xml:space="preserve"> </v>
      </c>
      <c r="R7" s="637" t="str">
        <f>IF('rotation(6B)'!$X$7&lt;3," ",CONCATENATE('rotation(6B)'!Q$12,'rotation(6B)'!Q$13,'rotation(6B)'!Q$14))</f>
        <v xml:space="preserve"> </v>
      </c>
      <c r="S7" s="637" t="str">
        <f>IF('rotation(6B)'!$X$7&lt;3," ",CONCATENATE('rotation(6B)'!R$12,'rotation(6B)'!R$13,'rotation(6B)'!R$14))</f>
        <v xml:space="preserve"> </v>
      </c>
      <c r="T7" s="637" t="str">
        <f>IF('rotation(6B)'!$X$7&lt;3," ",CONCATENATE('rotation(6B)'!S$12,'rotation(6B)'!S$13,'rotation(6B)'!S$14))</f>
        <v xml:space="preserve"> </v>
      </c>
      <c r="U7" s="637" t="str">
        <f>IF('rotation(6B)'!$X$7&lt;3," ",CONCATENATE('rotation(6B)'!T$12,'rotation(6B)'!T$13,'rotation(6B)'!T$14))</f>
        <v xml:space="preserve"> </v>
      </c>
      <c r="V7" s="637" t="str">
        <f>IF('rotation(6B)'!$X$7&lt;3," ",CONCATENATE('rotation(6B)'!U$12,'rotation(6B)'!U$13,'rotation(6B)'!U$14))</f>
        <v xml:space="preserve"> </v>
      </c>
      <c r="W7" s="637" t="str">
        <f>IF('rotation(6B)'!$X$7&lt;3," ",CONCATENATE('rotation(6B)'!V$12,'rotation(6B)'!V$13,'rotation(6B)'!V$14))</f>
        <v xml:space="preserve"> </v>
      </c>
    </row>
    <row r="8" spans="1:24">
      <c r="A8" s="804" t="str">
        <f>IF('rotation(6B)'!$X$7&lt;4," ", "UNIT4")</f>
        <v xml:space="preserve"> </v>
      </c>
      <c r="B8" s="140"/>
      <c r="C8" s="140"/>
      <c r="D8" s="637" t="str">
        <f>IF('rotation(6B)'!$X$7&lt;4," ",CONCATENATE('rotation(6B)'!C$12,'rotation(6B)'!C$13,'rotation(6B)'!C$14))</f>
        <v xml:space="preserve"> </v>
      </c>
      <c r="E8" s="637" t="str">
        <f>IF('rotation(6B)'!$X$7&lt;4," ",CONCATENATE('rotation(6B)'!D$12,'rotation(6B)'!D$13,'rotation(6B)'!D$14))</f>
        <v xml:space="preserve"> </v>
      </c>
      <c r="F8" s="637" t="str">
        <f>IF('rotation(6B)'!$X$7&lt;4," ",CONCATENATE('rotation(6B)'!E$12,'rotation(6B)'!E$13,'rotation(6B)'!E$14))</f>
        <v xml:space="preserve"> </v>
      </c>
      <c r="G8" s="637" t="str">
        <f>IF('rotation(6B)'!$X$7&lt;4," ",CONCATENATE('rotation(6B)'!F$12,'rotation(6B)'!F$13,'rotation(6B)'!F$14))</f>
        <v xml:space="preserve"> </v>
      </c>
      <c r="H8" s="637" t="str">
        <f>IF('rotation(6B)'!$X$7&lt;4," ",CONCATENATE('rotation(6B)'!G$12,'rotation(6B)'!G$13,'rotation(6B)'!G$14))</f>
        <v xml:space="preserve"> </v>
      </c>
      <c r="I8" s="637" t="str">
        <f>IF('rotation(6B)'!$X$7&lt;4," ",CONCATENATE('rotation(6B)'!H$12,'rotation(6B)'!H$13,'rotation(6B)'!H$14))</f>
        <v xml:space="preserve"> </v>
      </c>
      <c r="J8" s="637" t="str">
        <f>IF('rotation(6B)'!$X$7&lt;4," ",CONCATENATE('rotation(6B)'!I$12,'rotation(6B)'!I$13,'rotation(6B)'!I$14))</f>
        <v xml:space="preserve"> </v>
      </c>
      <c r="K8" s="637" t="str">
        <f>IF('rotation(6B)'!$X$7&lt;4," ",CONCATENATE('rotation(6B)'!J$12,'rotation(6B)'!J$13,'rotation(6B)'!J$14))</f>
        <v xml:space="preserve"> </v>
      </c>
      <c r="L8" s="637" t="str">
        <f>IF('rotation(6B)'!$X$7&lt;4," ",CONCATENATE('rotation(6B)'!K$12,'rotation(6B)'!K$13,'rotation(6B)'!K$14))</f>
        <v xml:space="preserve"> </v>
      </c>
      <c r="M8" s="637" t="str">
        <f>IF('rotation(6B)'!$X$7&lt;4," ",CONCATENATE('rotation(6B)'!L$12,'rotation(6B)'!L$13,'rotation(6B)'!L$14))</f>
        <v xml:space="preserve"> </v>
      </c>
      <c r="N8" s="637" t="str">
        <f>IF('rotation(6B)'!$X$7&lt;4," ",CONCATENATE('rotation(6B)'!M$12,'rotation(6B)'!M$13,'rotation(6B)'!M$14))</f>
        <v xml:space="preserve"> </v>
      </c>
      <c r="O8" s="637" t="str">
        <f>IF('rotation(6B)'!$X$7&lt;4," ",CONCATENATE('rotation(6B)'!N$12,'rotation(6B)'!N$13,'rotation(6B)'!N$14))</f>
        <v xml:space="preserve"> </v>
      </c>
      <c r="P8" s="637" t="str">
        <f>IF('rotation(6B)'!$X$7&lt;4," ",CONCATENATE('rotation(6B)'!O$12,'rotation(6B)'!O$13,'rotation(6B)'!O$14))</f>
        <v xml:space="preserve"> </v>
      </c>
      <c r="Q8" s="637" t="str">
        <f>IF('rotation(6B)'!$X$7&lt;4," ",CONCATENATE('rotation(6B)'!P$12,'rotation(6B)'!P$13,'rotation(6B)'!P$14))</f>
        <v xml:space="preserve"> </v>
      </c>
      <c r="R8" s="637" t="str">
        <f>IF('rotation(6B)'!$X$7&lt;4," ",CONCATENATE('rotation(6B)'!Q$12,'rotation(6B)'!Q$13,'rotation(6B)'!Q$14))</f>
        <v xml:space="preserve"> </v>
      </c>
      <c r="S8" s="637" t="str">
        <f>IF('rotation(6B)'!$X$7&lt;4," ",CONCATENATE('rotation(6B)'!R$12,'rotation(6B)'!R$13,'rotation(6B)'!R$14))</f>
        <v xml:space="preserve"> </v>
      </c>
      <c r="T8" s="637" t="str">
        <f>IF('rotation(6B)'!$X$7&lt;4," ",CONCATENATE('rotation(6B)'!S$12,'rotation(6B)'!S$13,'rotation(6B)'!S$14))</f>
        <v xml:space="preserve"> </v>
      </c>
      <c r="U8" s="637" t="str">
        <f>IF('rotation(6B)'!$X$7&lt;4," ",CONCATENATE('rotation(6B)'!T$12,'rotation(6B)'!T$13,'rotation(6B)'!T$14))</f>
        <v xml:space="preserve"> </v>
      </c>
      <c r="V8" s="637" t="str">
        <f>IF('rotation(6B)'!$X$7&lt;4," ",CONCATENATE('rotation(6B)'!U$12,'rotation(6B)'!U$13,'rotation(6B)'!U$14))</f>
        <v xml:space="preserve"> </v>
      </c>
      <c r="W8" s="637" t="str">
        <f>IF('rotation(6B)'!$X$7&lt;4," ",CONCATENATE('rotation(6B)'!V$12,'rotation(6B)'!V$13,'rotation(6B)'!V$14))</f>
        <v xml:space="preserve"> </v>
      </c>
    </row>
    <row r="9" spans="1:24">
      <c r="A9" s="804" t="str">
        <f>IF('rotation(6B)'!$X$7&lt;5," ", "UNIT 5")</f>
        <v xml:space="preserve"> </v>
      </c>
      <c r="B9" s="140"/>
      <c r="C9" s="140"/>
      <c r="D9" s="637" t="str">
        <f>IF('rotation(6B)'!$X$7&lt;5," ",CONCATENATE('rotation(6B)'!C$12,'rotation(6B)'!C$13,'rotation(6B)'!C$14))</f>
        <v xml:space="preserve"> </v>
      </c>
      <c r="E9" s="637" t="str">
        <f>IF('rotation(6B)'!$X$7&lt;5," ",CONCATENATE('rotation(6B)'!D$12,'rotation(6B)'!D$13,'rotation(6B)'!D$14))</f>
        <v xml:space="preserve"> </v>
      </c>
      <c r="F9" s="637" t="str">
        <f>IF('rotation(6B)'!$X$7&lt;5," ",CONCATENATE('rotation(6B)'!E$12,'rotation(6B)'!E$13,'rotation(6B)'!E$14))</f>
        <v xml:space="preserve"> </v>
      </c>
      <c r="G9" s="637" t="str">
        <f>IF('rotation(6B)'!$X$7&lt;5," ",CONCATENATE('rotation(6B)'!F$12,'rotation(6B)'!F$13,'rotation(6B)'!F$14))</f>
        <v xml:space="preserve"> </v>
      </c>
      <c r="H9" s="637" t="str">
        <f>IF('rotation(6B)'!$X$7&lt;5," ",CONCATENATE('rotation(6B)'!G$12,'rotation(6B)'!G$13,'rotation(6B)'!G$14))</f>
        <v xml:space="preserve"> </v>
      </c>
      <c r="I9" s="637" t="str">
        <f>IF('rotation(6B)'!$X$7&lt;5," ",CONCATENATE('rotation(6B)'!H$12,'rotation(6B)'!H$13,'rotation(6B)'!H$14))</f>
        <v xml:space="preserve"> </v>
      </c>
      <c r="J9" s="637" t="str">
        <f>IF('rotation(6B)'!$X$7&lt;5," ",CONCATENATE('rotation(6B)'!I$12,'rotation(6B)'!I$13,'rotation(6B)'!I$14))</f>
        <v xml:space="preserve"> </v>
      </c>
      <c r="K9" s="637" t="str">
        <f>IF('rotation(6B)'!$X$7&lt;5," ",CONCATENATE('rotation(6B)'!J$12,'rotation(6B)'!J$13,'rotation(6B)'!J$14))</f>
        <v xml:space="preserve"> </v>
      </c>
      <c r="L9" s="637" t="str">
        <f>IF('rotation(6B)'!$X$7&lt;5," ",CONCATENATE('rotation(6B)'!K$12,'rotation(6B)'!K$13,'rotation(6B)'!K$14))</f>
        <v xml:space="preserve"> </v>
      </c>
      <c r="M9" s="637" t="str">
        <f>IF('rotation(6B)'!$X$7&lt;5," ",CONCATENATE('rotation(6B)'!L$12,'rotation(6B)'!L$13,'rotation(6B)'!L$14))</f>
        <v xml:space="preserve"> </v>
      </c>
      <c r="N9" s="637" t="str">
        <f>IF('rotation(6B)'!$X$7&lt;5," ",CONCATENATE('rotation(6B)'!M$12,'rotation(6B)'!M$13,'rotation(6B)'!M$14))</f>
        <v xml:space="preserve"> </v>
      </c>
      <c r="O9" s="637" t="str">
        <f>IF('rotation(6B)'!$X$7&lt;5," ",CONCATENATE('rotation(6B)'!N$12,'rotation(6B)'!N$13,'rotation(6B)'!N$14))</f>
        <v xml:space="preserve"> </v>
      </c>
      <c r="P9" s="637" t="str">
        <f>IF('rotation(6B)'!$X$7&lt;5," ",CONCATENATE('rotation(6B)'!O$12,'rotation(6B)'!O$13,'rotation(6B)'!O$14))</f>
        <v xml:space="preserve"> </v>
      </c>
      <c r="Q9" s="637" t="str">
        <f>IF('rotation(6B)'!$X$7&lt;5," ",CONCATENATE('rotation(6B)'!P$12,'rotation(6B)'!P$13,'rotation(6B)'!P$14))</f>
        <v xml:space="preserve"> </v>
      </c>
      <c r="R9" s="637" t="str">
        <f>IF('rotation(6B)'!$X$7&lt;5," ",CONCATENATE('rotation(6B)'!Q$12,'rotation(6B)'!Q$13,'rotation(6B)'!Q$14))</f>
        <v xml:space="preserve"> </v>
      </c>
      <c r="S9" s="637" t="str">
        <f>IF('rotation(6B)'!$X$7&lt;5," ",CONCATENATE('rotation(6B)'!R$12,'rotation(6B)'!R$13,'rotation(6B)'!R$14))</f>
        <v xml:space="preserve"> </v>
      </c>
      <c r="T9" s="637" t="str">
        <f>IF('rotation(6B)'!$X$7&lt;5," ",CONCATENATE('rotation(6B)'!S$12,'rotation(6B)'!S$13,'rotation(6B)'!S$14))</f>
        <v xml:space="preserve"> </v>
      </c>
      <c r="U9" s="637" t="str">
        <f>IF('rotation(6B)'!$X$7&lt;5," ",CONCATENATE('rotation(6B)'!T$12,'rotation(6B)'!T$13,'rotation(6B)'!T$14))</f>
        <v xml:space="preserve"> </v>
      </c>
      <c r="V9" s="637" t="str">
        <f>IF('rotation(6B)'!$X$7&lt;5," ",CONCATENATE('rotation(6B)'!U$12,'rotation(6B)'!U$13,'rotation(6B)'!U$14))</f>
        <v xml:space="preserve"> </v>
      </c>
      <c r="W9" s="637" t="str">
        <f>IF('rotation(6B)'!$X$7&lt;5," ",CONCATENATE('rotation(6B)'!V$12,'rotation(6B)'!V$13,'rotation(6B)'!V$14))</f>
        <v xml:space="preserve"> </v>
      </c>
    </row>
    <row r="10" spans="1:24">
      <c r="A10" s="636"/>
    </row>
    <row r="11" spans="1:24" s="635" customFormat="1">
      <c r="A11" s="636" t="s">
        <v>900</v>
      </c>
      <c r="B11" s="638"/>
      <c r="C11" s="638"/>
      <c r="D11" s="717">
        <f>'rotation(6B)'!C8*'GTDB(6B)'!$C12+'rotation(6B)'!C9*'GTDB(6B)'!$C13+'rotation(6B)'!C10*'GTDB(6B)'!$C14</f>
        <v>0</v>
      </c>
      <c r="E11" s="717">
        <f>'rotation(6B)'!D8*'GTDB(6B)'!$C12+'rotation(6B)'!D9*'GTDB(6B)'!$C13+'rotation(6B)'!D10*'GTDB(6B)'!$C14</f>
        <v>0</v>
      </c>
      <c r="F11" s="717">
        <f>'rotation(6B)'!E8*'GTDB(6B)'!$C12+'rotation(6B)'!E9*'GTDB(6B)'!$C13+'rotation(6B)'!E10*'GTDB(6B)'!$C14</f>
        <v>0</v>
      </c>
      <c r="G11" s="717">
        <f>'rotation(6B)'!F8*'GTDB(6B)'!$C12+'rotation(6B)'!F9*'GTDB(6B)'!$C13+'rotation(6B)'!F10*'GTDB(6B)'!$C14</f>
        <v>0</v>
      </c>
      <c r="H11" s="717">
        <f>'rotation(6B)'!G8*'GTDB(6B)'!$C12+'rotation(6B)'!G9*'GTDB(6B)'!$C13+'rotation(6B)'!G10*'GTDB(6B)'!$C14</f>
        <v>0</v>
      </c>
      <c r="I11" s="717">
        <f>'rotation(6B)'!H8*'GTDB(6B)'!$C12+'rotation(6B)'!H9*'GTDB(6B)'!$C13+'rotation(6B)'!H10*'GTDB(6B)'!$C14</f>
        <v>0</v>
      </c>
      <c r="J11" s="717">
        <f>'rotation(6B)'!I8*'GTDB(6B)'!$C12+'rotation(6B)'!I9*'GTDB(6B)'!$C13+'rotation(6B)'!I10*'GTDB(6B)'!$C14</f>
        <v>0</v>
      </c>
      <c r="K11" s="717">
        <f>'rotation(6B)'!J8*'GTDB(6B)'!$C12+'rotation(6B)'!J9*'GTDB(6B)'!$C13+'rotation(6B)'!J10*'GTDB(6B)'!$C14</f>
        <v>0</v>
      </c>
      <c r="L11" s="717">
        <f>'rotation(6B)'!K8*'GTDB(6B)'!$C12+'rotation(6B)'!K9*'GTDB(6B)'!$C13+'rotation(6B)'!K10*'GTDB(6B)'!$C14</f>
        <v>0</v>
      </c>
      <c r="M11" s="717">
        <f>'rotation(6B)'!L8*'GTDB(6B)'!$C12+'rotation(6B)'!L9*'GTDB(6B)'!$C13+'rotation(6B)'!L10*'GTDB(6B)'!$C14</f>
        <v>0</v>
      </c>
      <c r="N11" s="717">
        <f>'rotation(6B)'!M8*'GTDB(6B)'!$C12+'rotation(6B)'!M9*'GTDB(6B)'!$C13+'rotation(6B)'!M10*'GTDB(6B)'!$C14</f>
        <v>0</v>
      </c>
      <c r="O11" s="717">
        <f>'rotation(6B)'!N8*'GTDB(6B)'!$C12+'rotation(6B)'!N9*'GTDB(6B)'!$C13+'rotation(6B)'!N10*'GTDB(6B)'!$C14</f>
        <v>0</v>
      </c>
      <c r="P11" s="717">
        <f>'rotation(6B)'!O8*'GTDB(6B)'!$C12+'rotation(6B)'!O9*'GTDB(6B)'!$C13+'rotation(6B)'!O10*'GTDB(6B)'!$C14</f>
        <v>0</v>
      </c>
      <c r="Q11" s="717">
        <f>'rotation(6B)'!P8*'GTDB(6B)'!$C12+'rotation(6B)'!P9*'GTDB(6B)'!$C13+'rotation(6B)'!P10*'GTDB(6B)'!$C14</f>
        <v>0</v>
      </c>
      <c r="R11" s="717">
        <f>'rotation(6B)'!Q8*'GTDB(6B)'!$C12+'rotation(6B)'!Q9*'GTDB(6B)'!$C13+'rotation(6B)'!Q10*'GTDB(6B)'!$C14</f>
        <v>0</v>
      </c>
      <c r="S11" s="717">
        <f>'rotation(6B)'!R8*'GTDB(6B)'!$C12+'rotation(6B)'!R9*'GTDB(6B)'!$C13+'rotation(6B)'!R10*'GTDB(6B)'!$C14</f>
        <v>0</v>
      </c>
      <c r="T11" s="717">
        <f>'rotation(6B)'!S8*'GTDB(6B)'!$C12+'rotation(6B)'!S9*'GTDB(6B)'!$C13+'rotation(6B)'!S10*'GTDB(6B)'!$C14</f>
        <v>0</v>
      </c>
      <c r="U11" s="717">
        <f>'rotation(6B)'!T8*'GTDB(6B)'!$C12+'rotation(6B)'!T9*'GTDB(6B)'!$C13+'rotation(6B)'!T10*'GTDB(6B)'!$C14</f>
        <v>0</v>
      </c>
      <c r="V11" s="717">
        <f>'rotation(6B)'!U8*'GTDB(6B)'!$C12+'rotation(6B)'!U9*'GTDB(6B)'!$C13+'rotation(6B)'!U10*'GTDB(6B)'!$C14</f>
        <v>0</v>
      </c>
      <c r="W11" s="717">
        <f>'rotation(6B)'!V8*'GTDB(6B)'!$C12+'rotation(6B)'!V9*'GTDB(6B)'!$C13+'rotation(6B)'!V10*'GTDB(6B)'!$C14</f>
        <v>0</v>
      </c>
      <c r="X11" s="639">
        <f>SUM(D11:W11)</f>
        <v>0</v>
      </c>
    </row>
    <row r="13" spans="1:24">
      <c r="A13" s="640" t="s">
        <v>1222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</row>
    <row r="14" spans="1:24">
      <c r="A14" s="636" t="s">
        <v>901</v>
      </c>
      <c r="B14" s="140" t="s">
        <v>902</v>
      </c>
      <c r="C14" s="140" t="s">
        <v>903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</row>
    <row r="15" spans="1:24" s="21" customFormat="1">
      <c r="A15" s="641" t="str">
        <f>'GTDB(6B)'!A17</f>
        <v>FUEL NOZZLES</v>
      </c>
      <c r="B15" s="641">
        <f>'GTDB(6B)'!E17</f>
        <v>13</v>
      </c>
      <c r="C15" s="641" t="str">
        <f>IF('rotation(6B)'!AA17=0," ",B15*'rotation(6B)'!AA17)</f>
        <v xml:space="preserve"> </v>
      </c>
      <c r="D15" s="642" t="str">
        <f>IF('rotation(6B)'!C18=0," ",$B15*'rotation(6B)'!C18)</f>
        <v xml:space="preserve"> </v>
      </c>
      <c r="E15" s="642">
        <f>IF('rotation(6B)'!D18=0," ",$B15*'rotation(6B)'!D18)</f>
        <v>26</v>
      </c>
      <c r="F15" s="642" t="str">
        <f>IF('rotation(6B)'!E18=0," ",$B15*'rotation(6B)'!E18)</f>
        <v xml:space="preserve"> </v>
      </c>
      <c r="G15" s="642" t="str">
        <f>IF('rotation(6B)'!F18=0," ",$B15*'rotation(6B)'!F18)</f>
        <v xml:space="preserve"> </v>
      </c>
      <c r="H15" s="642" t="str">
        <f>IF('rotation(6B)'!G18=0," ",$B15*'rotation(6B)'!G18)</f>
        <v xml:space="preserve"> </v>
      </c>
      <c r="I15" s="642" t="str">
        <f>IF('rotation(6B)'!H18=0," ",$B15*'rotation(6B)'!H18)</f>
        <v xml:space="preserve"> </v>
      </c>
      <c r="J15" s="642" t="str">
        <f>IF('rotation(6B)'!I18=0," ",$B15*'rotation(6B)'!I18)</f>
        <v xml:space="preserve"> </v>
      </c>
      <c r="K15" s="642" t="str">
        <f>IF('rotation(6B)'!J18=0," ",$B15*'rotation(6B)'!J18)</f>
        <v xml:space="preserve"> </v>
      </c>
      <c r="L15" s="642" t="str">
        <f>IF('rotation(6B)'!K18=0," ",$B15*'rotation(6B)'!K18)</f>
        <v xml:space="preserve"> </v>
      </c>
      <c r="M15" s="642" t="str">
        <f>IF('rotation(6B)'!L18=0," ",$B15*'rotation(6B)'!L18)</f>
        <v xml:space="preserve"> </v>
      </c>
      <c r="N15" s="642" t="str">
        <f>IF('rotation(6B)'!M18=0," ",$B15*'rotation(6B)'!M18)</f>
        <v xml:space="preserve"> </v>
      </c>
      <c r="O15" s="642" t="str">
        <f>IF('rotation(6B)'!N18=0," ",$B15*'rotation(6B)'!N18)</f>
        <v xml:space="preserve"> </v>
      </c>
      <c r="P15" s="642" t="str">
        <f>IF('rotation(6B)'!O18=0," ",$B15*'rotation(6B)'!O18)</f>
        <v xml:space="preserve"> </v>
      </c>
      <c r="Q15" s="642" t="str">
        <f>IF('rotation(6B)'!P18=0," ",$B15*'rotation(6B)'!P18)</f>
        <v xml:space="preserve"> </v>
      </c>
      <c r="R15" s="642" t="str">
        <f>IF('rotation(6B)'!Q18=0," ",$B15*'rotation(6B)'!Q18)</f>
        <v xml:space="preserve"> </v>
      </c>
      <c r="S15" s="642" t="str">
        <f>IF('rotation(6B)'!R18=0," ",$B15*'rotation(6B)'!R18)</f>
        <v xml:space="preserve"> </v>
      </c>
      <c r="T15" s="642" t="str">
        <f>IF('rotation(6B)'!S18=0," ",$B15*'rotation(6B)'!S18)</f>
        <v xml:space="preserve"> </v>
      </c>
      <c r="U15" s="642" t="str">
        <f>IF('rotation(6B)'!T18=0," ",$B15*'rotation(6B)'!T18)</f>
        <v xml:space="preserve"> </v>
      </c>
      <c r="V15" s="642" t="str">
        <f>IF('rotation(6B)'!U18=0," ",$B15*'rotation(6B)'!U18)</f>
        <v xml:space="preserve"> </v>
      </c>
      <c r="W15" s="642" t="str">
        <f>IF('rotation(6B)'!V18=0," ",$B15*'rotation(6B)'!V18)</f>
        <v xml:space="preserve"> </v>
      </c>
      <c r="X15" s="21">
        <f t="shared" ref="X15:X33" si="0">SUM(D15:W15)</f>
        <v>26</v>
      </c>
    </row>
    <row r="16" spans="1:24" s="21" customFormat="1">
      <c r="A16" s="641" t="str">
        <f>'GTDB(6B)'!A18</f>
        <v>CROSSFIRE TUBES</v>
      </c>
      <c r="B16" s="641">
        <f>'GTDB(6B)'!E18</f>
        <v>10.5</v>
      </c>
      <c r="C16" s="641" t="str">
        <f>IF('rotation(6B)'!AA21=0," ",B16*'rotation(6B)'!AA21)</f>
        <v xml:space="preserve"> </v>
      </c>
      <c r="D16" s="642" t="str">
        <f>IF('rotation(6B)'!C22=0," ",$B16*'rotation(6B)'!C22)</f>
        <v xml:space="preserve"> </v>
      </c>
      <c r="E16" s="642">
        <f>IF('rotation(6B)'!D22=0," ",$B16*'rotation(6B)'!D22)</f>
        <v>21</v>
      </c>
      <c r="F16" s="642" t="str">
        <f>IF('rotation(6B)'!E22=0," ",$B16*'rotation(6B)'!E22)</f>
        <v xml:space="preserve"> </v>
      </c>
      <c r="G16" s="642" t="str">
        <f>IF('rotation(6B)'!F22=0," ",$B16*'rotation(6B)'!F22)</f>
        <v xml:space="preserve"> </v>
      </c>
      <c r="H16" s="642" t="str">
        <f>IF('rotation(6B)'!G22=0," ",$B16*'rotation(6B)'!G22)</f>
        <v xml:space="preserve"> </v>
      </c>
      <c r="I16" s="642" t="str">
        <f>IF('rotation(6B)'!H22=0," ",$B16*'rotation(6B)'!H22)</f>
        <v xml:space="preserve"> </v>
      </c>
      <c r="J16" s="642" t="str">
        <f>IF('rotation(6B)'!I22=0," ",$B16*'rotation(6B)'!I22)</f>
        <v xml:space="preserve"> </v>
      </c>
      <c r="K16" s="642" t="str">
        <f>IF('rotation(6B)'!J22=0," ",$B16*'rotation(6B)'!J22)</f>
        <v xml:space="preserve"> </v>
      </c>
      <c r="L16" s="642" t="str">
        <f>IF('rotation(6B)'!K22=0," ",$B16*'rotation(6B)'!K22)</f>
        <v xml:space="preserve"> </v>
      </c>
      <c r="M16" s="642" t="str">
        <f>IF('rotation(6B)'!L22=0," ",$B16*'rotation(6B)'!L22)</f>
        <v xml:space="preserve"> </v>
      </c>
      <c r="N16" s="642" t="str">
        <f>IF('rotation(6B)'!M22=0," ",$B16*'rotation(6B)'!M22)</f>
        <v xml:space="preserve"> </v>
      </c>
      <c r="O16" s="642" t="str">
        <f>IF('rotation(6B)'!N22=0," ",$B16*'rotation(6B)'!N22)</f>
        <v xml:space="preserve"> </v>
      </c>
      <c r="P16" s="642" t="str">
        <f>IF('rotation(6B)'!O22=0," ",$B16*'rotation(6B)'!O22)</f>
        <v xml:space="preserve"> </v>
      </c>
      <c r="Q16" s="642" t="str">
        <f>IF('rotation(6B)'!P22=0," ",$B16*'rotation(6B)'!P22)</f>
        <v xml:space="preserve"> </v>
      </c>
      <c r="R16" s="642" t="str">
        <f>IF('rotation(6B)'!Q22=0," ",$B16*'rotation(6B)'!Q22)</f>
        <v xml:space="preserve"> </v>
      </c>
      <c r="S16" s="642" t="str">
        <f>IF('rotation(6B)'!R22=0," ",$B16*'rotation(6B)'!R22)</f>
        <v xml:space="preserve"> </v>
      </c>
      <c r="T16" s="642" t="str">
        <f>IF('rotation(6B)'!S22=0," ",$B16*'rotation(6B)'!S22)</f>
        <v xml:space="preserve"> </v>
      </c>
      <c r="U16" s="642" t="str">
        <f>IF('rotation(6B)'!T22=0," ",$B16*'rotation(6B)'!T22)</f>
        <v xml:space="preserve"> </v>
      </c>
      <c r="V16" s="642" t="str">
        <f>IF('rotation(6B)'!U22=0," ",$B16*'rotation(6B)'!U22)</f>
        <v xml:space="preserve"> </v>
      </c>
      <c r="W16" s="642" t="str">
        <f>IF('rotation(6B)'!V22=0," ",$B16*'rotation(6B)'!V22)</f>
        <v xml:space="preserve"> </v>
      </c>
      <c r="X16" s="21">
        <f t="shared" si="0"/>
        <v>21</v>
      </c>
    </row>
    <row r="17" spans="1:24" s="21" customFormat="1">
      <c r="A17" s="641" t="str">
        <f>'GTDB(6B)'!A19</f>
        <v>COMBUSTION LINERS</v>
      </c>
      <c r="B17" s="641">
        <f>'GTDB(6B)'!E19</f>
        <v>87</v>
      </c>
      <c r="C17" s="641" t="str">
        <f>IF('rotation(6B)'!AA25=0," ",B17*'rotation(6B)'!AA25)</f>
        <v xml:space="preserve"> </v>
      </c>
      <c r="D17" s="642" t="str">
        <f>IF('rotation(6B)'!C26=0," ",$B17*'rotation(6B)'!C26)</f>
        <v xml:space="preserve"> </v>
      </c>
      <c r="E17" s="642">
        <f>IF('rotation(6B)'!D26=0," ",$B17*'rotation(6B)'!D26)</f>
        <v>87</v>
      </c>
      <c r="F17" s="642" t="str">
        <f>IF('rotation(6B)'!E26=0," ",$B17*'rotation(6B)'!E26)</f>
        <v xml:space="preserve"> </v>
      </c>
      <c r="G17" s="642" t="str">
        <f>IF('rotation(6B)'!F26=0," ",$B17*'rotation(6B)'!F26)</f>
        <v xml:space="preserve"> </v>
      </c>
      <c r="H17" s="642" t="str">
        <f>IF('rotation(6B)'!G26=0," ",$B17*'rotation(6B)'!G26)</f>
        <v xml:space="preserve"> </v>
      </c>
      <c r="I17" s="642" t="str">
        <f>IF('rotation(6B)'!H26=0," ",$B17*'rotation(6B)'!H26)</f>
        <v xml:space="preserve"> </v>
      </c>
      <c r="J17" s="642" t="str">
        <f>IF('rotation(6B)'!I26=0," ",$B17*'rotation(6B)'!I26)</f>
        <v xml:space="preserve"> </v>
      </c>
      <c r="K17" s="642" t="str">
        <f>IF('rotation(6B)'!J26=0," ",$B17*'rotation(6B)'!J26)</f>
        <v xml:space="preserve"> </v>
      </c>
      <c r="L17" s="642" t="str">
        <f>IF('rotation(6B)'!K26=0," ",$B17*'rotation(6B)'!K26)</f>
        <v xml:space="preserve"> </v>
      </c>
      <c r="M17" s="642" t="str">
        <f>IF('rotation(6B)'!L26=0," ",$B17*'rotation(6B)'!L26)</f>
        <v xml:space="preserve"> </v>
      </c>
      <c r="N17" s="642" t="str">
        <f>IF('rotation(6B)'!M26=0," ",$B17*'rotation(6B)'!M26)</f>
        <v xml:space="preserve"> </v>
      </c>
      <c r="O17" s="642" t="str">
        <f>IF('rotation(6B)'!N26=0," ",$B17*'rotation(6B)'!N26)</f>
        <v xml:space="preserve"> </v>
      </c>
      <c r="P17" s="642" t="str">
        <f>IF('rotation(6B)'!O26=0," ",$B17*'rotation(6B)'!O26)</f>
        <v xml:space="preserve"> </v>
      </c>
      <c r="Q17" s="642" t="str">
        <f>IF('rotation(6B)'!P26=0," ",$B17*'rotation(6B)'!P26)</f>
        <v xml:space="preserve"> </v>
      </c>
      <c r="R17" s="642" t="str">
        <f>IF('rotation(6B)'!Q26=0," ",$B17*'rotation(6B)'!Q26)</f>
        <v xml:space="preserve"> </v>
      </c>
      <c r="S17" s="642" t="str">
        <f>IF('rotation(6B)'!R26=0," ",$B17*'rotation(6B)'!R26)</f>
        <v xml:space="preserve"> </v>
      </c>
      <c r="T17" s="642" t="str">
        <f>IF('rotation(6B)'!S26=0," ",$B17*'rotation(6B)'!S26)</f>
        <v xml:space="preserve"> </v>
      </c>
      <c r="U17" s="642" t="str">
        <f>IF('rotation(6B)'!T26=0," ",$B17*'rotation(6B)'!T26)</f>
        <v xml:space="preserve"> </v>
      </c>
      <c r="V17" s="642" t="str">
        <f>IF('rotation(6B)'!U26=0," ",$B17*'rotation(6B)'!U26)</f>
        <v xml:space="preserve"> </v>
      </c>
      <c r="W17" s="642" t="str">
        <f>IF('rotation(6B)'!V26=0," ",$B17*'rotation(6B)'!V26)</f>
        <v xml:space="preserve"> </v>
      </c>
      <c r="X17" s="21">
        <f t="shared" si="0"/>
        <v>87</v>
      </c>
    </row>
    <row r="18" spans="1:24" s="21" customFormat="1">
      <c r="A18" s="641" t="str">
        <f>'GTDB(6B)'!A20</f>
        <v>TRANSITION PIECES</v>
      </c>
      <c r="B18" s="641">
        <f>'GTDB(6B)'!E20</f>
        <v>127</v>
      </c>
      <c r="C18" s="641" t="str">
        <f>IF('rotation(6B)'!AA29=0," ",B18*'rotation(6B)'!AA29)</f>
        <v xml:space="preserve"> </v>
      </c>
      <c r="D18" s="642" t="str">
        <f>IF('rotation(6B)'!C30=0," ",$B18*'rotation(6B)'!C30)</f>
        <v xml:space="preserve"> </v>
      </c>
      <c r="E18" s="642">
        <f>IF('rotation(6B)'!D30=0," ",$B18*'rotation(6B)'!D30)</f>
        <v>127</v>
      </c>
      <c r="F18" s="642" t="str">
        <f>IF('rotation(6B)'!E30=0," ",$B18*'rotation(6B)'!E30)</f>
        <v xml:space="preserve"> </v>
      </c>
      <c r="G18" s="642" t="str">
        <f>IF('rotation(6B)'!F30=0," ",$B18*'rotation(6B)'!F30)</f>
        <v xml:space="preserve"> </v>
      </c>
      <c r="H18" s="642" t="str">
        <f>IF('rotation(6B)'!G30=0," ",$B18*'rotation(6B)'!G30)</f>
        <v xml:space="preserve"> </v>
      </c>
      <c r="I18" s="642" t="str">
        <f>IF('rotation(6B)'!H30=0," ",$B18*'rotation(6B)'!H30)</f>
        <v xml:space="preserve"> </v>
      </c>
      <c r="J18" s="642" t="str">
        <f>IF('rotation(6B)'!I30=0," ",$B18*'rotation(6B)'!I30)</f>
        <v xml:space="preserve"> </v>
      </c>
      <c r="K18" s="642" t="str">
        <f>IF('rotation(6B)'!J30=0," ",$B18*'rotation(6B)'!J30)</f>
        <v xml:space="preserve"> </v>
      </c>
      <c r="L18" s="642" t="str">
        <f>IF('rotation(6B)'!K30=0," ",$B18*'rotation(6B)'!K30)</f>
        <v xml:space="preserve"> </v>
      </c>
      <c r="M18" s="642" t="str">
        <f>IF('rotation(6B)'!L30=0," ",$B18*'rotation(6B)'!L30)</f>
        <v xml:space="preserve"> </v>
      </c>
      <c r="N18" s="642" t="str">
        <f>IF('rotation(6B)'!M30=0," ",$B18*'rotation(6B)'!M30)</f>
        <v xml:space="preserve"> </v>
      </c>
      <c r="O18" s="642" t="str">
        <f>IF('rotation(6B)'!N30=0," ",$B18*'rotation(6B)'!N30)</f>
        <v xml:space="preserve"> </v>
      </c>
      <c r="P18" s="642" t="str">
        <f>IF('rotation(6B)'!O30=0," ",$B18*'rotation(6B)'!O30)</f>
        <v xml:space="preserve"> </v>
      </c>
      <c r="Q18" s="642" t="str">
        <f>IF('rotation(6B)'!P30=0," ",$B18*'rotation(6B)'!P30)</f>
        <v xml:space="preserve"> </v>
      </c>
      <c r="R18" s="642" t="str">
        <f>IF('rotation(6B)'!Q30=0," ",$B18*'rotation(6B)'!Q30)</f>
        <v xml:space="preserve"> </v>
      </c>
      <c r="S18" s="642" t="str">
        <f>IF('rotation(6B)'!R30=0," ",$B18*'rotation(6B)'!R30)</f>
        <v xml:space="preserve"> </v>
      </c>
      <c r="T18" s="642" t="str">
        <f>IF('rotation(6B)'!S30=0," ",$B18*'rotation(6B)'!S30)</f>
        <v xml:space="preserve"> </v>
      </c>
      <c r="U18" s="642" t="str">
        <f>IF('rotation(6B)'!T30=0," ",$B18*'rotation(6B)'!T30)</f>
        <v xml:space="preserve"> </v>
      </c>
      <c r="V18" s="642" t="str">
        <f>IF('rotation(6B)'!U30=0," ",$B18*'rotation(6B)'!U30)</f>
        <v xml:space="preserve"> </v>
      </c>
      <c r="W18" s="642" t="str">
        <f>IF('rotation(6B)'!V30=0," ",$B18*'rotation(6B)'!V30)</f>
        <v xml:space="preserve"> </v>
      </c>
      <c r="X18" s="21">
        <f t="shared" si="0"/>
        <v>127</v>
      </c>
    </row>
    <row r="19" spans="1:24" s="21" customFormat="1">
      <c r="A19" s="641" t="str">
        <f>'GTDB(6B)'!A21</f>
        <v>1ST STAGE BUCKETS</v>
      </c>
      <c r="B19" s="641">
        <f>'GTDB(6B)'!E21</f>
        <v>375</v>
      </c>
      <c r="C19" s="641" t="str">
        <f>IF('rotation(6B)'!AA33=0," ",B19*'rotation(6B)'!AA33)</f>
        <v xml:space="preserve"> </v>
      </c>
      <c r="D19" s="642" t="str">
        <f>IF('rotation(6B)'!C34=0," ",$B19*'rotation(6B)'!C34)</f>
        <v xml:space="preserve"> </v>
      </c>
      <c r="E19" s="642" t="str">
        <f>IF('rotation(6B)'!D34=0," ",$B19*'rotation(6B)'!D34)</f>
        <v xml:space="preserve"> </v>
      </c>
      <c r="F19" s="642">
        <f>IF('rotation(6B)'!E34=0," ",$B19*'rotation(6B)'!E34)</f>
        <v>750</v>
      </c>
      <c r="G19" s="642" t="str">
        <f>IF('rotation(6B)'!F34=0," ",$B19*'rotation(6B)'!F34)</f>
        <v xml:space="preserve"> </v>
      </c>
      <c r="H19" s="642" t="str">
        <f>IF('rotation(6B)'!G34=0," ",$B19*'rotation(6B)'!G34)</f>
        <v xml:space="preserve"> </v>
      </c>
      <c r="I19" s="642" t="str">
        <f>IF('rotation(6B)'!H34=0," ",$B19*'rotation(6B)'!H34)</f>
        <v xml:space="preserve"> </v>
      </c>
      <c r="J19" s="642" t="str">
        <f>IF('rotation(6B)'!I34=0," ",$B19*'rotation(6B)'!I34)</f>
        <v xml:space="preserve"> </v>
      </c>
      <c r="K19" s="642" t="str">
        <f>IF('rotation(6B)'!J34=0," ",$B19*'rotation(6B)'!J34)</f>
        <v xml:space="preserve"> </v>
      </c>
      <c r="L19" s="642" t="str">
        <f>IF('rotation(6B)'!K34=0," ",$B19*'rotation(6B)'!K34)</f>
        <v xml:space="preserve"> </v>
      </c>
      <c r="M19" s="642" t="str">
        <f>IF('rotation(6B)'!L34=0," ",$B19*'rotation(6B)'!L34)</f>
        <v xml:space="preserve"> </v>
      </c>
      <c r="N19" s="642" t="str">
        <f>IF('rotation(6B)'!M34=0," ",$B19*'rotation(6B)'!M34)</f>
        <v xml:space="preserve"> </v>
      </c>
      <c r="O19" s="642" t="str">
        <f>IF('rotation(6B)'!N34=0," ",$B19*'rotation(6B)'!N34)</f>
        <v xml:space="preserve"> </v>
      </c>
      <c r="P19" s="642" t="str">
        <f>IF('rotation(6B)'!O34=0," ",$B19*'rotation(6B)'!O34)</f>
        <v xml:space="preserve"> </v>
      </c>
      <c r="Q19" s="642" t="str">
        <f>IF('rotation(6B)'!P34=0," ",$B19*'rotation(6B)'!P34)</f>
        <v xml:space="preserve"> </v>
      </c>
      <c r="R19" s="642" t="str">
        <f>IF('rotation(6B)'!Q34=0," ",$B19*'rotation(6B)'!Q34)</f>
        <v xml:space="preserve"> </v>
      </c>
      <c r="S19" s="642" t="str">
        <f>IF('rotation(6B)'!R34=0," ",$B19*'rotation(6B)'!R34)</f>
        <v xml:space="preserve"> </v>
      </c>
      <c r="T19" s="642" t="str">
        <f>IF('rotation(6B)'!S34=0," ",$B19*'rotation(6B)'!S34)</f>
        <v xml:space="preserve"> </v>
      </c>
      <c r="U19" s="642" t="str">
        <f>IF('rotation(6B)'!T34=0," ",$B19*'rotation(6B)'!T34)</f>
        <v xml:space="preserve"> </v>
      </c>
      <c r="V19" s="642" t="str">
        <f>IF('rotation(6B)'!U34=0," ",$B19*'rotation(6B)'!U34)</f>
        <v xml:space="preserve"> </v>
      </c>
      <c r="W19" s="642" t="str">
        <f>IF('rotation(6B)'!V34=0," ",$B19*'rotation(6B)'!V34)</f>
        <v xml:space="preserve"> </v>
      </c>
      <c r="X19" s="21">
        <f t="shared" si="0"/>
        <v>750</v>
      </c>
    </row>
    <row r="20" spans="1:24" s="21" customFormat="1">
      <c r="A20" s="641" t="str">
        <f>'GTDB(6B)'!A22</f>
        <v>2ND STAGE BUCKETS</v>
      </c>
      <c r="B20" s="641">
        <f>'GTDB(6B)'!E22</f>
        <v>275</v>
      </c>
      <c r="C20" s="641" t="str">
        <f>IF('rotation(6B)'!AA37=0," ",B20*'rotation(6B)'!AA37)</f>
        <v xml:space="preserve"> </v>
      </c>
      <c r="D20" s="642" t="str">
        <f>IF('rotation(6B)'!C38=0," ",$B20*'rotation(6B)'!C38)</f>
        <v xml:space="preserve"> </v>
      </c>
      <c r="E20" s="642" t="str">
        <f>IF('rotation(6B)'!D38=0," ",$B20*'rotation(6B)'!D38)</f>
        <v xml:space="preserve"> </v>
      </c>
      <c r="F20" s="642">
        <f>IF('rotation(6B)'!E38=0," ",$B20*'rotation(6B)'!E38)</f>
        <v>275</v>
      </c>
      <c r="G20" s="642" t="str">
        <f>IF('rotation(6B)'!F38=0," ",$B20*'rotation(6B)'!F38)</f>
        <v xml:space="preserve"> </v>
      </c>
      <c r="H20" s="642" t="str">
        <f>IF('rotation(6B)'!G38=0," ",$B20*'rotation(6B)'!G38)</f>
        <v xml:space="preserve"> </v>
      </c>
      <c r="I20" s="642" t="str">
        <f>IF('rotation(6B)'!H38=0," ",$B20*'rotation(6B)'!H38)</f>
        <v xml:space="preserve"> </v>
      </c>
      <c r="J20" s="642" t="str">
        <f>IF('rotation(6B)'!I38=0," ",$B20*'rotation(6B)'!I38)</f>
        <v xml:space="preserve"> </v>
      </c>
      <c r="K20" s="642" t="str">
        <f>IF('rotation(6B)'!J38=0," ",$B20*'rotation(6B)'!J38)</f>
        <v xml:space="preserve"> </v>
      </c>
      <c r="L20" s="642" t="str">
        <f>IF('rotation(6B)'!K38=0," ",$B20*'rotation(6B)'!K38)</f>
        <v xml:space="preserve"> </v>
      </c>
      <c r="M20" s="642" t="str">
        <f>IF('rotation(6B)'!L38=0," ",$B20*'rotation(6B)'!L38)</f>
        <v xml:space="preserve"> </v>
      </c>
      <c r="N20" s="642" t="str">
        <f>IF('rotation(6B)'!M38=0," ",$B20*'rotation(6B)'!M38)</f>
        <v xml:space="preserve"> </v>
      </c>
      <c r="O20" s="642" t="str">
        <f>IF('rotation(6B)'!N38=0," ",$B20*'rotation(6B)'!N38)</f>
        <v xml:space="preserve"> </v>
      </c>
      <c r="P20" s="642" t="str">
        <f>IF('rotation(6B)'!O38=0," ",$B20*'rotation(6B)'!O38)</f>
        <v xml:space="preserve"> </v>
      </c>
      <c r="Q20" s="642" t="str">
        <f>IF('rotation(6B)'!P38=0," ",$B20*'rotation(6B)'!P38)</f>
        <v xml:space="preserve"> </v>
      </c>
      <c r="R20" s="642" t="str">
        <f>IF('rotation(6B)'!Q38=0," ",$B20*'rotation(6B)'!Q38)</f>
        <v xml:space="preserve"> </v>
      </c>
      <c r="S20" s="642" t="str">
        <f>IF('rotation(6B)'!R38=0," ",$B20*'rotation(6B)'!R38)</f>
        <v xml:space="preserve"> </v>
      </c>
      <c r="T20" s="642" t="str">
        <f>IF('rotation(6B)'!S38=0," ",$B20*'rotation(6B)'!S38)</f>
        <v xml:space="preserve"> </v>
      </c>
      <c r="U20" s="642" t="str">
        <f>IF('rotation(6B)'!T38=0," ",$B20*'rotation(6B)'!T38)</f>
        <v xml:space="preserve"> </v>
      </c>
      <c r="V20" s="642" t="str">
        <f>IF('rotation(6B)'!U38=0," ",$B20*'rotation(6B)'!U38)</f>
        <v xml:space="preserve"> </v>
      </c>
      <c r="W20" s="642" t="str">
        <f>IF('rotation(6B)'!V38=0," ",$B20*'rotation(6B)'!V38)</f>
        <v xml:space="preserve"> </v>
      </c>
      <c r="X20" s="21">
        <f t="shared" si="0"/>
        <v>275</v>
      </c>
    </row>
    <row r="21" spans="1:24" s="21" customFormat="1">
      <c r="A21" s="641" t="str">
        <f>'GTDB(6B)'!A23</f>
        <v>3RD STAGE BUCKETS</v>
      </c>
      <c r="B21" s="641">
        <f>'GTDB(6B)'!E23</f>
        <v>270</v>
      </c>
      <c r="C21" s="641" t="str">
        <f>IF('rotation(6B)'!AA41=0," ",B21*'rotation(6B)'!AA41)</f>
        <v xml:space="preserve"> </v>
      </c>
      <c r="D21" s="642" t="str">
        <f>IF('rotation(6B)'!C42=0," ",$B21*'rotation(6B)'!C42)</f>
        <v xml:space="preserve"> </v>
      </c>
      <c r="E21" s="642" t="str">
        <f>IF('rotation(6B)'!D42=0," ",$B21*'rotation(6B)'!D42)</f>
        <v xml:space="preserve"> </v>
      </c>
      <c r="F21" s="642">
        <f>IF('rotation(6B)'!E42=0," ",$B21*'rotation(6B)'!E42)</f>
        <v>270</v>
      </c>
      <c r="G21" s="642" t="str">
        <f>IF('rotation(6B)'!F42=0," ",$B21*'rotation(6B)'!F42)</f>
        <v xml:space="preserve"> </v>
      </c>
      <c r="H21" s="642" t="str">
        <f>IF('rotation(6B)'!G42=0," ",$B21*'rotation(6B)'!G42)</f>
        <v xml:space="preserve"> </v>
      </c>
      <c r="I21" s="642" t="str">
        <f>IF('rotation(6B)'!H42=0," ",$B21*'rotation(6B)'!H42)</f>
        <v xml:space="preserve"> </v>
      </c>
      <c r="J21" s="642" t="str">
        <f>IF('rotation(6B)'!I42=0," ",$B21*'rotation(6B)'!I42)</f>
        <v xml:space="preserve"> </v>
      </c>
      <c r="K21" s="642" t="str">
        <f>IF('rotation(6B)'!J42=0," ",$B21*'rotation(6B)'!J42)</f>
        <v xml:space="preserve"> </v>
      </c>
      <c r="L21" s="642" t="str">
        <f>IF('rotation(6B)'!K42=0," ",$B21*'rotation(6B)'!K42)</f>
        <v xml:space="preserve"> </v>
      </c>
      <c r="M21" s="642" t="str">
        <f>IF('rotation(6B)'!L42=0," ",$B21*'rotation(6B)'!L42)</f>
        <v xml:space="preserve"> </v>
      </c>
      <c r="N21" s="642" t="str">
        <f>IF('rotation(6B)'!M42=0," ",$B21*'rotation(6B)'!M42)</f>
        <v xml:space="preserve"> </v>
      </c>
      <c r="O21" s="642" t="str">
        <f>IF('rotation(6B)'!N42=0," ",$B21*'rotation(6B)'!N42)</f>
        <v xml:space="preserve"> </v>
      </c>
      <c r="P21" s="642" t="str">
        <f>IF('rotation(6B)'!O42=0," ",$B21*'rotation(6B)'!O42)</f>
        <v xml:space="preserve"> </v>
      </c>
      <c r="Q21" s="642" t="str">
        <f>IF('rotation(6B)'!P42=0," ",$B21*'rotation(6B)'!P42)</f>
        <v xml:space="preserve"> </v>
      </c>
      <c r="R21" s="642" t="str">
        <f>IF('rotation(6B)'!Q42=0," ",$B21*'rotation(6B)'!Q42)</f>
        <v xml:space="preserve"> </v>
      </c>
      <c r="S21" s="642" t="str">
        <f>IF('rotation(6B)'!R42=0," ",$B21*'rotation(6B)'!R42)</f>
        <v xml:space="preserve"> </v>
      </c>
      <c r="T21" s="642" t="str">
        <f>IF('rotation(6B)'!S42=0," ",$B21*'rotation(6B)'!S42)</f>
        <v xml:space="preserve"> </v>
      </c>
      <c r="U21" s="642" t="str">
        <f>IF('rotation(6B)'!T42=0," ",$B21*'rotation(6B)'!T42)</f>
        <v xml:space="preserve"> </v>
      </c>
      <c r="V21" s="642" t="str">
        <f>IF('rotation(6B)'!U42=0," ",$B21*'rotation(6B)'!U42)</f>
        <v xml:space="preserve"> </v>
      </c>
      <c r="W21" s="642" t="str">
        <f>IF('rotation(6B)'!V42=0," ",$B21*'rotation(6B)'!V42)</f>
        <v xml:space="preserve"> </v>
      </c>
      <c r="X21" s="21">
        <f t="shared" si="0"/>
        <v>270</v>
      </c>
    </row>
    <row r="22" spans="1:24" s="21" customFormat="1">
      <c r="A22" s="641" t="str">
        <f>'GTDB(6B)'!A24</f>
        <v>1ST STAGE SHROUDS</v>
      </c>
      <c r="B22" s="641">
        <f>'GTDB(6B)'!E24</f>
        <v>75</v>
      </c>
      <c r="C22" s="641" t="str">
        <f>IF('rotation(6B)'!AA45=0," ",B22*'rotation(6B)'!AA45)</f>
        <v xml:space="preserve"> </v>
      </c>
      <c r="D22" s="642" t="str">
        <f>IF('rotation(6B)'!C46=0," ",$B22*'rotation(6B)'!C46)</f>
        <v xml:space="preserve"> </v>
      </c>
      <c r="E22" s="642" t="str">
        <f>IF('rotation(6B)'!D46=0," ",$B22*'rotation(6B)'!D46)</f>
        <v xml:space="preserve"> </v>
      </c>
      <c r="F22" s="642">
        <f>IF('rotation(6B)'!E46=0," ",$B22*'rotation(6B)'!E46)</f>
        <v>75</v>
      </c>
      <c r="G22" s="642" t="str">
        <f>IF('rotation(6B)'!F46=0," ",$B22*'rotation(6B)'!F46)</f>
        <v xml:space="preserve"> </v>
      </c>
      <c r="H22" s="642" t="str">
        <f>IF('rotation(6B)'!G46=0," ",$B22*'rotation(6B)'!G46)</f>
        <v xml:space="preserve"> </v>
      </c>
      <c r="I22" s="642" t="str">
        <f>IF('rotation(6B)'!H46=0," ",$B22*'rotation(6B)'!H46)</f>
        <v xml:space="preserve"> </v>
      </c>
      <c r="J22" s="642" t="str">
        <f>IF('rotation(6B)'!I46=0," ",$B22*'rotation(6B)'!I46)</f>
        <v xml:space="preserve"> </v>
      </c>
      <c r="K22" s="642" t="str">
        <f>IF('rotation(6B)'!J46=0," ",$B22*'rotation(6B)'!J46)</f>
        <v xml:space="preserve"> </v>
      </c>
      <c r="L22" s="642" t="str">
        <f>IF('rotation(6B)'!K46=0," ",$B22*'rotation(6B)'!K46)</f>
        <v xml:space="preserve"> </v>
      </c>
      <c r="M22" s="642" t="str">
        <f>IF('rotation(6B)'!L46=0," ",$B22*'rotation(6B)'!L46)</f>
        <v xml:space="preserve"> </v>
      </c>
      <c r="N22" s="642" t="str">
        <f>IF('rotation(6B)'!M46=0," ",$B22*'rotation(6B)'!M46)</f>
        <v xml:space="preserve"> </v>
      </c>
      <c r="O22" s="642" t="str">
        <f>IF('rotation(6B)'!N46=0," ",$B22*'rotation(6B)'!N46)</f>
        <v xml:space="preserve"> </v>
      </c>
      <c r="P22" s="642" t="str">
        <f>IF('rotation(6B)'!O46=0," ",$B22*'rotation(6B)'!O46)</f>
        <v xml:space="preserve"> </v>
      </c>
      <c r="Q22" s="642" t="str">
        <f>IF('rotation(6B)'!P46=0," ",$B22*'rotation(6B)'!P46)</f>
        <v xml:space="preserve"> </v>
      </c>
      <c r="R22" s="642" t="str">
        <f>IF('rotation(6B)'!Q46=0," ",$B22*'rotation(6B)'!Q46)</f>
        <v xml:space="preserve"> </v>
      </c>
      <c r="S22" s="642" t="str">
        <f>IF('rotation(6B)'!R46=0," ",$B22*'rotation(6B)'!R46)</f>
        <v xml:space="preserve"> </v>
      </c>
      <c r="T22" s="642" t="str">
        <f>IF('rotation(6B)'!S46=0," ",$B22*'rotation(6B)'!S46)</f>
        <v xml:space="preserve"> </v>
      </c>
      <c r="U22" s="642" t="str">
        <f>IF('rotation(6B)'!T46=0," ",$B22*'rotation(6B)'!T46)</f>
        <v xml:space="preserve"> </v>
      </c>
      <c r="V22" s="642" t="str">
        <f>IF('rotation(6B)'!U46=0," ",$B22*'rotation(6B)'!U46)</f>
        <v xml:space="preserve"> </v>
      </c>
      <c r="W22" s="642" t="str">
        <f>IF('rotation(6B)'!V46=0," ",$B22*'rotation(6B)'!V46)</f>
        <v xml:space="preserve"> </v>
      </c>
      <c r="X22" s="21">
        <f t="shared" si="0"/>
        <v>75</v>
      </c>
    </row>
    <row r="23" spans="1:24" s="21" customFormat="1">
      <c r="A23" s="641" t="str">
        <f>'GTDB(6B)'!A25</f>
        <v>2ND STAGE SHROUDS</v>
      </c>
      <c r="B23" s="641">
        <f>'GTDB(6B)'!E25</f>
        <v>65</v>
      </c>
      <c r="C23" s="641" t="str">
        <f>IF('rotation(6B)'!AA49=0," ",B23*'rotation(6B)'!AA49)</f>
        <v xml:space="preserve"> </v>
      </c>
      <c r="D23" s="642" t="str">
        <f>IF('rotation(6B)'!C50=0," ",$B23*'rotation(6B)'!C50)</f>
        <v xml:space="preserve"> </v>
      </c>
      <c r="E23" s="642" t="str">
        <f>IF('rotation(6B)'!D50=0," ",$B23*'rotation(6B)'!D50)</f>
        <v xml:space="preserve"> </v>
      </c>
      <c r="F23" s="642">
        <f>IF('rotation(6B)'!E50=0," ",$B23*'rotation(6B)'!E50)</f>
        <v>130</v>
      </c>
      <c r="G23" s="642" t="str">
        <f>IF('rotation(6B)'!F50=0," ",$B23*'rotation(6B)'!F50)</f>
        <v xml:space="preserve"> </v>
      </c>
      <c r="H23" s="642" t="str">
        <f>IF('rotation(6B)'!G50=0," ",$B23*'rotation(6B)'!G50)</f>
        <v xml:space="preserve"> </v>
      </c>
      <c r="I23" s="642" t="str">
        <f>IF('rotation(6B)'!H50=0," ",$B23*'rotation(6B)'!H50)</f>
        <v xml:space="preserve"> </v>
      </c>
      <c r="J23" s="642" t="str">
        <f>IF('rotation(6B)'!I50=0," ",$B23*'rotation(6B)'!I50)</f>
        <v xml:space="preserve"> </v>
      </c>
      <c r="K23" s="642" t="str">
        <f>IF('rotation(6B)'!J50=0," ",$B23*'rotation(6B)'!J50)</f>
        <v xml:space="preserve"> </v>
      </c>
      <c r="L23" s="642" t="str">
        <f>IF('rotation(6B)'!K50=0," ",$B23*'rotation(6B)'!K50)</f>
        <v xml:space="preserve"> </v>
      </c>
      <c r="M23" s="642" t="str">
        <f>IF('rotation(6B)'!L50=0," ",$B23*'rotation(6B)'!L50)</f>
        <v xml:space="preserve"> </v>
      </c>
      <c r="N23" s="642" t="str">
        <f>IF('rotation(6B)'!M50=0," ",$B23*'rotation(6B)'!M50)</f>
        <v xml:space="preserve"> </v>
      </c>
      <c r="O23" s="642" t="str">
        <f>IF('rotation(6B)'!N50=0," ",$B23*'rotation(6B)'!N50)</f>
        <v xml:space="preserve"> </v>
      </c>
      <c r="P23" s="642" t="str">
        <f>IF('rotation(6B)'!O50=0," ",$B23*'rotation(6B)'!O50)</f>
        <v xml:space="preserve"> </v>
      </c>
      <c r="Q23" s="642" t="str">
        <f>IF('rotation(6B)'!P50=0," ",$B23*'rotation(6B)'!P50)</f>
        <v xml:space="preserve"> </v>
      </c>
      <c r="R23" s="642" t="str">
        <f>IF('rotation(6B)'!Q50=0," ",$B23*'rotation(6B)'!Q50)</f>
        <v xml:space="preserve"> </v>
      </c>
      <c r="S23" s="642" t="str">
        <f>IF('rotation(6B)'!R50=0," ",$B23*'rotation(6B)'!R50)</f>
        <v xml:space="preserve"> </v>
      </c>
      <c r="T23" s="642" t="str">
        <f>IF('rotation(6B)'!S50=0," ",$B23*'rotation(6B)'!S50)</f>
        <v xml:space="preserve"> </v>
      </c>
      <c r="U23" s="642" t="str">
        <f>IF('rotation(6B)'!T50=0," ",$B23*'rotation(6B)'!T50)</f>
        <v xml:space="preserve"> </v>
      </c>
      <c r="V23" s="642" t="str">
        <f>IF('rotation(6B)'!U50=0," ",$B23*'rotation(6B)'!U50)</f>
        <v xml:space="preserve"> </v>
      </c>
      <c r="W23" s="642" t="str">
        <f>IF('rotation(6B)'!V50=0," ",$B23*'rotation(6B)'!V50)</f>
        <v xml:space="preserve"> </v>
      </c>
      <c r="X23" s="21">
        <f t="shared" si="0"/>
        <v>130</v>
      </c>
    </row>
    <row r="24" spans="1:24" s="21" customFormat="1">
      <c r="A24" s="641" t="str">
        <f>'GTDB(6B)'!A26</f>
        <v>3RD STAGE SHROUDS</v>
      </c>
      <c r="B24" s="641">
        <f>'GTDB(6B)'!E26</f>
        <v>40</v>
      </c>
      <c r="C24" s="641" t="str">
        <f>IF('rotation(6B)'!AA53=0," ",B24*'rotation(6B)'!AA53)</f>
        <v xml:space="preserve"> </v>
      </c>
      <c r="D24" s="642" t="str">
        <f>IF('rotation(6B)'!C54=0," ",$B24*'rotation(6B)'!C54)</f>
        <v xml:space="preserve"> </v>
      </c>
      <c r="E24" s="642" t="str">
        <f>IF('rotation(6B)'!D54=0," ",$B24*'rotation(6B)'!D54)</f>
        <v xml:space="preserve"> </v>
      </c>
      <c r="F24" s="642">
        <f>IF('rotation(6B)'!E54=0," ",$B24*'rotation(6B)'!E54)</f>
        <v>40</v>
      </c>
      <c r="G24" s="642" t="str">
        <f>IF('rotation(6B)'!F54=0," ",$B24*'rotation(6B)'!F54)</f>
        <v xml:space="preserve"> </v>
      </c>
      <c r="H24" s="642" t="str">
        <f>IF('rotation(6B)'!G54=0," ",$B24*'rotation(6B)'!G54)</f>
        <v xml:space="preserve"> </v>
      </c>
      <c r="I24" s="642" t="str">
        <f>IF('rotation(6B)'!H54=0," ",$B24*'rotation(6B)'!H54)</f>
        <v xml:space="preserve"> </v>
      </c>
      <c r="J24" s="642" t="str">
        <f>IF('rotation(6B)'!I54=0," ",$B24*'rotation(6B)'!I54)</f>
        <v xml:space="preserve"> </v>
      </c>
      <c r="K24" s="642" t="str">
        <f>IF('rotation(6B)'!J54=0," ",$B24*'rotation(6B)'!J54)</f>
        <v xml:space="preserve"> </v>
      </c>
      <c r="L24" s="642" t="str">
        <f>IF('rotation(6B)'!K54=0," ",$B24*'rotation(6B)'!K54)</f>
        <v xml:space="preserve"> </v>
      </c>
      <c r="M24" s="642" t="str">
        <f>IF('rotation(6B)'!L54=0," ",$B24*'rotation(6B)'!L54)</f>
        <v xml:space="preserve"> </v>
      </c>
      <c r="N24" s="642" t="str">
        <f>IF('rotation(6B)'!M54=0," ",$B24*'rotation(6B)'!M54)</f>
        <v xml:space="preserve"> </v>
      </c>
      <c r="O24" s="642" t="str">
        <f>IF('rotation(6B)'!N54=0," ",$B24*'rotation(6B)'!N54)</f>
        <v xml:space="preserve"> </v>
      </c>
      <c r="P24" s="642" t="str">
        <f>IF('rotation(6B)'!O54=0," ",$B24*'rotation(6B)'!O54)</f>
        <v xml:space="preserve"> </v>
      </c>
      <c r="Q24" s="642" t="str">
        <f>IF('rotation(6B)'!P54=0," ",$B24*'rotation(6B)'!P54)</f>
        <v xml:space="preserve"> </v>
      </c>
      <c r="R24" s="642" t="str">
        <f>IF('rotation(6B)'!Q54=0," ",$B24*'rotation(6B)'!Q54)</f>
        <v xml:space="preserve"> </v>
      </c>
      <c r="S24" s="642" t="str">
        <f>IF('rotation(6B)'!R54=0," ",$B24*'rotation(6B)'!R54)</f>
        <v xml:space="preserve"> </v>
      </c>
      <c r="T24" s="642" t="str">
        <f>IF('rotation(6B)'!S54=0," ",$B24*'rotation(6B)'!S54)</f>
        <v xml:space="preserve"> </v>
      </c>
      <c r="U24" s="642" t="str">
        <f>IF('rotation(6B)'!T54=0," ",$B24*'rotation(6B)'!T54)</f>
        <v xml:space="preserve"> </v>
      </c>
      <c r="V24" s="642" t="str">
        <f>IF('rotation(6B)'!U54=0," ",$B24*'rotation(6B)'!U54)</f>
        <v xml:space="preserve"> </v>
      </c>
      <c r="W24" s="642" t="str">
        <f>IF('rotation(6B)'!V54=0," ",$B24*'rotation(6B)'!V54)</f>
        <v xml:space="preserve"> </v>
      </c>
      <c r="X24" s="21">
        <f t="shared" si="0"/>
        <v>40</v>
      </c>
    </row>
    <row r="25" spans="1:24" s="21" customFormat="1">
      <c r="A25" s="641" t="str">
        <f>'GTDB(6B)'!A27</f>
        <v>1ST STAGE NOZZLES</v>
      </c>
      <c r="B25" s="641">
        <f>'GTDB(6B)'!E27</f>
        <v>315</v>
      </c>
      <c r="C25" s="641" t="str">
        <f>IF('rotation(6B)'!AA57=0," ",B25*'rotation(6B)'!AA57)</f>
        <v xml:space="preserve"> </v>
      </c>
      <c r="D25" s="642" t="str">
        <f>IF('rotation(6B)'!C58=0," ",$B25*'rotation(6B)'!C58)</f>
        <v xml:space="preserve"> </v>
      </c>
      <c r="E25" s="642" t="str">
        <f>IF('rotation(6B)'!D58=0," ",$B25*'rotation(6B)'!D58)</f>
        <v xml:space="preserve"> </v>
      </c>
      <c r="F25" s="642">
        <f>IF('rotation(6B)'!E58=0," ",$B25*'rotation(6B)'!E58)</f>
        <v>315</v>
      </c>
      <c r="G25" s="642" t="str">
        <f>IF('rotation(6B)'!F58=0," ",$B25*'rotation(6B)'!F58)</f>
        <v xml:space="preserve"> </v>
      </c>
      <c r="H25" s="642" t="str">
        <f>IF('rotation(6B)'!G58=0," ",$B25*'rotation(6B)'!G58)</f>
        <v xml:space="preserve"> </v>
      </c>
      <c r="I25" s="642" t="str">
        <f>IF('rotation(6B)'!H58=0," ",$B25*'rotation(6B)'!H58)</f>
        <v xml:space="preserve"> </v>
      </c>
      <c r="J25" s="642" t="str">
        <f>IF('rotation(6B)'!I58=0," ",$B25*'rotation(6B)'!I58)</f>
        <v xml:space="preserve"> </v>
      </c>
      <c r="K25" s="642" t="str">
        <f>IF('rotation(6B)'!J58=0," ",$B25*'rotation(6B)'!J58)</f>
        <v xml:space="preserve"> </v>
      </c>
      <c r="L25" s="642" t="str">
        <f>IF('rotation(6B)'!K58=0," ",$B25*'rotation(6B)'!K58)</f>
        <v xml:space="preserve"> </v>
      </c>
      <c r="M25" s="642" t="str">
        <f>IF('rotation(6B)'!L58=0," ",$B25*'rotation(6B)'!L58)</f>
        <v xml:space="preserve"> </v>
      </c>
      <c r="N25" s="642" t="str">
        <f>IF('rotation(6B)'!M58=0," ",$B25*'rotation(6B)'!M58)</f>
        <v xml:space="preserve"> </v>
      </c>
      <c r="O25" s="642" t="str">
        <f>IF('rotation(6B)'!N58=0," ",$B25*'rotation(6B)'!N58)</f>
        <v xml:space="preserve"> </v>
      </c>
      <c r="P25" s="642" t="str">
        <f>IF('rotation(6B)'!O58=0," ",$B25*'rotation(6B)'!O58)</f>
        <v xml:space="preserve"> </v>
      </c>
      <c r="Q25" s="642" t="str">
        <f>IF('rotation(6B)'!P58=0," ",$B25*'rotation(6B)'!P58)</f>
        <v xml:space="preserve"> </v>
      </c>
      <c r="R25" s="642" t="str">
        <f>IF('rotation(6B)'!Q58=0," ",$B25*'rotation(6B)'!Q58)</f>
        <v xml:space="preserve"> </v>
      </c>
      <c r="S25" s="642" t="str">
        <f>IF('rotation(6B)'!R58=0," ",$B25*'rotation(6B)'!R58)</f>
        <v xml:space="preserve"> </v>
      </c>
      <c r="T25" s="642" t="str">
        <f>IF('rotation(6B)'!S58=0," ",$B25*'rotation(6B)'!S58)</f>
        <v xml:space="preserve"> </v>
      </c>
      <c r="U25" s="642" t="str">
        <f>IF('rotation(6B)'!T58=0," ",$B25*'rotation(6B)'!T58)</f>
        <v xml:space="preserve"> </v>
      </c>
      <c r="V25" s="642" t="str">
        <f>IF('rotation(6B)'!U58=0," ",$B25*'rotation(6B)'!U58)</f>
        <v xml:space="preserve"> </v>
      </c>
      <c r="W25" s="642" t="str">
        <f>IF('rotation(6B)'!V58=0," ",$B25*'rotation(6B)'!V58)</f>
        <v xml:space="preserve"> </v>
      </c>
      <c r="X25" s="21">
        <f t="shared" si="0"/>
        <v>315</v>
      </c>
    </row>
    <row r="26" spans="1:24" s="21" customFormat="1">
      <c r="A26" s="641" t="str">
        <f>'GTDB(6B)'!A28</f>
        <v>2ND STAGE NOZZLES</v>
      </c>
      <c r="B26" s="641">
        <f>'GTDB(6B)'!E28</f>
        <v>370</v>
      </c>
      <c r="C26" s="641" t="str">
        <f>IF('rotation(6B)'!AA61=0," ",B26*'rotation(6B)'!AA61)</f>
        <v xml:space="preserve"> </v>
      </c>
      <c r="D26" s="641" t="str">
        <f>IF('rotation(6B)'!C61=0," ",$B26*'rotation(6B)'!C61)</f>
        <v xml:space="preserve"> </v>
      </c>
      <c r="E26" s="641" t="str">
        <f>IF('rotation(6B)'!D61=0," ",$B26*'rotation(6B)'!D61)</f>
        <v xml:space="preserve"> </v>
      </c>
      <c r="F26" s="641" t="str">
        <f>IF('rotation(6B)'!E61=0," ",$B26*'rotation(6B)'!E61)</f>
        <v xml:space="preserve"> </v>
      </c>
      <c r="G26" s="641" t="str">
        <f>IF('rotation(6B)'!F61=0," ",$B26*'rotation(6B)'!F61)</f>
        <v xml:space="preserve"> </v>
      </c>
      <c r="H26" s="641" t="str">
        <f>IF('rotation(6B)'!G61=0," ",$B26*'rotation(6B)'!G61)</f>
        <v xml:space="preserve"> </v>
      </c>
      <c r="I26" s="641" t="str">
        <f>IF('rotation(6B)'!H61=0," ",$B26*'rotation(6B)'!H61)</f>
        <v xml:space="preserve"> </v>
      </c>
      <c r="J26" s="641" t="str">
        <f>IF('rotation(6B)'!I61=0," ",$B26*'rotation(6B)'!I61)</f>
        <v xml:space="preserve"> </v>
      </c>
      <c r="K26" s="641" t="str">
        <f>IF('rotation(6B)'!J61=0," ",$B26*'rotation(6B)'!J61)</f>
        <v xml:space="preserve"> </v>
      </c>
      <c r="L26" s="641" t="str">
        <f>IF('rotation(6B)'!K61=0," ",$B26*'rotation(6B)'!K61)</f>
        <v xml:space="preserve"> </v>
      </c>
      <c r="M26" s="641" t="str">
        <f>IF('rotation(6B)'!L61=0," ",$B26*'rotation(6B)'!L61)</f>
        <v xml:space="preserve"> </v>
      </c>
      <c r="N26" s="641" t="str">
        <f>IF('rotation(6B)'!M61=0," ",$B26*'rotation(6B)'!M61)</f>
        <v xml:space="preserve"> </v>
      </c>
      <c r="O26" s="641" t="str">
        <f>IF('rotation(6B)'!N61=0," ",$B26*'rotation(6B)'!N61)</f>
        <v xml:space="preserve"> </v>
      </c>
      <c r="P26" s="641" t="str">
        <f>IF('rotation(6B)'!O61=0," ",$B26*'rotation(6B)'!O61)</f>
        <v xml:space="preserve"> </v>
      </c>
      <c r="Q26" s="641" t="str">
        <f>IF('rotation(6B)'!P61=0," ",$B26*'rotation(6B)'!P61)</f>
        <v xml:space="preserve"> </v>
      </c>
      <c r="R26" s="641" t="str">
        <f>IF('rotation(6B)'!Q61=0," ",$B26*'rotation(6B)'!Q61)</f>
        <v xml:space="preserve"> </v>
      </c>
      <c r="S26" s="641" t="str">
        <f>IF('rotation(6B)'!R61=0," ",$B26*'rotation(6B)'!R61)</f>
        <v xml:space="preserve"> </v>
      </c>
      <c r="T26" s="641" t="str">
        <f>IF('rotation(6B)'!S61=0," ",$B26*'rotation(6B)'!S61)</f>
        <v xml:space="preserve"> </v>
      </c>
      <c r="U26" s="641" t="str">
        <f>IF('rotation(6B)'!T61=0," ",$B26*'rotation(6B)'!T61)</f>
        <v xml:space="preserve"> </v>
      </c>
      <c r="V26" s="641" t="str">
        <f>IF('rotation(6B)'!U61=0," ",$B26*'rotation(6B)'!U61)</f>
        <v xml:space="preserve"> </v>
      </c>
      <c r="W26" s="641" t="str">
        <f>IF('rotation(6B)'!V61=0," ",$B26*'rotation(6B)'!V61)</f>
        <v xml:space="preserve"> </v>
      </c>
      <c r="X26" s="21">
        <f t="shared" si="0"/>
        <v>0</v>
      </c>
    </row>
    <row r="27" spans="1:24" s="21" customFormat="1">
      <c r="A27" s="641" t="str">
        <f>'GTDB(6B)'!A29</f>
        <v>3RD STAGE NOZZLES</v>
      </c>
      <c r="B27" s="641">
        <f>'GTDB(6B)'!E29</f>
        <v>325</v>
      </c>
      <c r="C27" s="641" t="str">
        <f>IF('rotation(6B)'!AA65=0," ",B27*'rotation(6B)'!AA65)</f>
        <v xml:space="preserve"> </v>
      </c>
      <c r="D27" s="641" t="str">
        <f>IF('rotation(6B)'!C65=0," ",$B27*'rotation(6B)'!C65)</f>
        <v xml:space="preserve"> </v>
      </c>
      <c r="E27" s="641" t="str">
        <f>IF('rotation(6B)'!D65=0," ",$B27*'rotation(6B)'!D65)</f>
        <v xml:space="preserve"> </v>
      </c>
      <c r="F27" s="641" t="str">
        <f>IF('rotation(6B)'!E65=0," ",$B27*'rotation(6B)'!E65)</f>
        <v xml:space="preserve"> </v>
      </c>
      <c r="G27" s="641" t="str">
        <f>IF('rotation(6B)'!F65=0," ",$B27*'rotation(6B)'!F65)</f>
        <v xml:space="preserve"> </v>
      </c>
      <c r="H27" s="641" t="str">
        <f>IF('rotation(6B)'!G65=0," ",$B27*'rotation(6B)'!G65)</f>
        <v xml:space="preserve"> </v>
      </c>
      <c r="I27" s="641" t="str">
        <f>IF('rotation(6B)'!H65=0," ",$B27*'rotation(6B)'!H65)</f>
        <v xml:space="preserve"> </v>
      </c>
      <c r="J27" s="641" t="str">
        <f>IF('rotation(6B)'!I65=0," ",$B27*'rotation(6B)'!I65)</f>
        <v xml:space="preserve"> </v>
      </c>
      <c r="K27" s="641" t="str">
        <f>IF('rotation(6B)'!J65=0," ",$B27*'rotation(6B)'!J65)</f>
        <v xml:space="preserve"> </v>
      </c>
      <c r="L27" s="641" t="str">
        <f>IF('rotation(6B)'!K65=0," ",$B27*'rotation(6B)'!K65)</f>
        <v xml:space="preserve"> </v>
      </c>
      <c r="M27" s="641" t="str">
        <f>IF('rotation(6B)'!L65=0," ",$B27*'rotation(6B)'!L65)</f>
        <v xml:space="preserve"> </v>
      </c>
      <c r="N27" s="641" t="str">
        <f>IF('rotation(6B)'!M65=0," ",$B27*'rotation(6B)'!M65)</f>
        <v xml:space="preserve"> </v>
      </c>
      <c r="O27" s="641" t="str">
        <f>IF('rotation(6B)'!N65=0," ",$B27*'rotation(6B)'!N65)</f>
        <v xml:space="preserve"> </v>
      </c>
      <c r="P27" s="641" t="str">
        <f>IF('rotation(6B)'!O65=0," ",$B27*'rotation(6B)'!O65)</f>
        <v xml:space="preserve"> </v>
      </c>
      <c r="Q27" s="641" t="str">
        <f>IF('rotation(6B)'!P65=0," ",$B27*'rotation(6B)'!P65)</f>
        <v xml:space="preserve"> </v>
      </c>
      <c r="R27" s="641" t="str">
        <f>IF('rotation(6B)'!Q65=0," ",$B27*'rotation(6B)'!Q65)</f>
        <v xml:space="preserve"> </v>
      </c>
      <c r="S27" s="641" t="str">
        <f>IF('rotation(6B)'!R65=0," ",$B27*'rotation(6B)'!R65)</f>
        <v xml:space="preserve"> </v>
      </c>
      <c r="T27" s="641" t="str">
        <f>IF('rotation(6B)'!S65=0," ",$B27*'rotation(6B)'!S65)</f>
        <v xml:space="preserve"> </v>
      </c>
      <c r="U27" s="641" t="str">
        <f>IF('rotation(6B)'!T65=0," ",$B27*'rotation(6B)'!T65)</f>
        <v xml:space="preserve"> </v>
      </c>
      <c r="V27" s="641" t="str">
        <f>IF('rotation(6B)'!U65=0," ",$B27*'rotation(6B)'!U65)</f>
        <v xml:space="preserve"> </v>
      </c>
      <c r="W27" s="641" t="str">
        <f>IF('rotation(6B)'!V65=0," ",$B27*'rotation(6B)'!V65)</f>
        <v xml:space="preserve"> </v>
      </c>
      <c r="X27" s="21">
        <f t="shared" si="0"/>
        <v>0</v>
      </c>
    </row>
    <row r="28" spans="1:24" s="21" customFormat="1">
      <c r="A28" s="636" t="s">
        <v>904</v>
      </c>
      <c r="B28" s="641">
        <f>'GTDB(6B)'!D12</f>
        <v>34</v>
      </c>
      <c r="C28" s="641"/>
      <c r="D28" s="642" t="str">
        <f>IF('rotation(6B)'!C8=0," ",$B28*'rotation(6B)'!C8)</f>
        <v xml:space="preserve"> </v>
      </c>
      <c r="E28" s="642" t="str">
        <f>IF('rotation(6B)'!D8=0," ",$B28*'rotation(6B)'!D8)</f>
        <v xml:space="preserve"> </v>
      </c>
      <c r="F28" s="642" t="str">
        <f>IF('rotation(6B)'!E8=0," ",$B28*'rotation(6B)'!E8)</f>
        <v xml:space="preserve"> </v>
      </c>
      <c r="G28" s="642" t="str">
        <f>IF('rotation(6B)'!F8=0," ",$B28*'rotation(6B)'!F8)</f>
        <v xml:space="preserve"> </v>
      </c>
      <c r="H28" s="642" t="str">
        <f>IF('rotation(6B)'!G8=0," ",$B28*'rotation(6B)'!G8)</f>
        <v xml:space="preserve"> </v>
      </c>
      <c r="I28" s="642" t="str">
        <f>IF('rotation(6B)'!H8=0," ",$B28*'rotation(6B)'!H8)</f>
        <v xml:space="preserve"> </v>
      </c>
      <c r="J28" s="642" t="str">
        <f>IF('rotation(6B)'!I8=0," ",$B28*'rotation(6B)'!I8)</f>
        <v xml:space="preserve"> </v>
      </c>
      <c r="K28" s="642" t="str">
        <f>IF('rotation(6B)'!J8=0," ",$B28*'rotation(6B)'!J8)</f>
        <v xml:space="preserve"> </v>
      </c>
      <c r="L28" s="642" t="str">
        <f>IF('rotation(6B)'!K8=0," ",$B28*'rotation(6B)'!K8)</f>
        <v xml:space="preserve"> </v>
      </c>
      <c r="M28" s="642" t="str">
        <f>IF('rotation(6B)'!L8=0," ",$B28*'rotation(6B)'!L8)</f>
        <v xml:space="preserve"> </v>
      </c>
      <c r="N28" s="642" t="str">
        <f>IF('rotation(6B)'!M8=0," ",$B28*'rotation(6B)'!M8)</f>
        <v xml:space="preserve"> </v>
      </c>
      <c r="O28" s="642" t="str">
        <f>IF('rotation(6B)'!N8=0," ",$B28*'rotation(6B)'!N8)</f>
        <v xml:space="preserve"> </v>
      </c>
      <c r="P28" s="642" t="str">
        <f>IF('rotation(6B)'!O8=0," ",$B28*'rotation(6B)'!O8)</f>
        <v xml:space="preserve"> </v>
      </c>
      <c r="Q28" s="642" t="str">
        <f>IF('rotation(6B)'!P8=0," ",$B28*'rotation(6B)'!P8)</f>
        <v xml:space="preserve"> </v>
      </c>
      <c r="R28" s="642" t="str">
        <f>IF('rotation(6B)'!Q8=0," ",$B28*'rotation(6B)'!Q8)</f>
        <v xml:space="preserve"> </v>
      </c>
      <c r="S28" s="642" t="str">
        <f>IF('rotation(6B)'!R8=0," ",$B28*'rotation(6B)'!R8)</f>
        <v xml:space="preserve"> </v>
      </c>
      <c r="T28" s="642" t="str">
        <f>IF('rotation(6B)'!S8=0," ",$B28*'rotation(6B)'!S8)</f>
        <v xml:space="preserve"> </v>
      </c>
      <c r="U28" s="642" t="str">
        <f>IF('rotation(6B)'!T8=0," ",$B28*'rotation(6B)'!T8)</f>
        <v xml:space="preserve"> </v>
      </c>
      <c r="V28" s="642" t="str">
        <f>IF('rotation(6B)'!U8=0," ",$B28*'rotation(6B)'!U8)</f>
        <v xml:space="preserve"> </v>
      </c>
      <c r="W28" s="642" t="str">
        <f>IF('rotation(6B)'!V8=0," ",$B28*'rotation(6B)'!V8)</f>
        <v xml:space="preserve"> </v>
      </c>
      <c r="X28" s="21">
        <f t="shared" si="0"/>
        <v>0</v>
      </c>
    </row>
    <row r="29" spans="1:24" s="21" customFormat="1">
      <c r="A29" s="636" t="s">
        <v>905</v>
      </c>
      <c r="B29" s="641">
        <f>'GTDB(6B)'!D13</f>
        <v>44</v>
      </c>
      <c r="C29" s="641"/>
      <c r="D29" s="642" t="str">
        <f>IF('rotation(6B)'!C9=0," ",$B29*'rotation(6B)'!C9)</f>
        <v xml:space="preserve"> </v>
      </c>
      <c r="E29" s="642" t="str">
        <f>IF('rotation(6B)'!D9=0," ",$B29*'rotation(6B)'!D9)</f>
        <v xml:space="preserve"> </v>
      </c>
      <c r="F29" s="642" t="str">
        <f>IF('rotation(6B)'!E9=0," ",$B29*'rotation(6B)'!E9)</f>
        <v xml:space="preserve"> </v>
      </c>
      <c r="G29" s="642" t="str">
        <f>IF('rotation(6B)'!F9=0," ",$B29*'rotation(6B)'!F9)</f>
        <v xml:space="preserve"> </v>
      </c>
      <c r="H29" s="642" t="str">
        <f>IF('rotation(6B)'!G9=0," ",$B29*'rotation(6B)'!G9)</f>
        <v xml:space="preserve"> </v>
      </c>
      <c r="I29" s="642" t="str">
        <f>IF('rotation(6B)'!H9=0," ",$B29*'rotation(6B)'!H9)</f>
        <v xml:space="preserve"> </v>
      </c>
      <c r="J29" s="642" t="str">
        <f>IF('rotation(6B)'!I9=0," ",$B29*'rotation(6B)'!I9)</f>
        <v xml:space="preserve"> </v>
      </c>
      <c r="K29" s="642" t="str">
        <f>IF('rotation(6B)'!J9=0," ",$B29*'rotation(6B)'!J9)</f>
        <v xml:space="preserve"> </v>
      </c>
      <c r="L29" s="642" t="str">
        <f>IF('rotation(6B)'!K9=0," ",$B29*'rotation(6B)'!K9)</f>
        <v xml:space="preserve"> </v>
      </c>
      <c r="M29" s="642" t="str">
        <f>IF('rotation(6B)'!L9=0," ",$B29*'rotation(6B)'!L9)</f>
        <v xml:space="preserve"> </v>
      </c>
      <c r="N29" s="642" t="str">
        <f>IF('rotation(6B)'!M9=0," ",$B29*'rotation(6B)'!M9)</f>
        <v xml:space="preserve"> </v>
      </c>
      <c r="O29" s="642" t="str">
        <f>IF('rotation(6B)'!N9=0," ",$B29*'rotation(6B)'!N9)</f>
        <v xml:space="preserve"> </v>
      </c>
      <c r="P29" s="642" t="str">
        <f>IF('rotation(6B)'!O9=0," ",$B29*'rotation(6B)'!O9)</f>
        <v xml:space="preserve"> </v>
      </c>
      <c r="Q29" s="642" t="str">
        <f>IF('rotation(6B)'!P9=0," ",$B29*'rotation(6B)'!P9)</f>
        <v xml:space="preserve"> </v>
      </c>
      <c r="R29" s="642" t="str">
        <f>IF('rotation(6B)'!Q9=0," ",$B29*'rotation(6B)'!Q9)</f>
        <v xml:space="preserve"> </v>
      </c>
      <c r="S29" s="642" t="str">
        <f>IF('rotation(6B)'!R9=0," ",$B29*'rotation(6B)'!R9)</f>
        <v xml:space="preserve"> </v>
      </c>
      <c r="T29" s="642" t="str">
        <f>IF('rotation(6B)'!S9=0," ",$B29*'rotation(6B)'!S9)</f>
        <v xml:space="preserve"> </v>
      </c>
      <c r="U29" s="642" t="str">
        <f>IF('rotation(6B)'!T9=0," ",$B29*'rotation(6B)'!T9)</f>
        <v xml:space="preserve"> </v>
      </c>
      <c r="V29" s="642" t="str">
        <f>IF('rotation(6B)'!U9=0," ",$B29*'rotation(6B)'!U9)</f>
        <v xml:space="preserve"> </v>
      </c>
      <c r="W29" s="642" t="str">
        <f>IF('rotation(6B)'!V9=0," ",$B29*'rotation(6B)'!V9)</f>
        <v xml:space="preserve"> </v>
      </c>
      <c r="X29" s="21">
        <f t="shared" si="0"/>
        <v>0</v>
      </c>
    </row>
    <row r="30" spans="1:24" s="21" customFormat="1">
      <c r="A30" s="636" t="s">
        <v>906</v>
      </c>
      <c r="B30" s="641">
        <f>'GTDB(6B)'!D14</f>
        <v>162</v>
      </c>
      <c r="C30" s="641"/>
      <c r="D30" s="642" t="str">
        <f>IF('rotation(6B)'!C10=0," ",$B30*'rotation(6B)'!C10)</f>
        <v xml:space="preserve"> </v>
      </c>
      <c r="E30" s="642" t="str">
        <f>IF('rotation(6B)'!D10=0," ",$B30*'rotation(6B)'!D10)</f>
        <v xml:space="preserve"> </v>
      </c>
      <c r="F30" s="642" t="str">
        <f>IF('rotation(6B)'!E10=0," ",$B30*'rotation(6B)'!E10)</f>
        <v xml:space="preserve"> </v>
      </c>
      <c r="G30" s="642" t="str">
        <f>IF('rotation(6B)'!F10=0," ",$B30*'rotation(6B)'!F10)</f>
        <v xml:space="preserve"> </v>
      </c>
      <c r="H30" s="642" t="str">
        <f>IF('rotation(6B)'!G10=0," ",$B30*'rotation(6B)'!G10)</f>
        <v xml:space="preserve"> </v>
      </c>
      <c r="I30" s="642" t="str">
        <f>IF('rotation(6B)'!H10=0," ",$B30*'rotation(6B)'!H10)</f>
        <v xml:space="preserve"> </v>
      </c>
      <c r="J30" s="642" t="str">
        <f>IF('rotation(6B)'!I10=0," ",$B30*'rotation(6B)'!I10)</f>
        <v xml:space="preserve"> </v>
      </c>
      <c r="K30" s="642" t="str">
        <f>IF('rotation(6B)'!J10=0," ",$B30*'rotation(6B)'!J10)</f>
        <v xml:space="preserve"> </v>
      </c>
      <c r="L30" s="642" t="str">
        <f>IF('rotation(6B)'!K10=0," ",$B30*'rotation(6B)'!K10)</f>
        <v xml:space="preserve"> </v>
      </c>
      <c r="M30" s="642" t="str">
        <f>IF('rotation(6B)'!L10=0," ",$B30*'rotation(6B)'!L10)</f>
        <v xml:space="preserve"> </v>
      </c>
      <c r="N30" s="642" t="str">
        <f>IF('rotation(6B)'!M10=0," ",$B30*'rotation(6B)'!M10)</f>
        <v xml:space="preserve"> </v>
      </c>
      <c r="O30" s="642" t="str">
        <f>IF('rotation(6B)'!N10=0," ",$B30*'rotation(6B)'!N10)</f>
        <v xml:space="preserve"> </v>
      </c>
      <c r="P30" s="642" t="str">
        <f>IF('rotation(6B)'!O10=0," ",$B30*'rotation(6B)'!O10)</f>
        <v xml:space="preserve"> </v>
      </c>
      <c r="Q30" s="642" t="str">
        <f>IF('rotation(6B)'!P10=0," ",$B30*'rotation(6B)'!P10)</f>
        <v xml:space="preserve"> </v>
      </c>
      <c r="R30" s="642" t="str">
        <f>IF('rotation(6B)'!Q10=0," ",$B30*'rotation(6B)'!Q10)</f>
        <v xml:space="preserve"> </v>
      </c>
      <c r="S30" s="642" t="str">
        <f>IF('rotation(6B)'!R10=0," ",$B30*'rotation(6B)'!R10)</f>
        <v xml:space="preserve"> </v>
      </c>
      <c r="T30" s="642" t="str">
        <f>IF('rotation(6B)'!S10=0," ",$B30*'rotation(6B)'!S10)</f>
        <v xml:space="preserve"> </v>
      </c>
      <c r="U30" s="642" t="str">
        <f>IF('rotation(6B)'!T10=0," ",$B30*'rotation(6B)'!T10)</f>
        <v xml:space="preserve"> </v>
      </c>
      <c r="V30" s="642" t="str">
        <f>IF('rotation(6B)'!U10=0," ",$B30*'rotation(6B)'!U10)</f>
        <v xml:space="preserve"> </v>
      </c>
      <c r="W30" s="642" t="str">
        <f>IF('rotation(6B)'!V10=0," ",$B30*'rotation(6B)'!V10)</f>
        <v xml:space="preserve"> </v>
      </c>
      <c r="X30" s="21">
        <f t="shared" si="0"/>
        <v>0</v>
      </c>
    </row>
    <row r="31" spans="1:24" s="21" customFormat="1" ht="15.75" customHeight="1">
      <c r="A31" s="640" t="s">
        <v>907</v>
      </c>
      <c r="C31" s="21">
        <f t="shared" ref="C31:W31" si="1">SUM(C15:C30)</f>
        <v>0</v>
      </c>
      <c r="D31" s="21">
        <f t="shared" si="1"/>
        <v>0</v>
      </c>
      <c r="E31" s="21">
        <f t="shared" si="1"/>
        <v>261</v>
      </c>
      <c r="F31" s="21">
        <f t="shared" si="1"/>
        <v>1855</v>
      </c>
      <c r="G31" s="21">
        <f t="shared" si="1"/>
        <v>0</v>
      </c>
      <c r="H31" s="21">
        <f t="shared" si="1"/>
        <v>0</v>
      </c>
      <c r="I31" s="21">
        <f t="shared" si="1"/>
        <v>0</v>
      </c>
      <c r="J31" s="21">
        <f t="shared" si="1"/>
        <v>0</v>
      </c>
      <c r="K31" s="21">
        <f t="shared" si="1"/>
        <v>0</v>
      </c>
      <c r="L31" s="21">
        <f t="shared" si="1"/>
        <v>0</v>
      </c>
      <c r="M31" s="21">
        <f t="shared" si="1"/>
        <v>0</v>
      </c>
      <c r="N31" s="21">
        <f t="shared" si="1"/>
        <v>0</v>
      </c>
      <c r="O31" s="21">
        <f t="shared" si="1"/>
        <v>0</v>
      </c>
      <c r="P31" s="21">
        <f t="shared" si="1"/>
        <v>0</v>
      </c>
      <c r="Q31" s="21">
        <f t="shared" si="1"/>
        <v>0</v>
      </c>
      <c r="R31" s="21">
        <f t="shared" si="1"/>
        <v>0</v>
      </c>
      <c r="S31" s="21">
        <f t="shared" si="1"/>
        <v>0</v>
      </c>
      <c r="T31" s="21">
        <f t="shared" si="1"/>
        <v>0</v>
      </c>
      <c r="U31" s="21">
        <f t="shared" si="1"/>
        <v>0</v>
      </c>
      <c r="V31" s="21">
        <f t="shared" si="1"/>
        <v>0</v>
      </c>
      <c r="W31" s="21">
        <f t="shared" si="1"/>
        <v>0</v>
      </c>
      <c r="X31" s="21">
        <f t="shared" si="0"/>
        <v>2116</v>
      </c>
    </row>
    <row r="32" spans="1:24" s="21" customFormat="1" ht="16.5" customHeight="1">
      <c r="A32" s="640" t="s">
        <v>960</v>
      </c>
      <c r="B32" s="643">
        <v>0.1</v>
      </c>
      <c r="C32" s="21">
        <f t="shared" ref="C32:W32" si="2">C31*(1-$B32)</f>
        <v>0</v>
      </c>
      <c r="D32" s="21">
        <f t="shared" si="2"/>
        <v>0</v>
      </c>
      <c r="E32" s="21">
        <f t="shared" si="2"/>
        <v>234.9</v>
      </c>
      <c r="F32" s="21">
        <f t="shared" si="2"/>
        <v>1669.5</v>
      </c>
      <c r="G32" s="21">
        <f t="shared" si="2"/>
        <v>0</v>
      </c>
      <c r="H32" s="21">
        <f t="shared" si="2"/>
        <v>0</v>
      </c>
      <c r="I32" s="21">
        <f t="shared" si="2"/>
        <v>0</v>
      </c>
      <c r="J32" s="21">
        <f t="shared" si="2"/>
        <v>0</v>
      </c>
      <c r="K32" s="21">
        <f t="shared" si="2"/>
        <v>0</v>
      </c>
      <c r="L32" s="21">
        <f t="shared" si="2"/>
        <v>0</v>
      </c>
      <c r="M32" s="21">
        <f t="shared" si="2"/>
        <v>0</v>
      </c>
      <c r="N32" s="21">
        <f t="shared" si="2"/>
        <v>0</v>
      </c>
      <c r="O32" s="21">
        <f t="shared" si="2"/>
        <v>0</v>
      </c>
      <c r="P32" s="21">
        <f t="shared" si="2"/>
        <v>0</v>
      </c>
      <c r="Q32" s="21">
        <f t="shared" si="2"/>
        <v>0</v>
      </c>
      <c r="R32" s="21">
        <f t="shared" si="2"/>
        <v>0</v>
      </c>
      <c r="S32" s="21">
        <f t="shared" si="2"/>
        <v>0</v>
      </c>
      <c r="T32" s="21">
        <f t="shared" si="2"/>
        <v>0</v>
      </c>
      <c r="U32" s="21">
        <f t="shared" si="2"/>
        <v>0</v>
      </c>
      <c r="V32" s="21">
        <f t="shared" si="2"/>
        <v>0</v>
      </c>
      <c r="W32" s="21">
        <f t="shared" si="2"/>
        <v>0</v>
      </c>
      <c r="X32" s="21">
        <f t="shared" si="0"/>
        <v>1904.4</v>
      </c>
    </row>
    <row r="33" spans="1:24" s="21" customFormat="1" ht="12.75" customHeight="1">
      <c r="A33" s="640" t="s">
        <v>908</v>
      </c>
      <c r="B33" s="643">
        <v>0.03</v>
      </c>
      <c r="C33" s="21">
        <f t="shared" ref="C33:W33" si="3">C32*(1+$B33)</f>
        <v>0</v>
      </c>
      <c r="D33" s="21">
        <f t="shared" si="3"/>
        <v>0</v>
      </c>
      <c r="E33" s="21">
        <f t="shared" si="3"/>
        <v>241.947</v>
      </c>
      <c r="F33" s="21">
        <f t="shared" si="3"/>
        <v>1719.585</v>
      </c>
      <c r="G33" s="21">
        <f t="shared" si="3"/>
        <v>0</v>
      </c>
      <c r="H33" s="21">
        <f t="shared" si="3"/>
        <v>0</v>
      </c>
      <c r="I33" s="21">
        <f t="shared" si="3"/>
        <v>0</v>
      </c>
      <c r="J33" s="21">
        <f t="shared" si="3"/>
        <v>0</v>
      </c>
      <c r="K33" s="21">
        <f t="shared" si="3"/>
        <v>0</v>
      </c>
      <c r="L33" s="21">
        <f t="shared" si="3"/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644">
        <f t="shared" si="0"/>
        <v>1961.5320000000002</v>
      </c>
    </row>
    <row r="34" spans="1:24" s="21" customFormat="1">
      <c r="A34" s="640"/>
    </row>
    <row r="35" spans="1:24" s="21" customFormat="1">
      <c r="A35" s="640"/>
    </row>
    <row r="36" spans="1:24" s="21" customFormat="1">
      <c r="A36" s="645" t="s">
        <v>909</v>
      </c>
      <c r="D36" s="21">
        <v>1</v>
      </c>
      <c r="E36" s="21">
        <v>2</v>
      </c>
      <c r="F36" s="21">
        <v>3</v>
      </c>
      <c r="G36" s="21">
        <v>4</v>
      </c>
      <c r="H36" s="21">
        <v>5</v>
      </c>
      <c r="I36" s="21">
        <v>6</v>
      </c>
      <c r="J36" s="21">
        <v>7</v>
      </c>
      <c r="K36" s="21">
        <v>8</v>
      </c>
      <c r="L36" s="21">
        <v>9</v>
      </c>
      <c r="M36" s="21">
        <v>10</v>
      </c>
      <c r="N36" s="21">
        <v>11</v>
      </c>
      <c r="O36" s="21">
        <v>12</v>
      </c>
      <c r="P36" s="21">
        <v>13</v>
      </c>
      <c r="Q36" s="21">
        <v>14</v>
      </c>
      <c r="R36" s="21">
        <v>15</v>
      </c>
      <c r="S36" s="21">
        <v>16</v>
      </c>
      <c r="T36" s="21">
        <v>17</v>
      </c>
      <c r="U36" s="21">
        <v>18</v>
      </c>
      <c r="V36" s="21">
        <v>19</v>
      </c>
      <c r="W36" s="21">
        <v>20</v>
      </c>
    </row>
    <row r="37" spans="1:24" s="21" customFormat="1">
      <c r="A37" s="646" t="s">
        <v>901</v>
      </c>
      <c r="B37" s="647" t="s">
        <v>910</v>
      </c>
      <c r="C37" s="642"/>
      <c r="D37" s="642"/>
      <c r="E37" s="642"/>
      <c r="F37" s="642"/>
      <c r="G37" s="642"/>
      <c r="H37" s="642"/>
      <c r="I37" s="642"/>
      <c r="J37" s="642"/>
      <c r="K37" s="642"/>
      <c r="L37" s="642"/>
      <c r="M37" s="642"/>
      <c r="N37" s="642"/>
      <c r="O37" s="642"/>
      <c r="P37" s="642"/>
      <c r="Q37" s="642"/>
      <c r="R37" s="642"/>
      <c r="S37" s="642"/>
      <c r="T37" s="642"/>
      <c r="U37" s="642"/>
      <c r="V37" s="642"/>
      <c r="W37" s="642"/>
    </row>
    <row r="38" spans="1:24" s="21" customFormat="1">
      <c r="A38" s="648" t="str">
        <f>'GTDB(6B)'!A17</f>
        <v>FUEL NOZZLES</v>
      </c>
      <c r="B38" s="641">
        <f>'GTDB(6B)'!D17</f>
        <v>8</v>
      </c>
      <c r="C38" s="642">
        <v>0</v>
      </c>
      <c r="D38" s="642" t="str">
        <f>IF('rotation(6B)'!C17=0," ",$B38*'rotation(6B)'!C17)</f>
        <v xml:space="preserve"> </v>
      </c>
      <c r="E38" s="642" t="str">
        <f>IF('rotation(6B)'!D17=0," ",$B38*'rotation(6B)'!D17)</f>
        <v xml:space="preserve"> </v>
      </c>
      <c r="F38" s="642" t="str">
        <f>IF('rotation(6B)'!E17=0," ",$B38*'rotation(6B)'!E17)</f>
        <v xml:space="preserve"> </v>
      </c>
      <c r="G38" s="642" t="str">
        <f>IF('rotation(6B)'!F17=0," ",$B38*'rotation(6B)'!F17)</f>
        <v xml:space="preserve"> </v>
      </c>
      <c r="H38" s="642" t="str">
        <f>IF('rotation(6B)'!G17=0," ",$B38*'rotation(6B)'!G17)</f>
        <v xml:space="preserve"> </v>
      </c>
      <c r="I38" s="642" t="str">
        <f>IF('rotation(6B)'!H17=0," ",$B38*'rotation(6B)'!H17)</f>
        <v xml:space="preserve"> </v>
      </c>
      <c r="J38" s="642" t="str">
        <f>IF('rotation(6B)'!I17=0," ",$B38*'rotation(6B)'!I17)</f>
        <v xml:space="preserve"> </v>
      </c>
      <c r="K38" s="642" t="str">
        <f>IF('rotation(6B)'!J17=0," ",$B38*'rotation(6B)'!J17)</f>
        <v xml:space="preserve"> </v>
      </c>
      <c r="L38" s="642" t="str">
        <f>IF('rotation(6B)'!K17=0," ",$B38*'rotation(6B)'!K17)</f>
        <v xml:space="preserve"> </v>
      </c>
      <c r="M38" s="642" t="str">
        <f>IF('rotation(6B)'!L17=0," ",$B38*'rotation(6B)'!L17)</f>
        <v xml:space="preserve"> </v>
      </c>
      <c r="N38" s="642" t="str">
        <f>IF('rotation(6B)'!M17=0," ",$B38*'rotation(6B)'!M17)</f>
        <v xml:space="preserve"> </v>
      </c>
      <c r="O38" s="642" t="str">
        <f>IF('rotation(6B)'!N17=0," ",$B38*'rotation(6B)'!N17)</f>
        <v xml:space="preserve"> </v>
      </c>
      <c r="P38" s="642" t="str">
        <f>IF('rotation(6B)'!O17=0," ",$B38*'rotation(6B)'!O17)</f>
        <v xml:space="preserve"> </v>
      </c>
      <c r="Q38" s="642" t="str">
        <f>IF('rotation(6B)'!P17=0," ",$B38*'rotation(6B)'!P17)</f>
        <v xml:space="preserve"> </v>
      </c>
      <c r="R38" s="642" t="str">
        <f>IF('rotation(6B)'!Q17=0," ",$B38*'rotation(6B)'!Q17)</f>
        <v xml:space="preserve"> </v>
      </c>
      <c r="S38" s="642" t="str">
        <f>IF('rotation(6B)'!R17=0," ",$B38*'rotation(6B)'!R17)</f>
        <v xml:space="preserve"> </v>
      </c>
      <c r="T38" s="642" t="str">
        <f>IF('rotation(6B)'!S17=0," ",$B38*'rotation(6B)'!S17)</f>
        <v xml:space="preserve"> </v>
      </c>
      <c r="U38" s="642" t="str">
        <f>IF('rotation(6B)'!T17=0," ",$B38*'rotation(6B)'!T17)</f>
        <v xml:space="preserve"> </v>
      </c>
      <c r="V38" s="642" t="str">
        <f>IF('rotation(6B)'!U17=0," ",$B38*'rotation(6B)'!U17)</f>
        <v xml:space="preserve"> </v>
      </c>
      <c r="W38" s="642" t="str">
        <f>IF('rotation(6B)'!V17=0," ",$B38*'rotation(6B)'!V17)</f>
        <v xml:space="preserve"> </v>
      </c>
      <c r="X38" s="21">
        <f t="shared" ref="X38:X50" si="4">SUM(D38:W38)</f>
        <v>0</v>
      </c>
    </row>
    <row r="39" spans="1:24" s="21" customFormat="1">
      <c r="A39" s="648" t="str">
        <f>'GTDB(6B)'!A18</f>
        <v>CROSSFIRE TUBES</v>
      </c>
      <c r="B39" s="641">
        <f>'GTDB(6B)'!D18</f>
        <v>2</v>
      </c>
      <c r="C39" s="642"/>
      <c r="D39" s="642" t="str">
        <f>IF('rotation(6B)'!C21=0," ",$B39*'rotation(6B)'!C21)</f>
        <v xml:space="preserve"> </v>
      </c>
      <c r="E39" s="642" t="str">
        <f>IF('rotation(6B)'!D21=0," ",$B39*'rotation(6B)'!D21)</f>
        <v xml:space="preserve"> </v>
      </c>
      <c r="F39" s="642" t="str">
        <f>IF('rotation(6B)'!E21=0," ",$B39*'rotation(6B)'!E21)</f>
        <v xml:space="preserve"> </v>
      </c>
      <c r="G39" s="642" t="str">
        <f>IF('rotation(6B)'!F21=0," ",$B39*'rotation(6B)'!F21)</f>
        <v xml:space="preserve"> </v>
      </c>
      <c r="H39" s="642" t="str">
        <f>IF('rotation(6B)'!G21=0," ",$B39*'rotation(6B)'!G21)</f>
        <v xml:space="preserve"> </v>
      </c>
      <c r="I39" s="642" t="str">
        <f>IF('rotation(6B)'!H21=0," ",$B39*'rotation(6B)'!H21)</f>
        <v xml:space="preserve"> </v>
      </c>
      <c r="J39" s="642" t="str">
        <f>IF('rotation(6B)'!I21=0," ",$B39*'rotation(6B)'!I21)</f>
        <v xml:space="preserve"> </v>
      </c>
      <c r="K39" s="642" t="str">
        <f>IF('rotation(6B)'!J21=0," ",$B39*'rotation(6B)'!J21)</f>
        <v xml:space="preserve"> </v>
      </c>
      <c r="L39" s="642" t="str">
        <f>IF('rotation(6B)'!K21=0," ",$B39*'rotation(6B)'!K21)</f>
        <v xml:space="preserve"> </v>
      </c>
      <c r="M39" s="642" t="str">
        <f>IF('rotation(6B)'!L21=0," ",$B39*'rotation(6B)'!L21)</f>
        <v xml:space="preserve"> </v>
      </c>
      <c r="N39" s="642" t="str">
        <f>IF('rotation(6B)'!M21=0," ",$B39*'rotation(6B)'!M21)</f>
        <v xml:space="preserve"> </v>
      </c>
      <c r="O39" s="642" t="str">
        <f>IF('rotation(6B)'!N21=0," ",$B39*'rotation(6B)'!N21)</f>
        <v xml:space="preserve"> </v>
      </c>
      <c r="P39" s="642" t="str">
        <f>IF('rotation(6B)'!O21=0," ",$B39*'rotation(6B)'!O21)</f>
        <v xml:space="preserve"> </v>
      </c>
      <c r="Q39" s="642" t="str">
        <f>IF('rotation(6B)'!P21=0," ",$B39*'rotation(6B)'!P21)</f>
        <v xml:space="preserve"> </v>
      </c>
      <c r="R39" s="642" t="str">
        <f>IF('rotation(6B)'!Q21=0," ",$B39*'rotation(6B)'!Q21)</f>
        <v xml:space="preserve"> </v>
      </c>
      <c r="S39" s="642" t="str">
        <f>IF('rotation(6B)'!R21=0," ",$B39*'rotation(6B)'!R21)</f>
        <v xml:space="preserve"> </v>
      </c>
      <c r="T39" s="642" t="str">
        <f>IF('rotation(6B)'!S21=0," ",$B39*'rotation(6B)'!S21)</f>
        <v xml:space="preserve"> </v>
      </c>
      <c r="U39" s="642" t="str">
        <f>IF('rotation(6B)'!T21=0," ",$B39*'rotation(6B)'!T21)</f>
        <v xml:space="preserve"> </v>
      </c>
      <c r="V39" s="642" t="str">
        <f>IF('rotation(6B)'!U21=0," ",$B39*'rotation(6B)'!U21)</f>
        <v xml:space="preserve"> </v>
      </c>
      <c r="W39" s="642" t="str">
        <f>IF('rotation(6B)'!V21=0," ",$B39*'rotation(6B)'!V21)</f>
        <v xml:space="preserve"> </v>
      </c>
      <c r="X39" s="21">
        <f t="shared" si="4"/>
        <v>0</v>
      </c>
    </row>
    <row r="40" spans="1:24" s="21" customFormat="1">
      <c r="A40" s="648" t="str">
        <f>'GTDB(6B)'!A19</f>
        <v>COMBUSTION LINERS</v>
      </c>
      <c r="B40" s="641">
        <f>'GTDB(6B)'!D19</f>
        <v>14.574999999999999</v>
      </c>
      <c r="C40" s="642"/>
      <c r="D40" s="642" t="str">
        <f>IF('rotation(6B)'!C25=0," ",$B40*'rotation(6B)'!C25)</f>
        <v xml:space="preserve"> </v>
      </c>
      <c r="E40" s="642" t="str">
        <f>IF('rotation(6B)'!D25=0," ",$B40*'rotation(6B)'!D25)</f>
        <v xml:space="preserve"> </v>
      </c>
      <c r="F40" s="642" t="str">
        <f>IF('rotation(6B)'!E25=0," ",$B40*'rotation(6B)'!E25)</f>
        <v xml:space="preserve"> </v>
      </c>
      <c r="G40" s="642" t="str">
        <f>IF('rotation(6B)'!F25=0," ",$B40*'rotation(6B)'!F25)</f>
        <v xml:space="preserve"> </v>
      </c>
      <c r="H40" s="642" t="str">
        <f>IF('rotation(6B)'!G25=0," ",$B40*'rotation(6B)'!G25)</f>
        <v xml:space="preserve"> </v>
      </c>
      <c r="I40" s="642" t="str">
        <f>IF('rotation(6B)'!H25=0," ",$B40*'rotation(6B)'!H25)</f>
        <v xml:space="preserve"> </v>
      </c>
      <c r="J40" s="642" t="str">
        <f>IF('rotation(6B)'!I25=0," ",$B40*'rotation(6B)'!I25)</f>
        <v xml:space="preserve"> </v>
      </c>
      <c r="K40" s="642" t="str">
        <f>IF('rotation(6B)'!J25=0," ",$B40*'rotation(6B)'!J25)</f>
        <v xml:space="preserve"> </v>
      </c>
      <c r="L40" s="642" t="str">
        <f>IF('rotation(6B)'!K25=0," ",$B40*'rotation(6B)'!K25)</f>
        <v xml:space="preserve"> </v>
      </c>
      <c r="M40" s="642" t="str">
        <f>IF('rotation(6B)'!L25=0," ",$B40*'rotation(6B)'!L25)</f>
        <v xml:space="preserve"> </v>
      </c>
      <c r="N40" s="642" t="str">
        <f>IF('rotation(6B)'!M25=0," ",$B40*'rotation(6B)'!M25)</f>
        <v xml:space="preserve"> </v>
      </c>
      <c r="O40" s="642" t="str">
        <f>IF('rotation(6B)'!N25=0," ",$B40*'rotation(6B)'!N25)</f>
        <v xml:space="preserve"> </v>
      </c>
      <c r="P40" s="642" t="str">
        <f>IF('rotation(6B)'!O25=0," ",$B40*'rotation(6B)'!O25)</f>
        <v xml:space="preserve"> </v>
      </c>
      <c r="Q40" s="642" t="str">
        <f>IF('rotation(6B)'!P25=0," ",$B40*'rotation(6B)'!P25)</f>
        <v xml:space="preserve"> </v>
      </c>
      <c r="R40" s="642" t="str">
        <f>IF('rotation(6B)'!Q25=0," ",$B40*'rotation(6B)'!Q25)</f>
        <v xml:space="preserve"> </v>
      </c>
      <c r="S40" s="642" t="str">
        <f>IF('rotation(6B)'!R25=0," ",$B40*'rotation(6B)'!R25)</f>
        <v xml:space="preserve"> </v>
      </c>
      <c r="T40" s="642" t="str">
        <f>IF('rotation(6B)'!S25=0," ",$B40*'rotation(6B)'!S25)</f>
        <v xml:space="preserve"> </v>
      </c>
      <c r="U40" s="642" t="str">
        <f>IF('rotation(6B)'!T25=0," ",$B40*'rotation(6B)'!T25)</f>
        <v xml:space="preserve"> </v>
      </c>
      <c r="V40" s="642" t="str">
        <f>IF('rotation(6B)'!U25=0," ",$B40*'rotation(6B)'!U25)</f>
        <v xml:space="preserve"> </v>
      </c>
      <c r="W40" s="642" t="str">
        <f>IF('rotation(6B)'!V25=0," ",$B40*'rotation(6B)'!V25)</f>
        <v xml:space="preserve"> </v>
      </c>
      <c r="X40" s="21">
        <f t="shared" si="4"/>
        <v>0</v>
      </c>
    </row>
    <row r="41" spans="1:24" s="21" customFormat="1">
      <c r="A41" s="648" t="str">
        <f>'GTDB(6B)'!A20</f>
        <v>TRANSITION PIECES</v>
      </c>
      <c r="B41" s="641">
        <f>'GTDB(6B)'!D20</f>
        <v>20.399999999999999</v>
      </c>
      <c r="C41" s="642"/>
      <c r="D41" s="642" t="str">
        <f>IF('rotation(6B)'!C29=0," ",$B41*'rotation(6B)'!C29)</f>
        <v xml:space="preserve"> </v>
      </c>
      <c r="E41" s="642" t="str">
        <f>IF('rotation(6B)'!D29=0," ",$B41*'rotation(6B)'!D29)</f>
        <v xml:space="preserve"> </v>
      </c>
      <c r="F41" s="642" t="str">
        <f>IF('rotation(6B)'!E29=0," ",$B41*'rotation(6B)'!E29)</f>
        <v xml:space="preserve"> </v>
      </c>
      <c r="G41" s="642" t="str">
        <f>IF('rotation(6B)'!F29=0," ",$B41*'rotation(6B)'!F29)</f>
        <v xml:space="preserve"> </v>
      </c>
      <c r="H41" s="642" t="str">
        <f>IF('rotation(6B)'!G29=0," ",$B41*'rotation(6B)'!G29)</f>
        <v xml:space="preserve"> </v>
      </c>
      <c r="I41" s="642" t="str">
        <f>IF('rotation(6B)'!H29=0," ",$B41*'rotation(6B)'!H29)</f>
        <v xml:space="preserve"> </v>
      </c>
      <c r="J41" s="642" t="str">
        <f>IF('rotation(6B)'!I29=0," ",$B41*'rotation(6B)'!I29)</f>
        <v xml:space="preserve"> </v>
      </c>
      <c r="K41" s="642" t="str">
        <f>IF('rotation(6B)'!J29=0," ",$B41*'rotation(6B)'!J29)</f>
        <v xml:space="preserve"> </v>
      </c>
      <c r="L41" s="642" t="str">
        <f>IF('rotation(6B)'!K29=0," ",$B41*'rotation(6B)'!K29)</f>
        <v xml:space="preserve"> </v>
      </c>
      <c r="M41" s="642" t="str">
        <f>IF('rotation(6B)'!L29=0," ",$B41*'rotation(6B)'!L29)</f>
        <v xml:space="preserve"> </v>
      </c>
      <c r="N41" s="642" t="str">
        <f>IF('rotation(6B)'!M29=0," ",$B41*'rotation(6B)'!M29)</f>
        <v xml:space="preserve"> </v>
      </c>
      <c r="O41" s="642" t="str">
        <f>IF('rotation(6B)'!N29=0," ",$B41*'rotation(6B)'!N29)</f>
        <v xml:space="preserve"> </v>
      </c>
      <c r="P41" s="642" t="str">
        <f>IF('rotation(6B)'!O29=0," ",$B41*'rotation(6B)'!O29)</f>
        <v xml:space="preserve"> </v>
      </c>
      <c r="Q41" s="642" t="str">
        <f>IF('rotation(6B)'!P29=0," ",$B41*'rotation(6B)'!P29)</f>
        <v xml:space="preserve"> </v>
      </c>
      <c r="R41" s="642" t="str">
        <f>IF('rotation(6B)'!Q29=0," ",$B41*'rotation(6B)'!Q29)</f>
        <v xml:space="preserve"> </v>
      </c>
      <c r="S41" s="642" t="str">
        <f>IF('rotation(6B)'!R29=0," ",$B41*'rotation(6B)'!R29)</f>
        <v xml:space="preserve"> </v>
      </c>
      <c r="T41" s="642" t="str">
        <f>IF('rotation(6B)'!S29=0," ",$B41*'rotation(6B)'!S29)</f>
        <v xml:space="preserve"> </v>
      </c>
      <c r="U41" s="642" t="str">
        <f>IF('rotation(6B)'!T29=0," ",$B41*'rotation(6B)'!T29)</f>
        <v xml:space="preserve"> </v>
      </c>
      <c r="V41" s="642" t="str">
        <f>IF('rotation(6B)'!U29=0," ",$B41*'rotation(6B)'!U29)</f>
        <v xml:space="preserve"> </v>
      </c>
      <c r="W41" s="642" t="str">
        <f>IF('rotation(6B)'!V29=0," ",$B41*'rotation(6B)'!V29)</f>
        <v xml:space="preserve"> </v>
      </c>
      <c r="X41" s="21">
        <f t="shared" si="4"/>
        <v>0</v>
      </c>
    </row>
    <row r="42" spans="1:24" s="21" customFormat="1">
      <c r="A42" s="648" t="str">
        <f>'GTDB(6B)'!A21</f>
        <v>1ST STAGE BUCKETS</v>
      </c>
      <c r="B42" s="641">
        <f>'GTDB(6B)'!D21</f>
        <v>86.4</v>
      </c>
      <c r="C42" s="642"/>
      <c r="D42" s="642" t="str">
        <f>IF('rotation(6B)'!C33=0," ",$B42*'rotation(6B)'!C33)</f>
        <v xml:space="preserve"> </v>
      </c>
      <c r="E42" s="642" t="str">
        <f>IF('rotation(6B)'!D33=0," ",$B42*'rotation(6B)'!D33)</f>
        <v xml:space="preserve"> </v>
      </c>
      <c r="F42" s="642" t="str">
        <f>IF('rotation(6B)'!E33=0," ",$B42*'rotation(6B)'!E33)</f>
        <v xml:space="preserve"> </v>
      </c>
      <c r="G42" s="642" t="str">
        <f>IF('rotation(6B)'!F33=0," ",$B42*'rotation(6B)'!F33)</f>
        <v xml:space="preserve"> </v>
      </c>
      <c r="H42" s="642" t="str">
        <f>IF('rotation(6B)'!G33=0," ",$B42*'rotation(6B)'!G33)</f>
        <v xml:space="preserve"> </v>
      </c>
      <c r="I42" s="642" t="str">
        <f>IF('rotation(6B)'!H33=0," ",$B42*'rotation(6B)'!H33)</f>
        <v xml:space="preserve"> </v>
      </c>
      <c r="J42" s="642" t="str">
        <f>IF('rotation(6B)'!I33=0," ",$B42*'rotation(6B)'!I33)</f>
        <v xml:space="preserve"> </v>
      </c>
      <c r="K42" s="642" t="str">
        <f>IF('rotation(6B)'!J33=0," ",$B42*'rotation(6B)'!J33)</f>
        <v xml:space="preserve"> </v>
      </c>
      <c r="L42" s="642" t="str">
        <f>IF('rotation(6B)'!K33=0," ",$B42*'rotation(6B)'!K33)</f>
        <v xml:space="preserve"> </v>
      </c>
      <c r="M42" s="642" t="str">
        <f>IF('rotation(6B)'!L33=0," ",$B42*'rotation(6B)'!L33)</f>
        <v xml:space="preserve"> </v>
      </c>
      <c r="N42" s="642" t="str">
        <f>IF('rotation(6B)'!M33=0," ",$B42*'rotation(6B)'!M33)</f>
        <v xml:space="preserve"> </v>
      </c>
      <c r="O42" s="642" t="str">
        <f>IF('rotation(6B)'!N33=0," ",$B42*'rotation(6B)'!N33)</f>
        <v xml:space="preserve"> </v>
      </c>
      <c r="P42" s="642" t="str">
        <f>IF('rotation(6B)'!O33=0," ",$B42*'rotation(6B)'!O33)</f>
        <v xml:space="preserve"> </v>
      </c>
      <c r="Q42" s="642" t="str">
        <f>IF('rotation(6B)'!P33=0," ",$B42*'rotation(6B)'!P33)</f>
        <v xml:space="preserve"> </v>
      </c>
      <c r="R42" s="642" t="str">
        <f>IF('rotation(6B)'!Q33=0," ",$B42*'rotation(6B)'!Q33)</f>
        <v xml:space="preserve"> </v>
      </c>
      <c r="S42" s="642" t="str">
        <f>IF('rotation(6B)'!R33=0," ",$B42*'rotation(6B)'!R33)</f>
        <v xml:space="preserve"> </v>
      </c>
      <c r="T42" s="642" t="str">
        <f>IF('rotation(6B)'!S33=0," ",$B42*'rotation(6B)'!S33)</f>
        <v xml:space="preserve"> </v>
      </c>
      <c r="U42" s="642" t="str">
        <f>IF('rotation(6B)'!T33=0," ",$B42*'rotation(6B)'!T33)</f>
        <v xml:space="preserve"> </v>
      </c>
      <c r="V42" s="642" t="str">
        <f>IF('rotation(6B)'!U33=0," ",$B42*'rotation(6B)'!U33)</f>
        <v xml:space="preserve"> </v>
      </c>
      <c r="W42" s="642" t="str">
        <f>IF('rotation(6B)'!V33=0," ",$B42*'rotation(6B)'!V33)</f>
        <v xml:space="preserve"> </v>
      </c>
      <c r="X42" s="21">
        <f t="shared" si="4"/>
        <v>0</v>
      </c>
    </row>
    <row r="43" spans="1:24" s="21" customFormat="1">
      <c r="A43" s="648" t="str">
        <f>'GTDB(6B)'!A22</f>
        <v>2ND STAGE BUCKETS</v>
      </c>
      <c r="B43" s="641">
        <f>'GTDB(6B)'!D22</f>
        <v>39.840000000000003</v>
      </c>
      <c r="C43" s="642"/>
      <c r="D43" s="642" t="str">
        <f>IF('rotation(6B)'!C37=0," ",$B43*'rotation(6B)'!C37)</f>
        <v xml:space="preserve"> </v>
      </c>
      <c r="E43" s="642" t="str">
        <f>IF('rotation(6B)'!D37=0," ",$B43*'rotation(6B)'!D37)</f>
        <v xml:space="preserve"> </v>
      </c>
      <c r="F43" s="642" t="str">
        <f>IF('rotation(6B)'!E37=0," ",$B43*'rotation(6B)'!E37)</f>
        <v xml:space="preserve"> </v>
      </c>
      <c r="G43" s="642" t="str">
        <f>IF('rotation(6B)'!F37=0," ",$B43*'rotation(6B)'!F37)</f>
        <v xml:space="preserve"> </v>
      </c>
      <c r="H43" s="642" t="str">
        <f>IF('rotation(6B)'!G37=0," ",$B43*'rotation(6B)'!G37)</f>
        <v xml:space="preserve"> </v>
      </c>
      <c r="I43" s="642" t="str">
        <f>IF('rotation(6B)'!H37=0," ",$B43*'rotation(6B)'!H37)</f>
        <v xml:space="preserve"> </v>
      </c>
      <c r="J43" s="642" t="str">
        <f>IF('rotation(6B)'!I37=0," ",$B43*'rotation(6B)'!I37)</f>
        <v xml:space="preserve"> </v>
      </c>
      <c r="K43" s="642" t="str">
        <f>IF('rotation(6B)'!J37=0," ",$B43*'rotation(6B)'!J37)</f>
        <v xml:space="preserve"> </v>
      </c>
      <c r="L43" s="642" t="str">
        <f>IF('rotation(6B)'!K37=0," ",$B43*'rotation(6B)'!K37)</f>
        <v xml:space="preserve"> </v>
      </c>
      <c r="M43" s="642" t="str">
        <f>IF('rotation(6B)'!L37=0," ",$B43*'rotation(6B)'!L37)</f>
        <v xml:space="preserve"> </v>
      </c>
      <c r="N43" s="642" t="str">
        <f>IF('rotation(6B)'!M37=0," ",$B43*'rotation(6B)'!M37)</f>
        <v xml:space="preserve"> </v>
      </c>
      <c r="O43" s="642" t="str">
        <f>IF('rotation(6B)'!N37=0," ",$B43*'rotation(6B)'!N37)</f>
        <v xml:space="preserve"> </v>
      </c>
      <c r="P43" s="642" t="str">
        <f>IF('rotation(6B)'!O37=0," ",$B43*'rotation(6B)'!O37)</f>
        <v xml:space="preserve"> </v>
      </c>
      <c r="Q43" s="642" t="str">
        <f>IF('rotation(6B)'!P37=0," ",$B43*'rotation(6B)'!P37)</f>
        <v xml:space="preserve"> </v>
      </c>
      <c r="R43" s="642" t="str">
        <f>IF('rotation(6B)'!Q37=0," ",$B43*'rotation(6B)'!Q37)</f>
        <v xml:space="preserve"> </v>
      </c>
      <c r="S43" s="642" t="str">
        <f>IF('rotation(6B)'!R37=0," ",$B43*'rotation(6B)'!R37)</f>
        <v xml:space="preserve"> </v>
      </c>
      <c r="T43" s="642" t="str">
        <f>IF('rotation(6B)'!S37=0," ",$B43*'rotation(6B)'!S37)</f>
        <v xml:space="preserve"> </v>
      </c>
      <c r="U43" s="642" t="str">
        <f>IF('rotation(6B)'!T37=0," ",$B43*'rotation(6B)'!T37)</f>
        <v xml:space="preserve"> </v>
      </c>
      <c r="V43" s="642" t="str">
        <f>IF('rotation(6B)'!U37=0," ",$B43*'rotation(6B)'!U37)</f>
        <v xml:space="preserve"> </v>
      </c>
      <c r="W43" s="642" t="str">
        <f>IF('rotation(6B)'!V37=0," ",$B43*'rotation(6B)'!V37)</f>
        <v xml:space="preserve"> </v>
      </c>
      <c r="X43" s="21">
        <f t="shared" si="4"/>
        <v>0</v>
      </c>
    </row>
    <row r="44" spans="1:24" s="21" customFormat="1">
      <c r="A44" s="648" t="str">
        <f>'GTDB(6B)'!A23</f>
        <v>3RD STAGE BUCKETS</v>
      </c>
      <c r="B44" s="641">
        <f>'GTDB(6B)'!D23</f>
        <v>42.13</v>
      </c>
      <c r="C44" s="642"/>
      <c r="D44" s="642" t="str">
        <f>IF('rotation(6B)'!C41=0," ",$B44*'rotation(6B)'!C41)</f>
        <v xml:space="preserve"> </v>
      </c>
      <c r="E44" s="642" t="str">
        <f>IF('rotation(6B)'!D41=0," ",$B44*'rotation(6B)'!D41)</f>
        <v xml:space="preserve"> </v>
      </c>
      <c r="F44" s="642" t="str">
        <f>IF('rotation(6B)'!E41=0," ",$B44*'rotation(6B)'!E41)</f>
        <v xml:space="preserve"> </v>
      </c>
      <c r="G44" s="642" t="str">
        <f>IF('rotation(6B)'!F41=0," ",$B44*'rotation(6B)'!F41)</f>
        <v xml:space="preserve"> </v>
      </c>
      <c r="H44" s="642" t="str">
        <f>IF('rotation(6B)'!G41=0," ",$B44*'rotation(6B)'!G41)</f>
        <v xml:space="preserve"> </v>
      </c>
      <c r="I44" s="642" t="str">
        <f>IF('rotation(6B)'!H41=0," ",$B44*'rotation(6B)'!H41)</f>
        <v xml:space="preserve"> </v>
      </c>
      <c r="J44" s="642" t="str">
        <f>IF('rotation(6B)'!I41=0," ",$B44*'rotation(6B)'!I41)</f>
        <v xml:space="preserve"> </v>
      </c>
      <c r="K44" s="642" t="str">
        <f>IF('rotation(6B)'!J41=0," ",$B44*'rotation(6B)'!J41)</f>
        <v xml:space="preserve"> </v>
      </c>
      <c r="L44" s="642" t="str">
        <f>IF('rotation(6B)'!K41=0," ",$B44*'rotation(6B)'!K41)</f>
        <v xml:space="preserve"> </v>
      </c>
      <c r="M44" s="642" t="str">
        <f>IF('rotation(6B)'!L41=0," ",$B44*'rotation(6B)'!L41)</f>
        <v xml:space="preserve"> </v>
      </c>
      <c r="N44" s="642" t="str">
        <f>IF('rotation(6B)'!M41=0," ",$B44*'rotation(6B)'!M41)</f>
        <v xml:space="preserve"> </v>
      </c>
      <c r="O44" s="642" t="str">
        <f>IF('rotation(6B)'!N41=0," ",$B44*'rotation(6B)'!N41)</f>
        <v xml:space="preserve"> </v>
      </c>
      <c r="P44" s="642" t="str">
        <f>IF('rotation(6B)'!O41=0," ",$B44*'rotation(6B)'!O41)</f>
        <v xml:space="preserve"> </v>
      </c>
      <c r="Q44" s="642" t="str">
        <f>IF('rotation(6B)'!P41=0," ",$B44*'rotation(6B)'!P41)</f>
        <v xml:space="preserve"> </v>
      </c>
      <c r="R44" s="642" t="str">
        <f>IF('rotation(6B)'!Q41=0," ",$B44*'rotation(6B)'!Q41)</f>
        <v xml:space="preserve"> </v>
      </c>
      <c r="S44" s="642" t="str">
        <f>IF('rotation(6B)'!R41=0," ",$B44*'rotation(6B)'!R41)</f>
        <v xml:space="preserve"> </v>
      </c>
      <c r="T44" s="642" t="str">
        <f>IF('rotation(6B)'!S41=0," ",$B44*'rotation(6B)'!S41)</f>
        <v xml:space="preserve"> </v>
      </c>
      <c r="U44" s="642" t="str">
        <f>IF('rotation(6B)'!T41=0," ",$B44*'rotation(6B)'!T41)</f>
        <v xml:space="preserve"> </v>
      </c>
      <c r="V44" s="642" t="str">
        <f>IF('rotation(6B)'!U41=0," ",$B44*'rotation(6B)'!U41)</f>
        <v xml:space="preserve"> </v>
      </c>
      <c r="W44" s="642" t="str">
        <f>IF('rotation(6B)'!V41=0," ",$B44*'rotation(6B)'!V41)</f>
        <v xml:space="preserve"> </v>
      </c>
      <c r="X44" s="21">
        <f t="shared" si="4"/>
        <v>0</v>
      </c>
    </row>
    <row r="45" spans="1:24" s="21" customFormat="1">
      <c r="A45" s="648" t="str">
        <f>'GTDB(6B)'!A24</f>
        <v>1ST STAGE SHROUDS</v>
      </c>
      <c r="B45" s="641">
        <f>'GTDB(6B)'!D24</f>
        <v>15.6</v>
      </c>
      <c r="C45" s="642"/>
      <c r="D45" s="642" t="str">
        <f>IF('rotation(6B)'!C45=0," ",$B45*'rotation(6B)'!C45)</f>
        <v xml:space="preserve"> </v>
      </c>
      <c r="E45" s="642" t="str">
        <f>IF('rotation(6B)'!D45=0," ",$B45*'rotation(6B)'!D45)</f>
        <v xml:space="preserve"> </v>
      </c>
      <c r="F45" s="642" t="str">
        <f>IF('rotation(6B)'!E45=0," ",$B45*'rotation(6B)'!E45)</f>
        <v xml:space="preserve"> </v>
      </c>
      <c r="G45" s="642" t="str">
        <f>IF('rotation(6B)'!F45=0," ",$B45*'rotation(6B)'!F45)</f>
        <v xml:space="preserve"> </v>
      </c>
      <c r="H45" s="642" t="str">
        <f>IF('rotation(6B)'!G45=0," ",$B45*'rotation(6B)'!G45)</f>
        <v xml:space="preserve"> </v>
      </c>
      <c r="I45" s="642" t="str">
        <f>IF('rotation(6B)'!H45=0," ",$B45*'rotation(6B)'!H45)</f>
        <v xml:space="preserve"> </v>
      </c>
      <c r="J45" s="642" t="str">
        <f>IF('rotation(6B)'!I45=0," ",$B45*'rotation(6B)'!I45)</f>
        <v xml:space="preserve"> </v>
      </c>
      <c r="K45" s="642" t="str">
        <f>IF('rotation(6B)'!J45=0," ",$B45*'rotation(6B)'!J45)</f>
        <v xml:space="preserve"> </v>
      </c>
      <c r="L45" s="642" t="str">
        <f>IF('rotation(6B)'!K45=0," ",$B45*'rotation(6B)'!K45)</f>
        <v xml:space="preserve"> </v>
      </c>
      <c r="M45" s="642" t="str">
        <f>IF('rotation(6B)'!L45=0," ",$B45*'rotation(6B)'!L45)</f>
        <v xml:space="preserve"> </v>
      </c>
      <c r="N45" s="642" t="str">
        <f>IF('rotation(6B)'!M45=0," ",$B45*'rotation(6B)'!M45)</f>
        <v xml:space="preserve"> </v>
      </c>
      <c r="O45" s="642" t="str">
        <f>IF('rotation(6B)'!N45=0," ",$B45*'rotation(6B)'!N45)</f>
        <v xml:space="preserve"> </v>
      </c>
      <c r="P45" s="642" t="str">
        <f>IF('rotation(6B)'!O45=0," ",$B45*'rotation(6B)'!O45)</f>
        <v xml:space="preserve"> </v>
      </c>
      <c r="Q45" s="642" t="str">
        <f>IF('rotation(6B)'!P45=0," ",$B45*'rotation(6B)'!P45)</f>
        <v xml:space="preserve"> </v>
      </c>
      <c r="R45" s="642" t="str">
        <f>IF('rotation(6B)'!Q45=0," ",$B45*'rotation(6B)'!Q45)</f>
        <v xml:space="preserve"> </v>
      </c>
      <c r="S45" s="642" t="str">
        <f>IF('rotation(6B)'!R45=0," ",$B45*'rotation(6B)'!R45)</f>
        <v xml:space="preserve"> </v>
      </c>
      <c r="T45" s="642" t="str">
        <f>IF('rotation(6B)'!S45=0," ",$B45*'rotation(6B)'!S45)</f>
        <v xml:space="preserve"> </v>
      </c>
      <c r="U45" s="642" t="str">
        <f>IF('rotation(6B)'!T45=0," ",$B45*'rotation(6B)'!T45)</f>
        <v xml:space="preserve"> </v>
      </c>
      <c r="V45" s="642" t="str">
        <f>IF('rotation(6B)'!U45=0," ",$B45*'rotation(6B)'!U45)</f>
        <v xml:space="preserve"> </v>
      </c>
      <c r="W45" s="642" t="str">
        <f>IF('rotation(6B)'!V45=0," ",$B45*'rotation(6B)'!V45)</f>
        <v xml:space="preserve"> </v>
      </c>
      <c r="X45" s="21">
        <f t="shared" si="4"/>
        <v>0</v>
      </c>
    </row>
    <row r="46" spans="1:24" s="21" customFormat="1">
      <c r="A46" s="648" t="str">
        <f>'GTDB(6B)'!A25</f>
        <v>2ND STAGE SHROUDS</v>
      </c>
      <c r="B46" s="641">
        <f>'GTDB(6B)'!D25</f>
        <v>11</v>
      </c>
      <c r="C46" s="642"/>
      <c r="D46" s="642" t="str">
        <f>IF('rotation(6B)'!C49=0," ",$B46*'rotation(6B)'!C49)</f>
        <v xml:space="preserve"> </v>
      </c>
      <c r="E46" s="642" t="str">
        <f>IF('rotation(6B)'!D49=0," ",$B46*'rotation(6B)'!D49)</f>
        <v xml:space="preserve"> </v>
      </c>
      <c r="F46" s="642" t="str">
        <f>IF('rotation(6B)'!E49=0," ",$B46*'rotation(6B)'!E49)</f>
        <v xml:space="preserve"> </v>
      </c>
      <c r="G46" s="642" t="str">
        <f>IF('rotation(6B)'!F49=0," ",$B46*'rotation(6B)'!F49)</f>
        <v xml:space="preserve"> </v>
      </c>
      <c r="H46" s="642" t="str">
        <f>IF('rotation(6B)'!G49=0," ",$B46*'rotation(6B)'!G49)</f>
        <v xml:space="preserve"> </v>
      </c>
      <c r="I46" s="642" t="str">
        <f>IF('rotation(6B)'!H49=0," ",$B46*'rotation(6B)'!H49)</f>
        <v xml:space="preserve"> </v>
      </c>
      <c r="J46" s="642" t="str">
        <f>IF('rotation(6B)'!I49=0," ",$B46*'rotation(6B)'!I49)</f>
        <v xml:space="preserve"> </v>
      </c>
      <c r="K46" s="642" t="str">
        <f>IF('rotation(6B)'!J49=0," ",$B46*'rotation(6B)'!J49)</f>
        <v xml:space="preserve"> </v>
      </c>
      <c r="L46" s="642" t="str">
        <f>IF('rotation(6B)'!K49=0," ",$B46*'rotation(6B)'!K49)</f>
        <v xml:space="preserve"> </v>
      </c>
      <c r="M46" s="642" t="str">
        <f>IF('rotation(6B)'!L49=0," ",$B46*'rotation(6B)'!L49)</f>
        <v xml:space="preserve"> </v>
      </c>
      <c r="N46" s="642" t="str">
        <f>IF('rotation(6B)'!M49=0," ",$B46*'rotation(6B)'!M49)</f>
        <v xml:space="preserve"> </v>
      </c>
      <c r="O46" s="642" t="str">
        <f>IF('rotation(6B)'!N49=0," ",$B46*'rotation(6B)'!N49)</f>
        <v xml:space="preserve"> </v>
      </c>
      <c r="P46" s="642" t="str">
        <f>IF('rotation(6B)'!O49=0," ",$B46*'rotation(6B)'!O49)</f>
        <v xml:space="preserve"> </v>
      </c>
      <c r="Q46" s="642" t="str">
        <f>IF('rotation(6B)'!P49=0," ",$B46*'rotation(6B)'!P49)</f>
        <v xml:space="preserve"> </v>
      </c>
      <c r="R46" s="642" t="str">
        <f>IF('rotation(6B)'!Q49=0," ",$B46*'rotation(6B)'!Q49)</f>
        <v xml:space="preserve"> </v>
      </c>
      <c r="S46" s="642" t="str">
        <f>IF('rotation(6B)'!R49=0," ",$B46*'rotation(6B)'!R49)</f>
        <v xml:space="preserve"> </v>
      </c>
      <c r="T46" s="642" t="str">
        <f>IF('rotation(6B)'!S49=0," ",$B46*'rotation(6B)'!S49)</f>
        <v xml:space="preserve"> </v>
      </c>
      <c r="U46" s="642" t="str">
        <f>IF('rotation(6B)'!T49=0," ",$B46*'rotation(6B)'!T49)</f>
        <v xml:space="preserve"> </v>
      </c>
      <c r="V46" s="642" t="str">
        <f>IF('rotation(6B)'!U49=0," ",$B46*'rotation(6B)'!U49)</f>
        <v xml:space="preserve"> </v>
      </c>
      <c r="W46" s="642" t="str">
        <f>IF('rotation(6B)'!V49=0," ",$B46*'rotation(6B)'!V49)</f>
        <v xml:space="preserve"> </v>
      </c>
      <c r="X46" s="21">
        <f t="shared" si="4"/>
        <v>0</v>
      </c>
    </row>
    <row r="47" spans="1:24" s="21" customFormat="1">
      <c r="A47" s="648" t="str">
        <f>'GTDB(6B)'!A26</f>
        <v>3RD STAGE SHROUDS</v>
      </c>
      <c r="B47" s="641">
        <f>'GTDB(6B)'!D26</f>
        <v>12.9</v>
      </c>
      <c r="C47" s="642"/>
      <c r="D47" s="642" t="str">
        <f>IF('rotation(6B)'!C53=0," ",$B47*'rotation(6B)'!C53)</f>
        <v xml:space="preserve"> </v>
      </c>
      <c r="E47" s="642" t="str">
        <f>IF('rotation(6B)'!D53=0," ",$B47*'rotation(6B)'!D53)</f>
        <v xml:space="preserve"> </v>
      </c>
      <c r="F47" s="642" t="str">
        <f>IF('rotation(6B)'!E53=0," ",$B47*'rotation(6B)'!E53)</f>
        <v xml:space="preserve"> </v>
      </c>
      <c r="G47" s="642" t="str">
        <f>IF('rotation(6B)'!F53=0," ",$B47*'rotation(6B)'!F53)</f>
        <v xml:space="preserve"> </v>
      </c>
      <c r="H47" s="642" t="str">
        <f>IF('rotation(6B)'!G53=0," ",$B47*'rotation(6B)'!G53)</f>
        <v xml:space="preserve"> </v>
      </c>
      <c r="I47" s="642" t="str">
        <f>IF('rotation(6B)'!H53=0," ",$B47*'rotation(6B)'!H53)</f>
        <v xml:space="preserve"> </v>
      </c>
      <c r="J47" s="642" t="str">
        <f>IF('rotation(6B)'!I53=0," ",$B47*'rotation(6B)'!I53)</f>
        <v xml:space="preserve"> </v>
      </c>
      <c r="K47" s="642" t="str">
        <f>IF('rotation(6B)'!J53=0," ",$B47*'rotation(6B)'!J53)</f>
        <v xml:space="preserve"> </v>
      </c>
      <c r="L47" s="642" t="str">
        <f>IF('rotation(6B)'!K53=0," ",$B47*'rotation(6B)'!K53)</f>
        <v xml:space="preserve"> </v>
      </c>
      <c r="M47" s="642" t="str">
        <f>IF('rotation(6B)'!L53=0," ",$B47*'rotation(6B)'!L53)</f>
        <v xml:space="preserve"> </v>
      </c>
      <c r="N47" s="642" t="str">
        <f>IF('rotation(6B)'!M53=0," ",$B47*'rotation(6B)'!M53)</f>
        <v xml:space="preserve"> </v>
      </c>
      <c r="O47" s="642" t="str">
        <f>IF('rotation(6B)'!N53=0," ",$B47*'rotation(6B)'!N53)</f>
        <v xml:space="preserve"> </v>
      </c>
      <c r="P47" s="642" t="str">
        <f>IF('rotation(6B)'!O53=0," ",$B47*'rotation(6B)'!O53)</f>
        <v xml:space="preserve"> </v>
      </c>
      <c r="Q47" s="642" t="str">
        <f>IF('rotation(6B)'!P53=0," ",$B47*'rotation(6B)'!P53)</f>
        <v xml:space="preserve"> </v>
      </c>
      <c r="R47" s="642" t="str">
        <f>IF('rotation(6B)'!Q53=0," ",$B47*'rotation(6B)'!Q53)</f>
        <v xml:space="preserve"> </v>
      </c>
      <c r="S47" s="642" t="str">
        <f>IF('rotation(6B)'!R53=0," ",$B47*'rotation(6B)'!R53)</f>
        <v xml:space="preserve"> </v>
      </c>
      <c r="T47" s="642" t="str">
        <f>IF('rotation(6B)'!S53=0," ",$B47*'rotation(6B)'!S53)</f>
        <v xml:space="preserve"> </v>
      </c>
      <c r="U47" s="642" t="str">
        <f>IF('rotation(6B)'!T53=0," ",$B47*'rotation(6B)'!T53)</f>
        <v xml:space="preserve"> </v>
      </c>
      <c r="V47" s="642" t="str">
        <f>IF('rotation(6B)'!U53=0," ",$B47*'rotation(6B)'!U53)</f>
        <v xml:space="preserve"> </v>
      </c>
      <c r="W47" s="642" t="str">
        <f>IF('rotation(6B)'!V53=0," ",$B47*'rotation(6B)'!V53)</f>
        <v xml:space="preserve"> </v>
      </c>
      <c r="X47" s="21">
        <f t="shared" si="4"/>
        <v>0</v>
      </c>
    </row>
    <row r="48" spans="1:24" s="21" customFormat="1">
      <c r="A48" s="648" t="str">
        <f>'GTDB(6B)'!A27</f>
        <v>1ST STAGE NOZZLES</v>
      </c>
      <c r="B48" s="641">
        <f>'GTDB(6B)'!D27</f>
        <v>65.5</v>
      </c>
      <c r="C48" s="642"/>
      <c r="D48" s="642" t="str">
        <f>IF('rotation(6B)'!C57=0," ",$B48*'rotation(6B)'!C57)</f>
        <v xml:space="preserve"> </v>
      </c>
      <c r="E48" s="642" t="str">
        <f>IF('rotation(6B)'!D57=0," ",$B48*'rotation(6B)'!D57)</f>
        <v xml:space="preserve"> </v>
      </c>
      <c r="F48" s="642" t="str">
        <f>IF('rotation(6B)'!E57=0," ",$B48*'rotation(6B)'!E57)</f>
        <v xml:space="preserve"> </v>
      </c>
      <c r="G48" s="642" t="str">
        <f>IF('rotation(6B)'!F57=0," ",$B48*'rotation(6B)'!F57)</f>
        <v xml:space="preserve"> </v>
      </c>
      <c r="H48" s="642" t="str">
        <f>IF('rotation(6B)'!G57=0," ",$B48*'rotation(6B)'!G57)</f>
        <v xml:space="preserve"> </v>
      </c>
      <c r="I48" s="642" t="str">
        <f>IF('rotation(6B)'!H57=0," ",$B48*'rotation(6B)'!H57)</f>
        <v xml:space="preserve"> </v>
      </c>
      <c r="J48" s="642" t="str">
        <f>IF('rotation(6B)'!I57=0," ",$B48*'rotation(6B)'!I57)</f>
        <v xml:space="preserve"> </v>
      </c>
      <c r="K48" s="642" t="str">
        <f>IF('rotation(6B)'!J57=0," ",$B48*'rotation(6B)'!J57)</f>
        <v xml:space="preserve"> </v>
      </c>
      <c r="L48" s="642" t="str">
        <f>IF('rotation(6B)'!K57=0," ",$B48*'rotation(6B)'!K57)</f>
        <v xml:space="preserve"> </v>
      </c>
      <c r="M48" s="642" t="str">
        <f>IF('rotation(6B)'!L57=0," ",$B48*'rotation(6B)'!L57)</f>
        <v xml:space="preserve"> </v>
      </c>
      <c r="N48" s="642" t="str">
        <f>IF('rotation(6B)'!M57=0," ",$B48*'rotation(6B)'!M57)</f>
        <v xml:space="preserve"> </v>
      </c>
      <c r="O48" s="642" t="str">
        <f>IF('rotation(6B)'!N57=0," ",$B48*'rotation(6B)'!N57)</f>
        <v xml:space="preserve"> </v>
      </c>
      <c r="P48" s="642" t="str">
        <f>IF('rotation(6B)'!O57=0," ",$B48*'rotation(6B)'!O57)</f>
        <v xml:space="preserve"> </v>
      </c>
      <c r="Q48" s="642" t="str">
        <f>IF('rotation(6B)'!P57=0," ",$B48*'rotation(6B)'!P57)</f>
        <v xml:space="preserve"> </v>
      </c>
      <c r="R48" s="642" t="str">
        <f>IF('rotation(6B)'!Q57=0," ",$B48*'rotation(6B)'!Q57)</f>
        <v xml:space="preserve"> </v>
      </c>
      <c r="S48" s="642" t="str">
        <f>IF('rotation(6B)'!R57=0," ",$B48*'rotation(6B)'!R57)</f>
        <v xml:space="preserve"> </v>
      </c>
      <c r="T48" s="642" t="str">
        <f>IF('rotation(6B)'!S57=0," ",$B48*'rotation(6B)'!S57)</f>
        <v xml:space="preserve"> </v>
      </c>
      <c r="U48" s="642" t="str">
        <f>IF('rotation(6B)'!T57=0," ",$B48*'rotation(6B)'!T57)</f>
        <v xml:space="preserve"> </v>
      </c>
      <c r="V48" s="642" t="str">
        <f>IF('rotation(6B)'!U57=0," ",$B48*'rotation(6B)'!U57)</f>
        <v xml:space="preserve"> </v>
      </c>
      <c r="W48" s="642" t="str">
        <f>IF('rotation(6B)'!V57=0," ",$B48*'rotation(6B)'!V57)</f>
        <v xml:space="preserve"> </v>
      </c>
      <c r="X48" s="21">
        <f t="shared" si="4"/>
        <v>0</v>
      </c>
    </row>
    <row r="49" spans="1:24" s="21" customFormat="1">
      <c r="A49" s="648" t="str">
        <f>'GTDB(6B)'!A28</f>
        <v>2ND STAGE NOZZLES</v>
      </c>
      <c r="B49" s="641">
        <f>'GTDB(6B)'!D28</f>
        <v>33</v>
      </c>
      <c r="C49" s="642"/>
      <c r="D49" s="642" t="str">
        <f>IF('rotation(6B)'!C62=0," ",$B49*'rotation(6B)'!C62)</f>
        <v xml:space="preserve"> </v>
      </c>
      <c r="E49" s="642" t="str">
        <f>IF('rotation(6B)'!D62=0," ",$B49*'rotation(6B)'!D62)</f>
        <v xml:space="preserve"> </v>
      </c>
      <c r="F49" s="642">
        <f>IF('rotation(6B)'!E62=0," ",$B49*'rotation(6B)'!E62)</f>
        <v>33</v>
      </c>
      <c r="G49" s="642" t="str">
        <f>IF('rotation(6B)'!F62=0," ",$B49*'rotation(6B)'!F62)</f>
        <v xml:space="preserve"> </v>
      </c>
      <c r="H49" s="642" t="str">
        <f>IF('rotation(6B)'!G62=0," ",$B49*'rotation(6B)'!G62)</f>
        <v xml:space="preserve"> </v>
      </c>
      <c r="I49" s="642" t="str">
        <f>IF('rotation(6B)'!H62=0," ",$B49*'rotation(6B)'!H62)</f>
        <v xml:space="preserve"> </v>
      </c>
      <c r="J49" s="642" t="str">
        <f>IF('rotation(6B)'!I62=0," ",$B49*'rotation(6B)'!I62)</f>
        <v xml:space="preserve"> </v>
      </c>
      <c r="K49" s="642" t="str">
        <f>IF('rotation(6B)'!J62=0," ",$B49*'rotation(6B)'!J62)</f>
        <v xml:space="preserve"> </v>
      </c>
      <c r="L49" s="642" t="str">
        <f>IF('rotation(6B)'!K62=0," ",$B49*'rotation(6B)'!K62)</f>
        <v xml:space="preserve"> </v>
      </c>
      <c r="M49" s="642" t="str">
        <f>IF('rotation(6B)'!L62=0," ",$B49*'rotation(6B)'!L62)</f>
        <v xml:space="preserve"> </v>
      </c>
      <c r="N49" s="642" t="str">
        <f>IF('rotation(6B)'!M62=0," ",$B49*'rotation(6B)'!M62)</f>
        <v xml:space="preserve"> </v>
      </c>
      <c r="O49" s="642" t="str">
        <f>IF('rotation(6B)'!N62=0," ",$B49*'rotation(6B)'!N62)</f>
        <v xml:space="preserve"> </v>
      </c>
      <c r="P49" s="642" t="str">
        <f>IF('rotation(6B)'!O62=0," ",$B49*'rotation(6B)'!O62)</f>
        <v xml:space="preserve"> </v>
      </c>
      <c r="Q49" s="642" t="str">
        <f>IF('rotation(6B)'!P62=0," ",$B49*'rotation(6B)'!P62)</f>
        <v xml:space="preserve"> </v>
      </c>
      <c r="R49" s="642" t="str">
        <f>IF('rotation(6B)'!Q62=0," ",$B49*'rotation(6B)'!Q62)</f>
        <v xml:space="preserve"> </v>
      </c>
      <c r="S49" s="642" t="str">
        <f>IF('rotation(6B)'!R62=0," ",$B49*'rotation(6B)'!R62)</f>
        <v xml:space="preserve"> </v>
      </c>
      <c r="T49" s="642" t="str">
        <f>IF('rotation(6B)'!S62=0," ",$B49*'rotation(6B)'!S62)</f>
        <v xml:space="preserve"> </v>
      </c>
      <c r="U49" s="642" t="str">
        <f>IF('rotation(6B)'!T62=0," ",$B49*'rotation(6B)'!T62)</f>
        <v xml:space="preserve"> </v>
      </c>
      <c r="V49" s="642" t="str">
        <f>IF('rotation(6B)'!U62=0," ",$B49*'rotation(6B)'!U62)</f>
        <v xml:space="preserve"> </v>
      </c>
      <c r="W49" s="642" t="str">
        <f>IF('rotation(6B)'!V62=0," ",$B49*'rotation(6B)'!V62)</f>
        <v xml:space="preserve"> </v>
      </c>
      <c r="X49" s="21">
        <f t="shared" si="4"/>
        <v>33</v>
      </c>
    </row>
    <row r="50" spans="1:24" s="21" customFormat="1">
      <c r="A50" s="648" t="str">
        <f>'GTDB(6B)'!A29</f>
        <v>3RD STAGE NOZZLES</v>
      </c>
      <c r="B50" s="641">
        <f>'GTDB(6B)'!D29</f>
        <v>25.07</v>
      </c>
      <c r="C50" s="642"/>
      <c r="D50" s="642" t="str">
        <f>IF('rotation(6B)'!C67=0," ",$B50*'rotation(6B)'!C67)</f>
        <v xml:space="preserve"> </v>
      </c>
      <c r="E50" s="642" t="str">
        <f>IF('rotation(6B)'!D67=0," ",$B50*'rotation(6B)'!D67)</f>
        <v xml:space="preserve"> </v>
      </c>
      <c r="F50" s="642" t="str">
        <f>IF('rotation(6B)'!E67=0," ",$B50*'rotation(6B)'!E67)</f>
        <v xml:space="preserve"> </v>
      </c>
      <c r="G50" s="642" t="str">
        <f>IF('rotation(6B)'!F67=0," ",$B50*'rotation(6B)'!F67)</f>
        <v xml:space="preserve"> </v>
      </c>
      <c r="H50" s="642" t="str">
        <f>IF('rotation(6B)'!G67=0," ",$B50*'rotation(6B)'!G67)</f>
        <v xml:space="preserve"> </v>
      </c>
      <c r="I50" s="642" t="str">
        <f>IF('rotation(6B)'!H67=0," ",$B50*'rotation(6B)'!H67)</f>
        <v xml:space="preserve"> </v>
      </c>
      <c r="J50" s="642" t="str">
        <f>IF('rotation(6B)'!I67=0," ",$B50*'rotation(6B)'!I67)</f>
        <v xml:space="preserve"> </v>
      </c>
      <c r="K50" s="642" t="str">
        <f>IF('rotation(6B)'!J67=0," ",$B50*'rotation(6B)'!J67)</f>
        <v xml:space="preserve"> </v>
      </c>
      <c r="L50" s="642" t="str">
        <f>IF('rotation(6B)'!K67=0," ",$B50*'rotation(6B)'!K67)</f>
        <v xml:space="preserve"> </v>
      </c>
      <c r="M50" s="642" t="str">
        <f>IF('rotation(6B)'!L67=0," ",$B50*'rotation(6B)'!L67)</f>
        <v xml:space="preserve"> </v>
      </c>
      <c r="N50" s="642" t="str">
        <f>IF('rotation(6B)'!M67=0," ",$B50*'rotation(6B)'!M67)</f>
        <v xml:space="preserve"> </v>
      </c>
      <c r="O50" s="642" t="str">
        <f>IF('rotation(6B)'!N67=0," ",$B50*'rotation(6B)'!N67)</f>
        <v xml:space="preserve"> </v>
      </c>
      <c r="P50" s="642" t="str">
        <f>IF('rotation(6B)'!O67=0," ",$B50*'rotation(6B)'!O67)</f>
        <v xml:space="preserve"> </v>
      </c>
      <c r="Q50" s="642" t="str">
        <f>IF('rotation(6B)'!P67=0," ",$B50*'rotation(6B)'!P67)</f>
        <v xml:space="preserve"> </v>
      </c>
      <c r="R50" s="642" t="str">
        <f>IF('rotation(6B)'!Q67=0," ",$B50*'rotation(6B)'!Q67)</f>
        <v xml:space="preserve"> </v>
      </c>
      <c r="S50" s="642" t="str">
        <f>IF('rotation(6B)'!R67=0," ",$B50*'rotation(6B)'!R67)</f>
        <v xml:space="preserve"> </v>
      </c>
      <c r="T50" s="642" t="str">
        <f>IF('rotation(6B)'!S67=0," ",$B50*'rotation(6B)'!S67)</f>
        <v xml:space="preserve"> </v>
      </c>
      <c r="U50" s="642" t="str">
        <f>IF('rotation(6B)'!T67=0," ",$B50*'rotation(6B)'!T67)</f>
        <v xml:space="preserve"> </v>
      </c>
      <c r="V50" s="642" t="str">
        <f>IF('rotation(6B)'!U67=0," ",$B50*'rotation(6B)'!U67)</f>
        <v xml:space="preserve"> </v>
      </c>
      <c r="W50" s="642" t="str">
        <f>IF('rotation(6B)'!V67=0," ",$B50*'rotation(6B)'!V67)</f>
        <v xml:space="preserve"> </v>
      </c>
      <c r="X50" s="21">
        <f t="shared" si="4"/>
        <v>0</v>
      </c>
    </row>
    <row r="51" spans="1:24" s="21" customFormat="1">
      <c r="A51" s="64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</row>
    <row r="52" spans="1:24" s="21" customFormat="1">
      <c r="A52" s="651" t="s">
        <v>911</v>
      </c>
      <c r="B52" s="643">
        <v>0.02</v>
      </c>
      <c r="C52" s="79"/>
      <c r="D52" s="79">
        <f t="shared" ref="D52:W52" si="5">SUM(D38:D48)*(1-$B52)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21">
        <f>SUM(D52:W52)</f>
        <v>0</v>
      </c>
    </row>
    <row r="53" spans="1:24" s="21" customFormat="1">
      <c r="A53" s="651" t="s">
        <v>912</v>
      </c>
      <c r="B53" s="643">
        <v>0.01</v>
      </c>
      <c r="C53" s="79"/>
      <c r="D53" s="79">
        <f t="shared" ref="D53:W53" si="6">D52*(1+$B53)</f>
        <v>0</v>
      </c>
      <c r="E53" s="79">
        <f t="shared" si="6"/>
        <v>0</v>
      </c>
      <c r="F53" s="79">
        <f t="shared" si="6"/>
        <v>0</v>
      </c>
      <c r="G53" s="79">
        <f t="shared" si="6"/>
        <v>0</v>
      </c>
      <c r="H53" s="79">
        <f t="shared" si="6"/>
        <v>0</v>
      </c>
      <c r="I53" s="79">
        <f t="shared" si="6"/>
        <v>0</v>
      </c>
      <c r="J53" s="79">
        <f t="shared" si="6"/>
        <v>0</v>
      </c>
      <c r="K53" s="79">
        <f t="shared" si="6"/>
        <v>0</v>
      </c>
      <c r="L53" s="79">
        <f t="shared" si="6"/>
        <v>0</v>
      </c>
      <c r="M53" s="79">
        <f t="shared" si="6"/>
        <v>0</v>
      </c>
      <c r="N53" s="79">
        <f t="shared" si="6"/>
        <v>0</v>
      </c>
      <c r="O53" s="79">
        <f t="shared" si="6"/>
        <v>0</v>
      </c>
      <c r="P53" s="79">
        <f t="shared" si="6"/>
        <v>0</v>
      </c>
      <c r="Q53" s="79">
        <f t="shared" si="6"/>
        <v>0</v>
      </c>
      <c r="R53" s="79">
        <f t="shared" si="6"/>
        <v>0</v>
      </c>
      <c r="S53" s="79">
        <f t="shared" si="6"/>
        <v>0</v>
      </c>
      <c r="T53" s="79">
        <f t="shared" si="6"/>
        <v>0</v>
      </c>
      <c r="U53" s="79">
        <f t="shared" si="6"/>
        <v>0</v>
      </c>
      <c r="V53" s="79">
        <f t="shared" si="6"/>
        <v>0</v>
      </c>
      <c r="W53" s="79">
        <f t="shared" si="6"/>
        <v>0</v>
      </c>
      <c r="X53" s="644">
        <f>SUM(D53:W53)</f>
        <v>0</v>
      </c>
    </row>
    <row r="54" spans="1:24" s="21" customFormat="1">
      <c r="A54" s="640"/>
    </row>
    <row r="55" spans="1:24" s="21" customFormat="1">
      <c r="A55" s="640" t="s">
        <v>913</v>
      </c>
      <c r="D55" s="21">
        <f t="shared" ref="D55:W55" si="7">D11+D33+D53</f>
        <v>0</v>
      </c>
      <c r="E55" s="21">
        <f t="shared" si="7"/>
        <v>241.947</v>
      </c>
      <c r="F55" s="21">
        <f t="shared" si="7"/>
        <v>1719.585</v>
      </c>
      <c r="G55" s="21">
        <f t="shared" si="7"/>
        <v>0</v>
      </c>
      <c r="H55" s="21">
        <f t="shared" si="7"/>
        <v>0</v>
      </c>
      <c r="I55" s="21">
        <f t="shared" si="7"/>
        <v>0</v>
      </c>
      <c r="J55" s="21">
        <f t="shared" si="7"/>
        <v>0</v>
      </c>
      <c r="K55" s="21">
        <f t="shared" si="7"/>
        <v>0</v>
      </c>
      <c r="L55" s="21">
        <f t="shared" si="7"/>
        <v>0</v>
      </c>
      <c r="M55" s="21">
        <f t="shared" si="7"/>
        <v>0</v>
      </c>
      <c r="N55" s="21">
        <f t="shared" si="7"/>
        <v>0</v>
      </c>
      <c r="O55" s="21">
        <f t="shared" si="7"/>
        <v>0</v>
      </c>
      <c r="P55" s="21">
        <f t="shared" si="7"/>
        <v>0</v>
      </c>
      <c r="Q55" s="21">
        <f t="shared" si="7"/>
        <v>0</v>
      </c>
      <c r="R55" s="21">
        <f t="shared" si="7"/>
        <v>0</v>
      </c>
      <c r="S55" s="21">
        <f t="shared" si="7"/>
        <v>0</v>
      </c>
      <c r="T55" s="21">
        <f t="shared" si="7"/>
        <v>0</v>
      </c>
      <c r="U55" s="21">
        <f t="shared" si="7"/>
        <v>0</v>
      </c>
      <c r="V55" s="21">
        <f t="shared" si="7"/>
        <v>0</v>
      </c>
      <c r="W55" s="21">
        <f t="shared" si="7"/>
        <v>0</v>
      </c>
      <c r="X55" s="724">
        <f>SUM(D55:W55)</f>
        <v>1961.5320000000002</v>
      </c>
    </row>
    <row r="56" spans="1:24" s="21" customFormat="1">
      <c r="A56" s="640"/>
    </row>
    <row r="57" spans="1:24" s="21" customFormat="1">
      <c r="A57" s="640"/>
    </row>
    <row r="58" spans="1:24" s="21" customFormat="1">
      <c r="A58" s="640"/>
    </row>
    <row r="59" spans="1:24" s="21" customFormat="1">
      <c r="A59" s="640"/>
    </row>
    <row r="60" spans="1:24" s="21" customFormat="1">
      <c r="A60" s="640"/>
    </row>
    <row r="61" spans="1:24" s="21" customFormat="1">
      <c r="A61" s="640"/>
    </row>
    <row r="62" spans="1:24" s="21" customFormat="1">
      <c r="A62" s="640"/>
    </row>
    <row r="63" spans="1:24" s="21" customFormat="1">
      <c r="A63" s="640"/>
    </row>
    <row r="64" spans="1:24" s="21" customFormat="1">
      <c r="A64" s="640"/>
    </row>
    <row r="65" spans="1:1" s="21" customFormat="1">
      <c r="A65" s="640"/>
    </row>
    <row r="66" spans="1:1" s="21" customFormat="1">
      <c r="A66" s="640"/>
    </row>
    <row r="67" spans="1:1" s="21" customFormat="1">
      <c r="A67" s="640"/>
    </row>
    <row r="68" spans="1:1" s="21" customFormat="1">
      <c r="A68" s="640"/>
    </row>
  </sheetData>
  <printOptions horizontalCentered="1"/>
  <pageMargins left="0.75" right="0.75" top="1" bottom="1" header="0.5" footer="0.5"/>
  <pageSetup scale="53" orientation="landscape" horizontalDpi="4294967292" verticalDpi="4294967292" r:id="rId1"/>
  <headerFooter alignWithMargins="0">
    <oddFooter>&amp;LRichard Bickings
&amp;D&amp;CPage &amp;P&amp;R&amp;F
&amp;A</oddFooter>
  </headerFooter>
  <colBreaks count="1" manualBreakCount="1">
    <brk id="12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2"/>
  <dimension ref="A2:AF66"/>
  <sheetViews>
    <sheetView topLeftCell="K23" zoomScale="75" zoomScaleNormal="75" workbookViewId="0">
      <selection activeCell="X8" sqref="X8"/>
    </sheetView>
  </sheetViews>
  <sheetFormatPr defaultRowHeight="12.75"/>
  <cols>
    <col min="1" max="1" width="12.5703125" customWidth="1"/>
    <col min="3" max="3" width="9.28515625" bestFit="1" customWidth="1"/>
    <col min="5" max="5" width="9.28515625" customWidth="1"/>
    <col min="10" max="10" width="7.5703125" customWidth="1"/>
    <col min="11" max="11" width="7.42578125" customWidth="1"/>
    <col min="23" max="23" width="19" customWidth="1"/>
    <col min="24" max="24" width="10.42578125" customWidth="1"/>
    <col min="26" max="26" width="10.7109375" customWidth="1"/>
    <col min="28" max="28" width="10.7109375" customWidth="1"/>
  </cols>
  <sheetData>
    <row r="2" spans="1:32" ht="20.25">
      <c r="W2" s="652" t="s">
        <v>914</v>
      </c>
    </row>
    <row r="4" spans="1:32" ht="20.25">
      <c r="A4" s="652" t="s">
        <v>915</v>
      </c>
      <c r="B4" s="132"/>
      <c r="C4" s="132"/>
      <c r="D4" s="132"/>
      <c r="W4" s="653" t="str">
        <f>'GTDB(6B)'!B4</f>
        <v>GE-7EA-H-V0</v>
      </c>
      <c r="X4" s="140" t="s">
        <v>916</v>
      </c>
      <c r="Y4" s="140" t="s">
        <v>917</v>
      </c>
      <c r="Z4" s="102" t="s">
        <v>278</v>
      </c>
      <c r="AA4" s="140" t="s">
        <v>918</v>
      </c>
    </row>
    <row r="5" spans="1:32">
      <c r="A5" s="140" t="s">
        <v>919</v>
      </c>
      <c r="B5" s="140" t="s">
        <v>278</v>
      </c>
      <c r="C5" s="140">
        <v>1</v>
      </c>
      <c r="D5" s="140">
        <v>2</v>
      </c>
      <c r="E5" s="140">
        <v>3</v>
      </c>
      <c r="F5" s="140">
        <v>4</v>
      </c>
      <c r="G5" s="140">
        <v>5</v>
      </c>
      <c r="H5" s="140">
        <v>6</v>
      </c>
      <c r="I5" s="140">
        <v>7</v>
      </c>
      <c r="J5" s="140">
        <v>8</v>
      </c>
      <c r="K5" s="140">
        <v>9</v>
      </c>
      <c r="L5" s="140">
        <v>10</v>
      </c>
      <c r="M5" s="140">
        <v>11</v>
      </c>
      <c r="N5" s="140">
        <v>12</v>
      </c>
      <c r="O5" s="140">
        <v>13</v>
      </c>
      <c r="P5" s="140">
        <v>14</v>
      </c>
      <c r="Q5" s="140">
        <v>15</v>
      </c>
      <c r="R5" s="140">
        <v>16</v>
      </c>
      <c r="S5" s="140">
        <v>17</v>
      </c>
      <c r="T5" s="140">
        <v>18</v>
      </c>
      <c r="U5" s="140">
        <v>19</v>
      </c>
      <c r="V5" s="420">
        <v>20</v>
      </c>
      <c r="W5" s="603" t="s">
        <v>920</v>
      </c>
      <c r="X5" s="654">
        <v>20</v>
      </c>
      <c r="Y5" s="654">
        <f>20-X5</f>
        <v>0</v>
      </c>
      <c r="Z5" s="102" t="s">
        <v>278</v>
      </c>
      <c r="AA5" s="655"/>
    </row>
    <row r="6" spans="1:32" ht="13.5" thickBot="1">
      <c r="A6" s="140" t="s">
        <v>921</v>
      </c>
      <c r="B6" s="617"/>
      <c r="C6" s="140">
        <f t="shared" ref="C6:V6" si="0">B6+IF(C5&gt;$X$5,$Y$6,$X$6)</f>
        <v>8322</v>
      </c>
      <c r="D6" s="140">
        <f t="shared" si="0"/>
        <v>16644</v>
      </c>
      <c r="E6" s="140">
        <f t="shared" si="0"/>
        <v>24966</v>
      </c>
      <c r="F6" s="140">
        <f t="shared" si="0"/>
        <v>33288</v>
      </c>
      <c r="G6" s="140">
        <f t="shared" si="0"/>
        <v>41610</v>
      </c>
      <c r="H6" s="140">
        <f t="shared" si="0"/>
        <v>49932</v>
      </c>
      <c r="I6" s="140">
        <f t="shared" si="0"/>
        <v>58254</v>
      </c>
      <c r="J6" s="140">
        <f t="shared" si="0"/>
        <v>66576</v>
      </c>
      <c r="K6" s="140">
        <f t="shared" si="0"/>
        <v>74898</v>
      </c>
      <c r="L6" s="140">
        <f t="shared" si="0"/>
        <v>83220</v>
      </c>
      <c r="M6" s="140">
        <f t="shared" si="0"/>
        <v>91542</v>
      </c>
      <c r="N6" s="140">
        <f t="shared" si="0"/>
        <v>99864</v>
      </c>
      <c r="O6" s="140">
        <f t="shared" si="0"/>
        <v>108186</v>
      </c>
      <c r="P6" s="140">
        <f t="shared" si="0"/>
        <v>116508</v>
      </c>
      <c r="Q6" s="140">
        <f t="shared" si="0"/>
        <v>124830</v>
      </c>
      <c r="R6" s="140">
        <f t="shared" si="0"/>
        <v>133152</v>
      </c>
      <c r="S6" s="140">
        <f t="shared" si="0"/>
        <v>141474</v>
      </c>
      <c r="T6" s="140">
        <f t="shared" si="0"/>
        <v>149796</v>
      </c>
      <c r="U6" s="140">
        <f t="shared" si="0"/>
        <v>158118</v>
      </c>
      <c r="V6" s="140">
        <f t="shared" si="0"/>
        <v>166440</v>
      </c>
      <c r="W6" s="656" t="s">
        <v>922</v>
      </c>
      <c r="X6" s="657">
        <f>Scope!$F$41</f>
        <v>8322</v>
      </c>
      <c r="Y6" s="658">
        <v>8000</v>
      </c>
      <c r="Z6" s="659"/>
      <c r="AA6" s="655"/>
      <c r="AD6" s="660">
        <v>1</v>
      </c>
    </row>
    <row r="7" spans="1:32" ht="13.5" thickBot="1">
      <c r="A7" s="102"/>
      <c r="B7" s="102" t="s">
        <v>278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661" t="s">
        <v>923</v>
      </c>
      <c r="X7" s="662">
        <v>0</v>
      </c>
      <c r="Y7" s="663"/>
      <c r="Z7" s="102"/>
      <c r="AA7" s="664"/>
    </row>
    <row r="8" spans="1:32">
      <c r="A8" s="140" t="s">
        <v>924</v>
      </c>
      <c r="B8" s="140">
        <v>0</v>
      </c>
      <c r="C8" s="140">
        <f t="shared" ref="C8:V8" si="1">( INT(C6/$X8)*$X$7-INT(B6/$X8)*$X$7-C9-C10)</f>
        <v>0</v>
      </c>
      <c r="D8" s="140">
        <f t="shared" si="1"/>
        <v>0</v>
      </c>
      <c r="E8" s="140">
        <f t="shared" si="1"/>
        <v>0</v>
      </c>
      <c r="F8" s="140">
        <f t="shared" si="1"/>
        <v>0</v>
      </c>
      <c r="G8" s="140">
        <f t="shared" si="1"/>
        <v>0</v>
      </c>
      <c r="H8" s="140">
        <f t="shared" si="1"/>
        <v>0</v>
      </c>
      <c r="I8" s="140">
        <f t="shared" si="1"/>
        <v>0</v>
      </c>
      <c r="J8" s="140">
        <f t="shared" si="1"/>
        <v>0</v>
      </c>
      <c r="K8" s="140">
        <f t="shared" si="1"/>
        <v>0</v>
      </c>
      <c r="L8" s="140">
        <f t="shared" si="1"/>
        <v>0</v>
      </c>
      <c r="M8" s="140">
        <f t="shared" si="1"/>
        <v>0</v>
      </c>
      <c r="N8" s="140">
        <f t="shared" si="1"/>
        <v>0</v>
      </c>
      <c r="O8" s="140">
        <f t="shared" si="1"/>
        <v>0</v>
      </c>
      <c r="P8" s="140">
        <f t="shared" si="1"/>
        <v>0</v>
      </c>
      <c r="Q8" s="140">
        <f t="shared" si="1"/>
        <v>0</v>
      </c>
      <c r="R8" s="140">
        <f t="shared" si="1"/>
        <v>0</v>
      </c>
      <c r="S8" s="140">
        <f t="shared" si="1"/>
        <v>0</v>
      </c>
      <c r="T8" s="140">
        <f t="shared" si="1"/>
        <v>0</v>
      </c>
      <c r="U8" s="140">
        <f t="shared" si="1"/>
        <v>0</v>
      </c>
      <c r="V8" s="420">
        <f t="shared" si="1"/>
        <v>0</v>
      </c>
      <c r="W8" s="665" t="s">
        <v>925</v>
      </c>
      <c r="X8" s="666">
        <f>IF($AD$6=1,'GTDB(6B)'!B12,'GTDB(6B)'!H12)</f>
        <v>12000</v>
      </c>
      <c r="Y8" s="663"/>
      <c r="Z8" s="663"/>
    </row>
    <row r="9" spans="1:32">
      <c r="A9" s="140" t="s">
        <v>1223</v>
      </c>
      <c r="B9" s="140">
        <v>0</v>
      </c>
      <c r="C9" s="140">
        <f t="shared" ref="C9:V9" si="2">(INT(C6/$X9)-INT(B6/$X9))*$X$7-C10</f>
        <v>0</v>
      </c>
      <c r="D9" s="140">
        <f t="shared" si="2"/>
        <v>0</v>
      </c>
      <c r="E9" s="140">
        <f t="shared" si="2"/>
        <v>0</v>
      </c>
      <c r="F9" s="140">
        <f t="shared" si="2"/>
        <v>0</v>
      </c>
      <c r="G9" s="140">
        <f t="shared" si="2"/>
        <v>0</v>
      </c>
      <c r="H9" s="140">
        <f t="shared" si="2"/>
        <v>0</v>
      </c>
      <c r="I9" s="140">
        <f t="shared" si="2"/>
        <v>0</v>
      </c>
      <c r="J9" s="140">
        <f t="shared" si="2"/>
        <v>0</v>
      </c>
      <c r="K9" s="140">
        <f t="shared" si="2"/>
        <v>0</v>
      </c>
      <c r="L9" s="140">
        <f t="shared" si="2"/>
        <v>0</v>
      </c>
      <c r="M9" s="140">
        <f t="shared" si="2"/>
        <v>0</v>
      </c>
      <c r="N9" s="140">
        <f t="shared" si="2"/>
        <v>0</v>
      </c>
      <c r="O9" s="140">
        <f t="shared" si="2"/>
        <v>0</v>
      </c>
      <c r="P9" s="140">
        <f t="shared" si="2"/>
        <v>0</v>
      </c>
      <c r="Q9" s="140">
        <f t="shared" si="2"/>
        <v>0</v>
      </c>
      <c r="R9" s="140">
        <f t="shared" si="2"/>
        <v>0</v>
      </c>
      <c r="S9" s="140">
        <f t="shared" si="2"/>
        <v>0</v>
      </c>
      <c r="T9" s="140">
        <f t="shared" si="2"/>
        <v>0</v>
      </c>
      <c r="U9" s="140">
        <f t="shared" si="2"/>
        <v>0</v>
      </c>
      <c r="V9" s="420">
        <f t="shared" si="2"/>
        <v>0</v>
      </c>
      <c r="W9" s="667" t="s">
        <v>926</v>
      </c>
      <c r="X9" s="666">
        <f>IF($AD$6=1,'GTDB(6B)'!B13,'GTDB(6B)'!H13)</f>
        <v>24000</v>
      </c>
      <c r="Y9" s="663"/>
      <c r="Z9" s="663"/>
    </row>
    <row r="10" spans="1:32">
      <c r="A10" s="140" t="s">
        <v>1224</v>
      </c>
      <c r="B10" s="140">
        <v>0</v>
      </c>
      <c r="C10" s="140">
        <f t="shared" ref="C10:V10" si="3">(INT(C6/$X10)-INT(B6/$X10))*$X$7</f>
        <v>0</v>
      </c>
      <c r="D10" s="140">
        <f t="shared" si="3"/>
        <v>0</v>
      </c>
      <c r="E10" s="140">
        <f t="shared" si="3"/>
        <v>0</v>
      </c>
      <c r="F10" s="140">
        <f t="shared" si="3"/>
        <v>0</v>
      </c>
      <c r="G10" s="140">
        <f t="shared" si="3"/>
        <v>0</v>
      </c>
      <c r="H10" s="140">
        <f t="shared" si="3"/>
        <v>0</v>
      </c>
      <c r="I10" s="140">
        <f t="shared" si="3"/>
        <v>0</v>
      </c>
      <c r="J10" s="140">
        <f t="shared" si="3"/>
        <v>0</v>
      </c>
      <c r="K10" s="140">
        <f t="shared" si="3"/>
        <v>0</v>
      </c>
      <c r="L10" s="140">
        <f t="shared" si="3"/>
        <v>0</v>
      </c>
      <c r="M10" s="140">
        <f t="shared" si="3"/>
        <v>0</v>
      </c>
      <c r="N10" s="140">
        <f t="shared" si="3"/>
        <v>0</v>
      </c>
      <c r="O10" s="140">
        <f t="shared" si="3"/>
        <v>0</v>
      </c>
      <c r="P10" s="140">
        <f t="shared" si="3"/>
        <v>0</v>
      </c>
      <c r="Q10" s="140">
        <f t="shared" si="3"/>
        <v>0</v>
      </c>
      <c r="R10" s="140">
        <f t="shared" si="3"/>
        <v>0</v>
      </c>
      <c r="S10" s="140">
        <f t="shared" si="3"/>
        <v>0</v>
      </c>
      <c r="T10" s="140">
        <f t="shared" si="3"/>
        <v>0</v>
      </c>
      <c r="U10" s="140">
        <f t="shared" si="3"/>
        <v>0</v>
      </c>
      <c r="V10" s="420">
        <f t="shared" si="3"/>
        <v>0</v>
      </c>
      <c r="W10" s="667" t="s">
        <v>927</v>
      </c>
      <c r="X10" s="666">
        <f>IF($AD$6=1,'GTDB(6B)'!B14,'GTDB(6B)'!H14)</f>
        <v>48000</v>
      </c>
      <c r="Y10" s="663"/>
      <c r="Z10" s="663"/>
      <c r="AA10" t="s">
        <v>278</v>
      </c>
    </row>
    <row r="11" spans="1:32" ht="11.2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668"/>
      <c r="X11" s="669"/>
      <c r="Y11" s="663"/>
      <c r="Z11" s="663"/>
      <c r="AF11" s="670"/>
    </row>
    <row r="12" spans="1:32" hidden="1">
      <c r="A12" s="140" t="s">
        <v>924</v>
      </c>
      <c r="B12" s="140"/>
      <c r="C12" s="140" t="str">
        <f t="shared" ref="C12:V12" si="4">IF(C8=0," ",IF(C8/$X$7=1,"C",C8/$X$7&amp;"C"))</f>
        <v xml:space="preserve"> </v>
      </c>
      <c r="D12" s="140" t="str">
        <f t="shared" si="4"/>
        <v xml:space="preserve"> </v>
      </c>
      <c r="E12" s="140" t="str">
        <f t="shared" si="4"/>
        <v xml:space="preserve"> </v>
      </c>
      <c r="F12" s="140" t="str">
        <f t="shared" si="4"/>
        <v xml:space="preserve"> </v>
      </c>
      <c r="G12" s="140" t="str">
        <f t="shared" si="4"/>
        <v xml:space="preserve"> </v>
      </c>
      <c r="H12" s="140" t="str">
        <f t="shared" si="4"/>
        <v xml:space="preserve"> </v>
      </c>
      <c r="I12" s="140" t="str">
        <f t="shared" si="4"/>
        <v xml:space="preserve"> </v>
      </c>
      <c r="J12" s="140" t="str">
        <f t="shared" si="4"/>
        <v xml:space="preserve"> </v>
      </c>
      <c r="K12" s="140" t="str">
        <f t="shared" si="4"/>
        <v xml:space="preserve"> </v>
      </c>
      <c r="L12" s="140" t="str">
        <f t="shared" si="4"/>
        <v xml:space="preserve"> </v>
      </c>
      <c r="M12" s="140" t="str">
        <f t="shared" si="4"/>
        <v xml:space="preserve"> </v>
      </c>
      <c r="N12" s="140" t="str">
        <f t="shared" si="4"/>
        <v xml:space="preserve"> </v>
      </c>
      <c r="O12" s="140" t="str">
        <f t="shared" si="4"/>
        <v xml:space="preserve"> </v>
      </c>
      <c r="P12" s="140" t="str">
        <f t="shared" si="4"/>
        <v xml:space="preserve"> </v>
      </c>
      <c r="Q12" s="140" t="str">
        <f t="shared" si="4"/>
        <v xml:space="preserve"> </v>
      </c>
      <c r="R12" s="140" t="str">
        <f t="shared" si="4"/>
        <v xml:space="preserve"> </v>
      </c>
      <c r="S12" s="140" t="str">
        <f t="shared" si="4"/>
        <v xml:space="preserve"> </v>
      </c>
      <c r="T12" s="140" t="str">
        <f t="shared" si="4"/>
        <v xml:space="preserve"> </v>
      </c>
      <c r="U12" s="140" t="str">
        <f t="shared" si="4"/>
        <v xml:space="preserve"> </v>
      </c>
      <c r="V12" s="140" t="str">
        <f t="shared" si="4"/>
        <v xml:space="preserve"> </v>
      </c>
      <c r="W12" s="615"/>
      <c r="X12" s="671"/>
      <c r="Y12" s="672"/>
      <c r="Z12" s="672"/>
    </row>
    <row r="13" spans="1:32" hidden="1">
      <c r="A13" s="140" t="s">
        <v>1223</v>
      </c>
      <c r="B13" s="140"/>
      <c r="C13" s="140" t="str">
        <f t="shared" ref="C13:V13" si="5">IF(C9=0," ",IF(C9/$X$7=1,"H",C9/$X$7&amp;"H"))</f>
        <v xml:space="preserve"> </v>
      </c>
      <c r="D13" s="140" t="str">
        <f t="shared" si="5"/>
        <v xml:space="preserve"> </v>
      </c>
      <c r="E13" s="140" t="str">
        <f t="shared" si="5"/>
        <v xml:space="preserve"> </v>
      </c>
      <c r="F13" s="140" t="str">
        <f t="shared" si="5"/>
        <v xml:space="preserve"> </v>
      </c>
      <c r="G13" s="140" t="str">
        <f t="shared" si="5"/>
        <v xml:space="preserve"> </v>
      </c>
      <c r="H13" s="140" t="str">
        <f t="shared" si="5"/>
        <v xml:space="preserve"> </v>
      </c>
      <c r="I13" s="140" t="str">
        <f t="shared" si="5"/>
        <v xml:space="preserve"> </v>
      </c>
      <c r="J13" s="140" t="str">
        <f t="shared" si="5"/>
        <v xml:space="preserve"> </v>
      </c>
      <c r="K13" s="140" t="str">
        <f t="shared" si="5"/>
        <v xml:space="preserve"> </v>
      </c>
      <c r="L13" s="140" t="str">
        <f t="shared" si="5"/>
        <v xml:space="preserve"> </v>
      </c>
      <c r="M13" s="140" t="str">
        <f t="shared" si="5"/>
        <v xml:space="preserve"> </v>
      </c>
      <c r="N13" s="140" t="str">
        <f t="shared" si="5"/>
        <v xml:space="preserve"> </v>
      </c>
      <c r="O13" s="140" t="str">
        <f t="shared" si="5"/>
        <v xml:space="preserve"> </v>
      </c>
      <c r="P13" s="140" t="str">
        <f t="shared" si="5"/>
        <v xml:space="preserve"> </v>
      </c>
      <c r="Q13" s="140" t="str">
        <f t="shared" si="5"/>
        <v xml:space="preserve"> </v>
      </c>
      <c r="R13" s="140" t="str">
        <f t="shared" si="5"/>
        <v xml:space="preserve"> </v>
      </c>
      <c r="S13" s="140" t="str">
        <f t="shared" si="5"/>
        <v xml:space="preserve"> </v>
      </c>
      <c r="T13" s="140" t="str">
        <f t="shared" si="5"/>
        <v xml:space="preserve"> </v>
      </c>
      <c r="U13" s="140" t="str">
        <f t="shared" si="5"/>
        <v xml:space="preserve"> </v>
      </c>
      <c r="V13" s="140" t="str">
        <f t="shared" si="5"/>
        <v xml:space="preserve"> </v>
      </c>
      <c r="W13" s="615"/>
      <c r="X13" s="671"/>
      <c r="Y13" s="672"/>
      <c r="Z13" s="672"/>
    </row>
    <row r="14" spans="1:32" ht="12.75" hidden="1" customHeight="1">
      <c r="A14" s="140" t="s">
        <v>1224</v>
      </c>
      <c r="B14" s="140"/>
      <c r="C14" s="140" t="str">
        <f t="shared" ref="C14:V14" si="6">IF(C10=0," ",IF(C10/$X$7=1,"M",C10/$X$7&amp;"M"))</f>
        <v xml:space="preserve"> </v>
      </c>
      <c r="D14" s="140" t="str">
        <f t="shared" si="6"/>
        <v xml:space="preserve"> </v>
      </c>
      <c r="E14" s="140" t="str">
        <f t="shared" si="6"/>
        <v xml:space="preserve"> </v>
      </c>
      <c r="F14" s="140" t="str">
        <f t="shared" si="6"/>
        <v xml:space="preserve"> </v>
      </c>
      <c r="G14" s="140" t="str">
        <f t="shared" si="6"/>
        <v xml:space="preserve"> </v>
      </c>
      <c r="H14" s="140" t="str">
        <f t="shared" si="6"/>
        <v xml:space="preserve"> </v>
      </c>
      <c r="I14" s="140" t="str">
        <f t="shared" si="6"/>
        <v xml:space="preserve"> </v>
      </c>
      <c r="J14" s="140" t="str">
        <f t="shared" si="6"/>
        <v xml:space="preserve"> </v>
      </c>
      <c r="K14" s="140" t="str">
        <f t="shared" si="6"/>
        <v xml:space="preserve"> </v>
      </c>
      <c r="L14" s="140" t="str">
        <f t="shared" si="6"/>
        <v xml:space="preserve"> </v>
      </c>
      <c r="M14" s="140" t="str">
        <f t="shared" si="6"/>
        <v xml:space="preserve"> </v>
      </c>
      <c r="N14" s="140" t="str">
        <f t="shared" si="6"/>
        <v xml:space="preserve"> </v>
      </c>
      <c r="O14" s="140" t="str">
        <f t="shared" si="6"/>
        <v xml:space="preserve"> </v>
      </c>
      <c r="P14" s="140" t="str">
        <f t="shared" si="6"/>
        <v xml:space="preserve"> </v>
      </c>
      <c r="Q14" s="140" t="str">
        <f t="shared" si="6"/>
        <v xml:space="preserve"> </v>
      </c>
      <c r="R14" s="140" t="str">
        <f t="shared" si="6"/>
        <v xml:space="preserve"> </v>
      </c>
      <c r="S14" s="140" t="str">
        <f t="shared" si="6"/>
        <v xml:space="preserve"> </v>
      </c>
      <c r="T14" s="140" t="str">
        <f t="shared" si="6"/>
        <v xml:space="preserve"> </v>
      </c>
      <c r="U14" s="140" t="str">
        <f t="shared" si="6"/>
        <v xml:space="preserve"> </v>
      </c>
      <c r="V14" s="140" t="str">
        <f t="shared" si="6"/>
        <v xml:space="preserve"> </v>
      </c>
      <c r="W14" s="78" t="s">
        <v>278</v>
      </c>
    </row>
    <row r="15" spans="1:32" ht="36.75" hidden="1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673"/>
      <c r="W15" s="674" t="s">
        <v>928</v>
      </c>
      <c r="X15" s="675" t="s">
        <v>929</v>
      </c>
      <c r="Y15" s="675" t="s">
        <v>930</v>
      </c>
      <c r="Z15" s="675" t="s">
        <v>931</v>
      </c>
      <c r="AA15" s="676" t="s">
        <v>932</v>
      </c>
      <c r="AB15" s="675" t="s">
        <v>933</v>
      </c>
    </row>
    <row r="16" spans="1:32" hidden="1">
      <c r="A16" s="140" t="s">
        <v>934</v>
      </c>
      <c r="B16" s="603"/>
      <c r="C16" s="140">
        <f t="shared" ref="C16:V16" si="7">INT((INT(C$6/$X17)*$X$7+$X$7+$Z17-1)/($X$7+$Z17)/$Y17)</f>
        <v>0</v>
      </c>
      <c r="D16" s="140">
        <f t="shared" si="7"/>
        <v>0</v>
      </c>
      <c r="E16" s="140">
        <f t="shared" si="7"/>
        <v>0</v>
      </c>
      <c r="F16" s="140">
        <f t="shared" si="7"/>
        <v>0</v>
      </c>
      <c r="G16" s="140">
        <f t="shared" si="7"/>
        <v>0</v>
      </c>
      <c r="H16" s="140">
        <f t="shared" si="7"/>
        <v>0</v>
      </c>
      <c r="I16" s="140">
        <f t="shared" si="7"/>
        <v>0</v>
      </c>
      <c r="J16" s="140">
        <f t="shared" si="7"/>
        <v>0</v>
      </c>
      <c r="K16" s="140">
        <f t="shared" si="7"/>
        <v>0</v>
      </c>
      <c r="L16" s="140">
        <f t="shared" si="7"/>
        <v>0</v>
      </c>
      <c r="M16" s="140">
        <f t="shared" si="7"/>
        <v>0</v>
      </c>
      <c r="N16" s="140">
        <f t="shared" si="7"/>
        <v>0</v>
      </c>
      <c r="O16" s="140">
        <f t="shared" si="7"/>
        <v>0</v>
      </c>
      <c r="P16" s="140">
        <f t="shared" si="7"/>
        <v>0</v>
      </c>
      <c r="Q16" s="140">
        <f t="shared" si="7"/>
        <v>0</v>
      </c>
      <c r="R16" s="140">
        <f t="shared" si="7"/>
        <v>0</v>
      </c>
      <c r="S16" s="140">
        <f t="shared" si="7"/>
        <v>0</v>
      </c>
      <c r="T16" s="140">
        <f t="shared" si="7"/>
        <v>0</v>
      </c>
      <c r="U16" s="140">
        <f t="shared" si="7"/>
        <v>0</v>
      </c>
      <c r="V16" s="140">
        <f t="shared" si="7"/>
        <v>0</v>
      </c>
      <c r="AB16" s="140"/>
    </row>
    <row r="17" spans="1:28">
      <c r="A17" s="140" t="s">
        <v>935</v>
      </c>
      <c r="B17" s="603" t="s">
        <v>278</v>
      </c>
      <c r="C17" s="603">
        <f>IF($Y17=1,0,$X$7*(INT(C$6/$X17)-INT(B$6/$X17))-IF(SUM($B17:B17)&gt;0,C18,0))</f>
        <v>0</v>
      </c>
      <c r="D17" s="603">
        <f>IF($Y17=1,0,$X$7*(INT(D$6/$X17)-INT(C$6/$X17))-IF(SUM($B17:C17)&gt;0,D18,0))</f>
        <v>0</v>
      </c>
      <c r="E17" s="603">
        <f>IF($Y17=1,0,$X$7*(INT(E$6/$X17)-INT(D$6/$X17))-IF(SUM($B17:D17)&gt;0,E18,0))</f>
        <v>0</v>
      </c>
      <c r="F17" s="603">
        <f>IF($Y17=1,0,$X$7*(INT(F$6/$X17)-INT(E$6/$X17))-IF(SUM($B17:E17)&gt;0,F18,0))</f>
        <v>0</v>
      </c>
      <c r="G17" s="603">
        <f>IF($Y17=1,0,$X$7*(INT(G$6/$X17)-INT(F$6/$X17))-IF(SUM($B17:F17)&gt;0,G18,0))</f>
        <v>0</v>
      </c>
      <c r="H17" s="603">
        <f>IF($Y17=1,0,$X$7*(INT(H$6/$X17)-INT(G$6/$X17))-IF(SUM($B17:G17)&gt;0,H18,0))</f>
        <v>0</v>
      </c>
      <c r="I17" s="603">
        <f>IF($Y17=1,0,$X$7*(INT(I$6/$X17)-INT(H$6/$X17))-IF(SUM($B17:H17)&gt;0,I18,0))</f>
        <v>0</v>
      </c>
      <c r="J17" s="603">
        <f>IF($Y17=1,0,$X$7*(INT(J$6/$X17)-INT(I$6/$X17))-IF(SUM($B17:I17)&gt;0,J18,0))</f>
        <v>0</v>
      </c>
      <c r="K17" s="603">
        <f>IF($Y17=1,0,$X$7*(INT(K$6/$X17)-INT(J$6/$X17))-IF(SUM($B17:J17)&gt;0,K18,0))</f>
        <v>0</v>
      </c>
      <c r="L17" s="603">
        <f>IF($Y17=1,0,$X$7*(INT(L$6/$X17)-INT(K$6/$X17))-IF(SUM($B17:K17)&gt;0,L18,0))</f>
        <v>0</v>
      </c>
      <c r="M17" s="603">
        <f>IF($Y17=1,0,$X$7*(INT(M$6/$X17)-INT(L$6/$X17))-IF(SUM($B17:L17)&gt;0,M18,0))</f>
        <v>0</v>
      </c>
      <c r="N17" s="603">
        <f>IF($Y17=1,0,$X$7*(INT(N$6/$X17)-INT(M$6/$X17))-IF(SUM($B17:M17)&gt;0,N18,0))</f>
        <v>0</v>
      </c>
      <c r="O17" s="603">
        <f>IF($Y17=1,0,$X$7*(INT(O$6/$X17)-INT(N$6/$X17))-IF(SUM($B17:N17)&gt;0,O18,0))</f>
        <v>0</v>
      </c>
      <c r="P17" s="603">
        <f>IF($Y17=1,0,$X$7*(INT(P$6/$X17)-INT(O$6/$X17))-IF(SUM($B17:O17)&gt;0,P18,0))</f>
        <v>0</v>
      </c>
      <c r="Q17" s="603">
        <f>IF($Y17=1,0,$X$7*(INT(Q$6/$X17)-INT(P$6/$X17))-IF(SUM($B17:P17)&gt;0,Q18,0))</f>
        <v>0</v>
      </c>
      <c r="R17" s="603">
        <f>IF($Y17=1,0,$X$7*(INT(R$6/$X17)-INT(Q$6/$X17))-IF(SUM($B17:Q17)&gt;0,R18,0))</f>
        <v>0</v>
      </c>
      <c r="S17" s="603">
        <f>IF($Y17=1,0,$X$7*(INT(S$6/$X17)-INT(R$6/$X17))-IF(SUM($B17:R17)&gt;0,S18,0))</f>
        <v>0</v>
      </c>
      <c r="T17" s="603">
        <f>IF($Y17=1,0,$X$7*(INT(T$6/$X17)-INT(S$6/$X17))-IF(SUM($B17:S17)&gt;0,T18,0))</f>
        <v>0</v>
      </c>
      <c r="U17" s="603">
        <f>IF($Y17=1,0,$X$7*(INT(U$6/$X17)-INT(T$6/$X17))-IF(SUM($B17:T17)&gt;0,U18,0))</f>
        <v>0</v>
      </c>
      <c r="V17" s="603">
        <f>IF($Y17=1,0,$X$7*(INT(V$6/$X17)-INT(U$6/$X17))-IF(SUM($B17:U17)&gt;0,V18,0))</f>
        <v>0</v>
      </c>
      <c r="W17" s="677" t="str">
        <f>'GT schd cost(6B)'!A15</f>
        <v>FUEL NOZZLES</v>
      </c>
      <c r="X17" s="678">
        <f>IF($AD$6=1,'GTDB(6B)'!B17,'GTDB(6B)'!H17)</f>
        <v>12000</v>
      </c>
      <c r="Y17" s="678">
        <f>IF($AD$6=1,'GTDB(6B)'!C17,'GTDB(6B)'!I17)</f>
        <v>3</v>
      </c>
      <c r="Z17" s="679">
        <v>2</v>
      </c>
      <c r="AA17" s="680">
        <f>'Initial_Spares(6B)'!$D$11</f>
        <v>0</v>
      </c>
      <c r="AB17" s="642">
        <f>'GT schd cost(6B)'!X15+'GT schd cost(6B)'!X38</f>
        <v>26</v>
      </c>
    </row>
    <row r="18" spans="1:28">
      <c r="A18" s="140" t="s">
        <v>936</v>
      </c>
      <c r="B18" s="603" t="s">
        <v>278</v>
      </c>
      <c r="C18" s="603">
        <f>IF(INT(C$6/$X17)*$X$7&gt;C16*($X$7+$Z17)*$Y17,C16*($X$7+$Z17)-SUM($B18:B18),INT(C$6/$X17)*$X$7-C16*($X$7+$Z17)*($Y17-1)-SUM($B18:B18))+IF($Y17&gt;1,IF(INT(C$6/$X17)&gt;0,$Z17-$AA17,0),-$AA17)</f>
        <v>0</v>
      </c>
      <c r="D18" s="603">
        <f>IF(INT(D$6/$X17)*$X$7&gt;D16*($X$7+$Z17)*$Y17,D16*($X$7+$Z17)-SUM($B18:C18),INT(D$6/$X17)*$X$7-D16*($X$7+$Z17)*($Y17-1)-SUM($B18:C18))+IF($Y17&gt;1,IF(INT(D$6/$X17)&gt;0,$Z17-$AA17,0),-$AA17)</f>
        <v>2</v>
      </c>
      <c r="E18" s="603">
        <f>IF(INT(E$6/$X17)*$X$7&gt;E16*($X$7+$Z17)*$Y17,E16*($X$7+$Z17)-SUM($B18:D18),INT(E$6/$X17)*$X$7-E16*($X$7+$Z17)*($Y17-1)-SUM($B18:D18))+IF($Y17&gt;1,IF(INT(E$6/$X17)&gt;0,$Z17-$AA17,0),-$AA17)</f>
        <v>0</v>
      </c>
      <c r="F18" s="603">
        <f>IF(INT(F$6/$X17)*$X$7&gt;F16*($X$7+$Z17)*$Y17,F16*($X$7+$Z17)-SUM($B18:E18),INT(F$6/$X17)*$X$7-F16*($X$7+$Z17)*($Y17-1)-SUM($B18:E18))+IF($Y17&gt;1,IF(INT(F$6/$X17)&gt;0,$Z17-$AA17,0),-$AA17)</f>
        <v>0</v>
      </c>
      <c r="G18" s="603">
        <f>IF(INT(G$6/$X17)*$X$7&gt;G16*($X$7+$Z17)*$Y17,G16*($X$7+$Z17)-SUM($B18:F18),INT(G$6/$X17)*$X$7-G16*($X$7+$Z17)*($Y17-1)-SUM($B18:F18))+IF($Y17&gt;1,IF(INT(G$6/$X17)&gt;0,$Z17-$AA17,0),-$AA17)</f>
        <v>0</v>
      </c>
      <c r="H18" s="603">
        <f>IF(INT(H$6/$X17)*$X$7&gt;H16*($X$7+$Z17)*$Y17,H16*($X$7+$Z17)-SUM($B18:G18),INT(H$6/$X17)*$X$7-H16*($X$7+$Z17)*($Y17-1)-SUM($B18:G18))+IF($Y17&gt;1,IF(INT(H$6/$X17)&gt;0,$Z17-$AA17,0),-$AA17)</f>
        <v>0</v>
      </c>
      <c r="I18" s="603">
        <f>IF(INT(I$6/$X17)*$X$7&gt;I16*($X$7+$Z17)*$Y17,I16*($X$7+$Z17)-SUM($B18:H18),INT(I$6/$X17)*$X$7-I16*($X$7+$Z17)*($Y17-1)-SUM($B18:H18))+IF($Y17&gt;1,IF(INT(I$6/$X17)&gt;0,$Z17-$AA17,0),-$AA17)</f>
        <v>0</v>
      </c>
      <c r="J18" s="603">
        <f>IF(INT(J$6/$X17)*$X$7&gt;J16*($X$7+$Z17)*$Y17,J16*($X$7+$Z17)-SUM($B18:I18),INT(J$6/$X17)*$X$7-J16*($X$7+$Z17)*($Y17-1)-SUM($B18:I18))+IF($Y17&gt;1,IF(INT(J$6/$X17)&gt;0,$Z17-$AA17,0),-$AA17)</f>
        <v>0</v>
      </c>
      <c r="K18" s="603">
        <f>IF(INT(K$6/$X17)*$X$7&gt;K16*($X$7+$Z17)*$Y17,K16*($X$7+$Z17)-SUM($B18:J18),INT(K$6/$X17)*$X$7-K16*($X$7+$Z17)*($Y17-1)-SUM($B18:J18))+IF($Y17&gt;1,IF(INT(K$6/$X17)&gt;0,$Z17-$AA17,0),-$AA17)</f>
        <v>0</v>
      </c>
      <c r="L18" s="603">
        <f>IF(INT(L$6/$X17)*$X$7&gt;L16*($X$7+$Z17)*$Y17,L16*($X$7+$Z17)-SUM($B18:K18),INT(L$6/$X17)*$X$7-L16*($X$7+$Z17)*($Y17-1)-SUM($B18:K18))+IF($Y17&gt;1,IF(INT(L$6/$X17)&gt;0,$Z17-$AA17,0),-$AA17)</f>
        <v>0</v>
      </c>
      <c r="M18" s="603">
        <f>IF(INT(M$6/$X17)*$X$7&gt;M16*($X$7+$Z17)*$Y17,M16*($X$7+$Z17)-SUM($B18:L18),INT(M$6/$X17)*$X$7-M16*($X$7+$Z17)*($Y17-1)-SUM($B18:L18))+IF($Y17&gt;1,IF(INT(M$6/$X17)&gt;0,$Z17-$AA17,0),-$AA17)</f>
        <v>0</v>
      </c>
      <c r="N18" s="603">
        <f>IF(INT(N$6/$X17)*$X$7&gt;N16*($X$7+$Z17)*$Y17,N16*($X$7+$Z17)-SUM($B18:M18),INT(N$6/$X17)*$X$7-N16*($X$7+$Z17)*($Y17-1)-SUM($B18:M18))+IF($Y17&gt;1,IF(INT(N$6/$X17)&gt;0,$Z17-$AA17,0),-$AA17)</f>
        <v>0</v>
      </c>
      <c r="O18" s="603">
        <f>IF(INT(O$6/$X17)*$X$7&gt;O16*($X$7+$Z17)*$Y17,O16*($X$7+$Z17)-SUM($B18:N18),INT(O$6/$X17)*$X$7-O16*($X$7+$Z17)*($Y17-1)-SUM($B18:N18))+IF($Y17&gt;1,IF(INT(O$6/$X17)&gt;0,$Z17-$AA17,0),-$AA17)</f>
        <v>0</v>
      </c>
      <c r="P18" s="603">
        <f>IF(INT(P$6/$X17)*$X$7&gt;P16*($X$7+$Z17)*$Y17,P16*($X$7+$Z17)-SUM($B18:O18),INT(P$6/$X17)*$X$7-P16*($X$7+$Z17)*($Y17-1)-SUM($B18:O18))+IF($Y17&gt;1,IF(INT(P$6/$X17)&gt;0,$Z17-$AA17,0),-$AA17)</f>
        <v>0</v>
      </c>
      <c r="Q18" s="603">
        <f>IF(INT(Q$6/$X17)*$X$7&gt;Q16*($X$7+$Z17)*$Y17,Q16*($X$7+$Z17)-SUM($B18:P18),INT(Q$6/$X17)*$X$7-Q16*($X$7+$Z17)*($Y17-1)-SUM($B18:P18))+IF($Y17&gt;1,IF(INT(Q$6/$X17)&gt;0,$Z17-$AA17,0),-$AA17)</f>
        <v>0</v>
      </c>
      <c r="R18" s="603">
        <f>IF(INT(R$6/$X17)*$X$7&gt;R16*($X$7+$Z17)*$Y17,R16*($X$7+$Z17)-SUM($B18:Q18),INT(R$6/$X17)*$X$7-R16*($X$7+$Z17)*($Y17-1)-SUM($B18:Q18))+IF($Y17&gt;1,IF(INT(R$6/$X17)&gt;0,$Z17-$AA17,0),-$AA17)</f>
        <v>0</v>
      </c>
      <c r="S18" s="603">
        <f>IF(INT(S$6/$X17)*$X$7&gt;S16*($X$7+$Z17)*$Y17,S16*($X$7+$Z17)-SUM($B18:R18),INT(S$6/$X17)*$X$7-S16*($X$7+$Z17)*($Y17-1)-SUM($B18:R18))+IF($Y17&gt;1,IF(INT(S$6/$X17)&gt;0,$Z17-$AA17,0),-$AA17)</f>
        <v>0</v>
      </c>
      <c r="T18" s="603">
        <f>IF(INT(T$6/$X17)*$X$7&gt;T16*($X$7+$Z17)*$Y17,T16*($X$7+$Z17)-SUM($B18:S18),INT(T$6/$X17)*$X$7-T16*($X$7+$Z17)*($Y17-1)-SUM($B18:S18))+IF($Y17&gt;1,IF(INT(T$6/$X17)&gt;0,$Z17-$AA17,0),-$AA17)</f>
        <v>0</v>
      </c>
      <c r="U18" s="603">
        <f>IF(INT(U$6/$X17)*$X$7&gt;U16*($X$7+$Z17)*$Y17,U16*($X$7+$Z17)-SUM($B18:T18),INT(U$6/$X17)*$X$7-U16*($X$7+$Z17)*($Y17-1)-SUM($B18:T18))+IF($Y17&gt;1,IF(INT(U$6/$X17)&gt;0,$Z17-$AA17,0),-$AA17)</f>
        <v>0</v>
      </c>
      <c r="V18" s="603">
        <f>IF(INT(V$6/$X17)*$X$7&gt;V16*($X$7+$Z17)*$Y17,V16*($X$7+$Z17)-SUM($B18:U18),INT(V$6/$X17)*$X$7-V16*($X$7+$Z17)*($Y17-1)-SUM($B18:U18))+IF($Y17&gt;1,IF(INT(V$6/$X17)&gt;0,$Z17-$AA17,0),-$AA17)</f>
        <v>0</v>
      </c>
      <c r="W18" s="681"/>
    </row>
    <row r="19" spans="1:28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681" t="s">
        <v>278</v>
      </c>
      <c r="X19" t="s">
        <v>278</v>
      </c>
    </row>
    <row r="20" spans="1:28" hidden="1">
      <c r="A20" s="140" t="s">
        <v>934</v>
      </c>
      <c r="B20" s="603"/>
      <c r="C20" s="140">
        <f t="shared" ref="C20:V20" si="8">INT((INT(C$6/$X21)*$X$7+$X$7+$Z21-1)/($X$7+$Z21)/$Y21)</f>
        <v>0</v>
      </c>
      <c r="D20" s="140">
        <f t="shared" si="8"/>
        <v>0</v>
      </c>
      <c r="E20" s="140">
        <f t="shared" si="8"/>
        <v>0</v>
      </c>
      <c r="F20" s="140">
        <f t="shared" si="8"/>
        <v>0</v>
      </c>
      <c r="G20" s="140">
        <f t="shared" si="8"/>
        <v>0</v>
      </c>
      <c r="H20" s="140">
        <f t="shared" si="8"/>
        <v>0</v>
      </c>
      <c r="I20" s="140">
        <f t="shared" si="8"/>
        <v>0</v>
      </c>
      <c r="J20" s="140">
        <f t="shared" si="8"/>
        <v>0</v>
      </c>
      <c r="K20" s="140">
        <f t="shared" si="8"/>
        <v>0</v>
      </c>
      <c r="L20" s="140">
        <f t="shared" si="8"/>
        <v>0</v>
      </c>
      <c r="M20" s="140">
        <f t="shared" si="8"/>
        <v>0</v>
      </c>
      <c r="N20" s="140">
        <f t="shared" si="8"/>
        <v>0</v>
      </c>
      <c r="O20" s="140">
        <f t="shared" si="8"/>
        <v>0</v>
      </c>
      <c r="P20" s="140">
        <f t="shared" si="8"/>
        <v>0</v>
      </c>
      <c r="Q20" s="140">
        <f t="shared" si="8"/>
        <v>0</v>
      </c>
      <c r="R20" s="140">
        <f t="shared" si="8"/>
        <v>0</v>
      </c>
      <c r="S20" s="140">
        <f t="shared" si="8"/>
        <v>0</v>
      </c>
      <c r="T20" s="140">
        <f t="shared" si="8"/>
        <v>0</v>
      </c>
      <c r="U20" s="140">
        <f t="shared" si="8"/>
        <v>0</v>
      </c>
      <c r="V20" s="140">
        <f t="shared" si="8"/>
        <v>0</v>
      </c>
    </row>
    <row r="21" spans="1:28">
      <c r="A21" s="140" t="s">
        <v>935</v>
      </c>
      <c r="B21" s="603" t="s">
        <v>278</v>
      </c>
      <c r="C21" s="603">
        <f>IF($Y21=1,0,$X$7*(INT(C$6/$X21)-INT(B$6/$X21))-IF(SUM($B21:B21)&gt;0,C22,0))</f>
        <v>0</v>
      </c>
      <c r="D21" s="603">
        <f>IF($Y21=1,0,$X$7*(INT(D$6/$X21)-INT(C$6/$X21))-IF(SUM($B21:C21)&gt;0,D22,0))</f>
        <v>0</v>
      </c>
      <c r="E21" s="603">
        <f>IF($Y21=1,0,$X$7*(INT(E$6/$X21)-INT(D$6/$X21))-IF(SUM($B21:D21)&gt;0,E22,0))</f>
        <v>0</v>
      </c>
      <c r="F21" s="603">
        <f>IF($Y21=1,0,$X$7*(INT(F$6/$X21)-INT(E$6/$X21))-IF(SUM($B21:E21)&gt;0,F22,0))</f>
        <v>0</v>
      </c>
      <c r="G21" s="603">
        <f>IF($Y21=1,0,$X$7*(INT(G$6/$X21)-INT(F$6/$X21))-IF(SUM($B21:F21)&gt;0,G22,0))</f>
        <v>0</v>
      </c>
      <c r="H21" s="603">
        <f>IF($Y21=1,0,$X$7*(INT(H$6/$X21)-INT(G$6/$X21))-IF(SUM($B21:G21)&gt;0,H22,0))</f>
        <v>0</v>
      </c>
      <c r="I21" s="603">
        <f>IF($Y21=1,0,$X$7*(INT(I$6/$X21)-INT(H$6/$X21))-IF(SUM($B21:H21)&gt;0,I22,0))</f>
        <v>0</v>
      </c>
      <c r="J21" s="603">
        <f>IF($Y21=1,0,$X$7*(INT(J$6/$X21)-INT(I$6/$X21))-IF(SUM($B21:I21)&gt;0,J22,0))</f>
        <v>0</v>
      </c>
      <c r="K21" s="603">
        <f>IF($Y21=1,0,$X$7*(INT(K$6/$X21)-INT(J$6/$X21))-IF(SUM($B21:J21)&gt;0,K22,0))</f>
        <v>0</v>
      </c>
      <c r="L21" s="603">
        <f>IF($Y21=1,0,$X$7*(INT(L$6/$X21)-INT(K$6/$X21))-IF(SUM($B21:K21)&gt;0,L22,0))</f>
        <v>0</v>
      </c>
      <c r="M21" s="603">
        <f>IF($Y21=1,0,$X$7*(INT(M$6/$X21)-INT(L$6/$X21))-IF(SUM($B21:L21)&gt;0,M22,0))</f>
        <v>0</v>
      </c>
      <c r="N21" s="603">
        <f>IF($Y21=1,0,$X$7*(INT(N$6/$X21)-INT(M$6/$X21))-IF(SUM($B21:M21)&gt;0,N22,0))</f>
        <v>0</v>
      </c>
      <c r="O21" s="603">
        <f>IF($Y21=1,0,$X$7*(INT(O$6/$X21)-INT(N$6/$X21))-IF(SUM($B21:N21)&gt;0,O22,0))</f>
        <v>0</v>
      </c>
      <c r="P21" s="603">
        <f>IF($Y21=1,0,$X$7*(INT(P$6/$X21)-INT(O$6/$X21))-IF(SUM($B21:O21)&gt;0,P22,0))</f>
        <v>0</v>
      </c>
      <c r="Q21" s="603">
        <f>IF($Y21=1,0,$X$7*(INT(Q$6/$X21)-INT(P$6/$X21))-IF(SUM($B21:P21)&gt;0,Q22,0))</f>
        <v>0</v>
      </c>
      <c r="R21" s="603">
        <f>IF($Y21=1,0,$X$7*(INT(R$6/$X21)-INT(Q$6/$X21))-IF(SUM($B21:Q21)&gt;0,R22,0))</f>
        <v>0</v>
      </c>
      <c r="S21" s="603">
        <f>IF($Y21=1,0,$X$7*(INT(S$6/$X21)-INT(R$6/$X21))-IF(SUM($B21:R21)&gt;0,S22,0))</f>
        <v>0</v>
      </c>
      <c r="T21" s="603">
        <f>IF($Y21=1,0,$X$7*(INT(T$6/$X21)-INT(S$6/$X21))-IF(SUM($B21:S21)&gt;0,T22,0))</f>
        <v>0</v>
      </c>
      <c r="U21" s="603">
        <f>IF($Y21=1,0,$X$7*(INT(U$6/$X21)-INT(T$6/$X21))-IF(SUM($B21:T21)&gt;0,U22,0))</f>
        <v>0</v>
      </c>
      <c r="V21" s="603">
        <f>IF($Y21=1,0,$X$7*(INT(V$6/$X21)-INT(U$6/$X21))-IF(SUM($B21:U21)&gt;0,V22,0))</f>
        <v>0</v>
      </c>
      <c r="W21" s="678" t="str">
        <f>'GT schd cost(6B)'!A16</f>
        <v>CROSSFIRE TUBES</v>
      </c>
      <c r="X21" s="678">
        <f>IF($AD$6=1,'GTDB(6B)'!B18,'GTDB(6B)'!H18)</f>
        <v>12000</v>
      </c>
      <c r="Y21" s="678">
        <f>IF($AD$6=1,'GTDB(6B)'!C18,'GTDB(6B)'!I18)</f>
        <v>3</v>
      </c>
      <c r="Z21" s="679">
        <v>2</v>
      </c>
      <c r="AA21" s="679">
        <f>'Initial_Spares(6B)'!$D$12</f>
        <v>0</v>
      </c>
      <c r="AB21" s="642">
        <f>'GT schd cost(6B)'!X16+'GT schd cost(6B)'!X39</f>
        <v>21</v>
      </c>
    </row>
    <row r="22" spans="1:28">
      <c r="A22" s="140" t="s">
        <v>936</v>
      </c>
      <c r="B22" s="603" t="s">
        <v>278</v>
      </c>
      <c r="C22" s="603">
        <f>IF(INT(C$6/$X21)*$X$7&gt;C20*($X$7+$Z21)*$Y21,C20*($X$7+$Z21)-SUM($B22:B22),INT(C$6/$X21)*$X$7-C20*($X$7+$Z21)*($Y21-1)-SUM($B22:B22))+IF($Y21&gt;1,IF(INT(C$6/$X21)&gt;0,$Z21-$AA21,0),-$AA21)</f>
        <v>0</v>
      </c>
      <c r="D22" s="603">
        <f>IF(INT(D$6/$X21)*$X$7&gt;D20*($X$7+$Z21)*$Y21,D20*($X$7+$Z21)-SUM($B22:C22),INT(D$6/$X21)*$X$7-D20*($X$7+$Z21)*($Y21-1)-SUM($B22:C22))+IF($Y21&gt;1,IF(INT(D$6/$X21)&gt;0,$Z21-$AA21,0),-$AA21)</f>
        <v>2</v>
      </c>
      <c r="E22" s="603">
        <f>IF(INT(E$6/$X21)*$X$7&gt;E20*($X$7+$Z21)*$Y21,E20*($X$7+$Z21)-SUM($B22:D22),INT(E$6/$X21)*$X$7-E20*($X$7+$Z21)*($Y21-1)-SUM($B22:D22))+IF($Y21&gt;1,IF(INT(E$6/$X21)&gt;0,$Z21-$AA21,0),-$AA21)</f>
        <v>0</v>
      </c>
      <c r="F22" s="603">
        <f>IF(INT(F$6/$X21)*$X$7&gt;F20*($X$7+$Z21)*$Y21,F20*($X$7+$Z21)-SUM($B22:E22),INT(F$6/$X21)*$X$7-F20*($X$7+$Z21)*($Y21-1)-SUM($B22:E22))+IF($Y21&gt;1,IF(INT(F$6/$X21)&gt;0,$Z21-$AA21,0),-$AA21)</f>
        <v>0</v>
      </c>
      <c r="G22" s="603">
        <f>IF(INT(G$6/$X21)*$X$7&gt;G20*($X$7+$Z21)*$Y21,G20*($X$7+$Z21)-SUM($B22:F22),INT(G$6/$X21)*$X$7-G20*($X$7+$Z21)*($Y21-1)-SUM($B22:F22))+IF($Y21&gt;1,IF(INT(G$6/$X21)&gt;0,$Z21-$AA21,0),-$AA21)</f>
        <v>0</v>
      </c>
      <c r="H22" s="603">
        <f>IF(INT(H$6/$X21)*$X$7&gt;H20*($X$7+$Z21)*$Y21,H20*($X$7+$Z21)-SUM($B22:G22),INT(H$6/$X21)*$X$7-H20*($X$7+$Z21)*($Y21-1)-SUM($B22:G22))+IF($Y21&gt;1,IF(INT(H$6/$X21)&gt;0,$Z21-$AA21,0),-$AA21)</f>
        <v>0</v>
      </c>
      <c r="I22" s="603">
        <f>IF(INT(I$6/$X21)*$X$7&gt;I20*($X$7+$Z21)*$Y21,I20*($X$7+$Z21)-SUM($B22:H22),INT(I$6/$X21)*$X$7-I20*($X$7+$Z21)*($Y21-1)-SUM($B22:H22))+IF($Y21&gt;1,IF(INT(I$6/$X21)&gt;0,$Z21-$AA21,0),-$AA21)</f>
        <v>0</v>
      </c>
      <c r="J22" s="603">
        <f>IF(INT(J$6/$X21)*$X$7&gt;J20*($X$7+$Z21)*$Y21,J20*($X$7+$Z21)-SUM($B22:I22),INT(J$6/$X21)*$X$7-J20*($X$7+$Z21)*($Y21-1)-SUM($B22:I22))+IF($Y21&gt;1,IF(INT(J$6/$X21)&gt;0,$Z21-$AA21,0),-$AA21)</f>
        <v>0</v>
      </c>
      <c r="K22" s="603">
        <f>IF(INT(K$6/$X21)*$X$7&gt;K20*($X$7+$Z21)*$Y21,K20*($X$7+$Z21)-SUM($B22:J22),INT(K$6/$X21)*$X$7-K20*($X$7+$Z21)*($Y21-1)-SUM($B22:J22))+IF($Y21&gt;1,IF(INT(K$6/$X21)&gt;0,$Z21-$AA21,0),-$AA21)</f>
        <v>0</v>
      </c>
      <c r="L22" s="603">
        <f>IF(INT(L$6/$X21)*$X$7&gt;L20*($X$7+$Z21)*$Y21,L20*($X$7+$Z21)-SUM($B22:K22),INT(L$6/$X21)*$X$7-L20*($X$7+$Z21)*($Y21-1)-SUM($B22:K22))+IF($Y21&gt;1,IF(INT(L$6/$X21)&gt;0,$Z21-$AA21,0),-$AA21)</f>
        <v>0</v>
      </c>
      <c r="M22" s="603">
        <f>IF(INT(M$6/$X21)*$X$7&gt;M20*($X$7+$Z21)*$Y21,M20*($X$7+$Z21)-SUM($B22:L22),INT(M$6/$X21)*$X$7-M20*($X$7+$Z21)*($Y21-1)-SUM($B22:L22))+IF($Y21&gt;1,IF(INT(M$6/$X21)&gt;0,$Z21-$AA21,0),-$AA21)</f>
        <v>0</v>
      </c>
      <c r="N22" s="603">
        <f>IF(INT(N$6/$X21)*$X$7&gt;N20*($X$7+$Z21)*$Y21,N20*($X$7+$Z21)-SUM($B22:M22),INT(N$6/$X21)*$X$7-N20*($X$7+$Z21)*($Y21-1)-SUM($B22:M22))+IF($Y21&gt;1,IF(INT(N$6/$X21)&gt;0,$Z21-$AA21,0),-$AA21)</f>
        <v>0</v>
      </c>
      <c r="O22" s="603">
        <f>IF(INT(O$6/$X21)*$X$7&gt;O20*($X$7+$Z21)*$Y21,O20*($X$7+$Z21)-SUM($B22:N22),INT(O$6/$X21)*$X$7-O20*($X$7+$Z21)*($Y21-1)-SUM($B22:N22))+IF($Y21&gt;1,IF(INT(O$6/$X21)&gt;0,$Z21-$AA21,0),-$AA21)</f>
        <v>0</v>
      </c>
      <c r="P22" s="603">
        <f>IF(INT(P$6/$X21)*$X$7&gt;P20*($X$7+$Z21)*$Y21,P20*($X$7+$Z21)-SUM($B22:O22),INT(P$6/$X21)*$X$7-P20*($X$7+$Z21)*($Y21-1)-SUM($B22:O22))+IF($Y21&gt;1,IF(INT(P$6/$X21)&gt;0,$Z21-$AA21,0),-$AA21)</f>
        <v>0</v>
      </c>
      <c r="Q22" s="603">
        <f>IF(INT(Q$6/$X21)*$X$7&gt;Q20*($X$7+$Z21)*$Y21,Q20*($X$7+$Z21)-SUM($B22:P22),INT(Q$6/$X21)*$X$7-Q20*($X$7+$Z21)*($Y21-1)-SUM($B22:P22))+IF($Y21&gt;1,IF(INT(Q$6/$X21)&gt;0,$Z21-$AA21,0),-$AA21)</f>
        <v>0</v>
      </c>
      <c r="R22" s="603">
        <f>IF(INT(R$6/$X21)*$X$7&gt;R20*($X$7+$Z21)*$Y21,R20*($X$7+$Z21)-SUM($B22:Q22),INT(R$6/$X21)*$X$7-R20*($X$7+$Z21)*($Y21-1)-SUM($B22:Q22))+IF($Y21&gt;1,IF(INT(R$6/$X21)&gt;0,$Z21-$AA21,0),-$AA21)</f>
        <v>0</v>
      </c>
      <c r="S22" s="603">
        <f>IF(INT(S$6/$X21)*$X$7&gt;S20*($X$7+$Z21)*$Y21,S20*($X$7+$Z21)-SUM($B22:R22),INT(S$6/$X21)*$X$7-S20*($X$7+$Z21)*($Y21-1)-SUM($B22:R22))+IF($Y21&gt;1,IF(INT(S$6/$X21)&gt;0,$Z21-$AA21,0),-$AA21)</f>
        <v>0</v>
      </c>
      <c r="T22" s="603">
        <f>IF(INT(T$6/$X21)*$X$7&gt;T20*($X$7+$Z21)*$Y21,T20*($X$7+$Z21)-SUM($B22:S22),INT(T$6/$X21)*$X$7-T20*($X$7+$Z21)*($Y21-1)-SUM($B22:S22))+IF($Y21&gt;1,IF(INT(T$6/$X21)&gt;0,$Z21-$AA21,0),-$AA21)</f>
        <v>0</v>
      </c>
      <c r="U22" s="603">
        <f>IF(INT(U$6/$X21)*$X$7&gt;U20*($X$7+$Z21)*$Y21,U20*($X$7+$Z21)-SUM($B22:T22),INT(U$6/$X21)*$X$7-U20*($X$7+$Z21)*($Y21-1)-SUM($B22:T22))+IF($Y21&gt;1,IF(INT(U$6/$X21)&gt;0,$Z21-$AA21,0),-$AA21)</f>
        <v>0</v>
      </c>
      <c r="V22" s="603">
        <f>IF(INT(V$6/$X21)*$X$7&gt;V20*($X$7+$Z21)*$Y21,V20*($X$7+$Z21)-SUM($B22:U22),INT(V$6/$X21)*$X$7-V20*($X$7+$Z21)*($Y21-1)-SUM($B22:U22))+IF($Y21&gt;1,IF(INT(V$6/$X21)&gt;0,$Z21-$AA21,0),-$AA21)</f>
        <v>0</v>
      </c>
      <c r="W22" s="681"/>
    </row>
    <row r="23" spans="1:28" s="102" customFormat="1">
      <c r="W23" s="663"/>
    </row>
    <row r="24" spans="1:28" s="102" customFormat="1" hidden="1">
      <c r="A24" s="140" t="s">
        <v>934</v>
      </c>
      <c r="B24" s="603"/>
      <c r="C24" s="140">
        <f t="shared" ref="C24:V24" si="9">INT((INT(C$6/$X25)*$X$7+$X$7+$Z25-1)/($X$7+$Z25)/$Y25)</f>
        <v>0</v>
      </c>
      <c r="D24" s="140">
        <f t="shared" si="9"/>
        <v>0</v>
      </c>
      <c r="E24" s="140">
        <f t="shared" si="9"/>
        <v>0</v>
      </c>
      <c r="F24" s="140">
        <f t="shared" si="9"/>
        <v>0</v>
      </c>
      <c r="G24" s="140">
        <f t="shared" si="9"/>
        <v>0</v>
      </c>
      <c r="H24" s="140">
        <f t="shared" si="9"/>
        <v>0</v>
      </c>
      <c r="I24" s="140">
        <f t="shared" si="9"/>
        <v>0</v>
      </c>
      <c r="J24" s="140">
        <f t="shared" si="9"/>
        <v>0</v>
      </c>
      <c r="K24" s="140">
        <f t="shared" si="9"/>
        <v>0</v>
      </c>
      <c r="L24" s="140">
        <f t="shared" si="9"/>
        <v>0</v>
      </c>
      <c r="M24" s="140">
        <f t="shared" si="9"/>
        <v>0</v>
      </c>
      <c r="N24" s="140">
        <f t="shared" si="9"/>
        <v>0</v>
      </c>
      <c r="O24" s="140">
        <f t="shared" si="9"/>
        <v>0</v>
      </c>
      <c r="P24" s="140">
        <f t="shared" si="9"/>
        <v>0</v>
      </c>
      <c r="Q24" s="140">
        <f t="shared" si="9"/>
        <v>0</v>
      </c>
      <c r="R24" s="140">
        <f t="shared" si="9"/>
        <v>0</v>
      </c>
      <c r="S24" s="140">
        <f t="shared" si="9"/>
        <v>0</v>
      </c>
      <c r="T24" s="140">
        <f t="shared" si="9"/>
        <v>0</v>
      </c>
      <c r="U24" s="140">
        <f t="shared" si="9"/>
        <v>0</v>
      </c>
      <c r="V24" s="140">
        <f t="shared" si="9"/>
        <v>0</v>
      </c>
    </row>
    <row r="25" spans="1:28" s="102" customFormat="1">
      <c r="A25" s="140" t="s">
        <v>935</v>
      </c>
      <c r="B25" s="603" t="s">
        <v>278</v>
      </c>
      <c r="C25" s="603">
        <f>IF($Y25=1,0,$X$7*(INT(C$6/$X25)-INT(B$6/$X25))-IF(SUM($B25:B25)&gt;0,C26,0))</f>
        <v>0</v>
      </c>
      <c r="D25" s="603">
        <f>IF($Y25=1,0,$X$7*(INT(D$6/$X25)-INT(C$6/$X25))-IF(SUM($B25:C25)&gt;0,D26,0))</f>
        <v>0</v>
      </c>
      <c r="E25" s="603">
        <f>IF($Y25=1,0,$X$7*(INT(E$6/$X25)-INT(D$6/$X25))-IF(SUM($B25:D25)&gt;0,E26,0))</f>
        <v>0</v>
      </c>
      <c r="F25" s="603">
        <f>IF($Y25=1,0,$X$7*(INT(F$6/$X25)-INT(E$6/$X25))-IF(SUM($B25:E25)&gt;0,F26,0))</f>
        <v>0</v>
      </c>
      <c r="G25" s="603">
        <f>IF($Y25=1,0,$X$7*(INT(G$6/$X25)-INT(F$6/$X25))-IF(SUM($B25:F25)&gt;0,G26,0))</f>
        <v>0</v>
      </c>
      <c r="H25" s="603">
        <f>IF($Y25=1,0,$X$7*(INT(H$6/$X25)-INT(G$6/$X25))-IF(SUM($B25:G25)&gt;0,H26,0))</f>
        <v>0</v>
      </c>
      <c r="I25" s="603">
        <f>IF($Y25=1,0,$X$7*(INT(I$6/$X25)-INT(H$6/$X25))-IF(SUM($B25:H25)&gt;0,I26,0))</f>
        <v>0</v>
      </c>
      <c r="J25" s="603">
        <f>IF($Y25=1,0,$X$7*(INT(J$6/$X25)-INT(I$6/$X25))-IF(SUM($B25:I25)&gt;0,J26,0))</f>
        <v>0</v>
      </c>
      <c r="K25" s="603">
        <f>IF($Y25=1,0,$X$7*(INT(K$6/$X25)-INT(J$6/$X25))-IF(SUM($B25:J25)&gt;0,K26,0))</f>
        <v>0</v>
      </c>
      <c r="L25" s="603">
        <f>IF($Y25=1,0,$X$7*(INT(L$6/$X25)-INT(K$6/$X25))-IF(SUM($B25:K25)&gt;0,L26,0))</f>
        <v>0</v>
      </c>
      <c r="M25" s="603">
        <f>IF($Y25=1,0,$X$7*(INT(M$6/$X25)-INT(L$6/$X25))-IF(SUM($B25:L25)&gt;0,M26,0))</f>
        <v>0</v>
      </c>
      <c r="N25" s="603">
        <f>IF($Y25=1,0,$X$7*(INT(N$6/$X25)-INT(M$6/$X25))-IF(SUM($B25:M25)&gt;0,N26,0))</f>
        <v>0</v>
      </c>
      <c r="O25" s="603">
        <f>IF($Y25=1,0,$X$7*(INT(O$6/$X25)-INT(N$6/$X25))-IF(SUM($B25:N25)&gt;0,O26,0))</f>
        <v>0</v>
      </c>
      <c r="P25" s="603">
        <f>IF($Y25=1,0,$X$7*(INT(P$6/$X25)-INT(O$6/$X25))-IF(SUM($B25:O25)&gt;0,P26,0))</f>
        <v>0</v>
      </c>
      <c r="Q25" s="603">
        <f>IF($Y25=1,0,$X$7*(INT(Q$6/$X25)-INT(P$6/$X25))-IF(SUM($B25:P25)&gt;0,Q26,0))</f>
        <v>0</v>
      </c>
      <c r="R25" s="603">
        <f>IF($Y25=1,0,$X$7*(INT(R$6/$X25)-INT(Q$6/$X25))-IF(SUM($B25:Q25)&gt;0,R26,0))</f>
        <v>0</v>
      </c>
      <c r="S25" s="603">
        <f>IF($Y25=1,0,$X$7*(INT(S$6/$X25)-INT(R$6/$X25))-IF(SUM($B25:R25)&gt;0,S26,0))</f>
        <v>0</v>
      </c>
      <c r="T25" s="603">
        <f>IF($Y25=1,0,$X$7*(INT(T$6/$X25)-INT(S$6/$X25))-IF(SUM($B25:S25)&gt;0,T26,0))</f>
        <v>0</v>
      </c>
      <c r="U25" s="603">
        <f>IF($Y25=1,0,$X$7*(INT(U$6/$X25)-INT(T$6/$X25))-IF(SUM($B25:T25)&gt;0,U26,0))</f>
        <v>0</v>
      </c>
      <c r="V25" s="603">
        <f>IF($Y25=1,0,$X$7*(INT(V$6/$X25)-INT(U$6/$X25))-IF(SUM($B25:U25)&gt;0,V26,0))</f>
        <v>0</v>
      </c>
      <c r="W25" s="678" t="str">
        <f>'GT schd cost(6B)'!A17</f>
        <v>COMBUSTION LINERS</v>
      </c>
      <c r="X25" s="678">
        <f>IF($AD$6=1,'GTDB(6B)'!B19,'GTDB(6B)'!H19)</f>
        <v>12000</v>
      </c>
      <c r="Y25" s="678">
        <f>IF($AD$6=1,'GTDB(6B)'!C19,'GTDB(6B)'!I19)</f>
        <v>5</v>
      </c>
      <c r="Z25" s="679">
        <v>1</v>
      </c>
      <c r="AA25" s="654">
        <f>'Initial_Spares(6B)'!$D$13</f>
        <v>0</v>
      </c>
      <c r="AB25" s="642">
        <f>'GT schd cost(6B)'!X17+'GT schd cost(6B)'!X40</f>
        <v>87</v>
      </c>
    </row>
    <row r="26" spans="1:28" s="102" customFormat="1">
      <c r="A26" s="140" t="s">
        <v>936</v>
      </c>
      <c r="B26" s="603" t="s">
        <v>278</v>
      </c>
      <c r="C26" s="603">
        <f>IF(INT(C$6/$X25)*$X$7&gt;C24*($X$7+$Z25)*$Y25,C24*($X$7+$Z25)-SUM($B26:B26),INT(C$6/$X25)*$X$7-C24*($X$7+$Z25)*($Y25-1)-SUM($B26:B26))+IF($Y25&gt;1,IF(INT(C$6/$X25)&gt;0,$Z25-$AA25,0),-$AA25)</f>
        <v>0</v>
      </c>
      <c r="D26" s="603">
        <f>IF(INT(D$6/$X25)*$X$7&gt;D24*($X$7+$Z25)*$Y25,D24*($X$7+$Z25)-SUM($B26:C26),INT(D$6/$X25)*$X$7-D24*($X$7+$Z25)*($Y25-1)-SUM($B26:C26))+IF($Y25&gt;1,IF(INT(D$6/$X25)&gt;0,$Z25-$AA25,0),-$AA25)</f>
        <v>1</v>
      </c>
      <c r="E26" s="603">
        <f>IF(INT(E$6/$X25)*$X$7&gt;E24*($X$7+$Z25)*$Y25,E24*($X$7+$Z25)-SUM($B26:D26),INT(E$6/$X25)*$X$7-E24*($X$7+$Z25)*($Y25-1)-SUM($B26:D26))+IF($Y25&gt;1,IF(INT(E$6/$X25)&gt;0,$Z25-$AA25,0),-$AA25)</f>
        <v>0</v>
      </c>
      <c r="F26" s="603">
        <f>IF(INT(F$6/$X25)*$X$7&gt;F24*($X$7+$Z25)*$Y25,F24*($X$7+$Z25)-SUM($B26:E26),INT(F$6/$X25)*$X$7-F24*($X$7+$Z25)*($Y25-1)-SUM($B26:E26))+IF($Y25&gt;1,IF(INT(F$6/$X25)&gt;0,$Z25-$AA25,0),-$AA25)</f>
        <v>0</v>
      </c>
      <c r="G26" s="603">
        <f>IF(INT(G$6/$X25)*$X$7&gt;G24*($X$7+$Z25)*$Y25,G24*($X$7+$Z25)-SUM($B26:F26),INT(G$6/$X25)*$X$7-G24*($X$7+$Z25)*($Y25-1)-SUM($B26:F26))+IF($Y25&gt;1,IF(INT(G$6/$X25)&gt;0,$Z25-$AA25,0),-$AA25)</f>
        <v>0</v>
      </c>
      <c r="H26" s="603">
        <f>IF(INT(H$6/$X25)*$X$7&gt;H24*($X$7+$Z25)*$Y25,H24*($X$7+$Z25)-SUM($B26:G26),INT(H$6/$X25)*$X$7-H24*($X$7+$Z25)*($Y25-1)-SUM($B26:G26))+IF($Y25&gt;1,IF(INT(H$6/$X25)&gt;0,$Z25-$AA25,0),-$AA25)</f>
        <v>0</v>
      </c>
      <c r="I26" s="603">
        <f>IF(INT(I$6/$X25)*$X$7&gt;I24*($X$7+$Z25)*$Y25,I24*($X$7+$Z25)-SUM($B26:H26),INT(I$6/$X25)*$X$7-I24*($X$7+$Z25)*($Y25-1)-SUM($B26:H26))+IF($Y25&gt;1,IF(INT(I$6/$X25)&gt;0,$Z25-$AA25,0),-$AA25)</f>
        <v>0</v>
      </c>
      <c r="J26" s="603">
        <f>IF(INT(J$6/$X25)*$X$7&gt;J24*($X$7+$Z25)*$Y25,J24*($X$7+$Z25)-SUM($B26:I26),INT(J$6/$X25)*$X$7-J24*($X$7+$Z25)*($Y25-1)-SUM($B26:I26))+IF($Y25&gt;1,IF(INT(J$6/$X25)&gt;0,$Z25-$AA25,0),-$AA25)</f>
        <v>0</v>
      </c>
      <c r="K26" s="603">
        <f>IF(INT(K$6/$X25)*$X$7&gt;K24*($X$7+$Z25)*$Y25,K24*($X$7+$Z25)-SUM($B26:J26),INT(K$6/$X25)*$X$7-K24*($X$7+$Z25)*($Y25-1)-SUM($B26:J26))+IF($Y25&gt;1,IF(INT(K$6/$X25)&gt;0,$Z25-$AA25,0),-$AA25)</f>
        <v>0</v>
      </c>
      <c r="L26" s="603">
        <f>IF(INT(L$6/$X25)*$X$7&gt;L24*($X$7+$Z25)*$Y25,L24*($X$7+$Z25)-SUM($B26:K26),INT(L$6/$X25)*$X$7-L24*($X$7+$Z25)*($Y25-1)-SUM($B26:K26))+IF($Y25&gt;1,IF(INT(L$6/$X25)&gt;0,$Z25-$AA25,0),-$AA25)</f>
        <v>0</v>
      </c>
      <c r="M26" s="603">
        <f>IF(INT(M$6/$X25)*$X$7&gt;M24*($X$7+$Z25)*$Y25,M24*($X$7+$Z25)-SUM($B26:L26),INT(M$6/$X25)*$X$7-M24*($X$7+$Z25)*($Y25-1)-SUM($B26:L26))+IF($Y25&gt;1,IF(INT(M$6/$X25)&gt;0,$Z25-$AA25,0),-$AA25)</f>
        <v>0</v>
      </c>
      <c r="N26" s="603">
        <f>IF(INT(N$6/$X25)*$X$7&gt;N24*($X$7+$Z25)*$Y25,N24*($X$7+$Z25)-SUM($B26:M26),INT(N$6/$X25)*$X$7-N24*($X$7+$Z25)*($Y25-1)-SUM($B26:M26))+IF($Y25&gt;1,IF(INT(N$6/$X25)&gt;0,$Z25-$AA25,0),-$AA25)</f>
        <v>0</v>
      </c>
      <c r="O26" s="603">
        <f>IF(INT(O$6/$X25)*$X$7&gt;O24*($X$7+$Z25)*$Y25,O24*($X$7+$Z25)-SUM($B26:N26),INT(O$6/$X25)*$X$7-O24*($X$7+$Z25)*($Y25-1)-SUM($B26:N26))+IF($Y25&gt;1,IF(INT(O$6/$X25)&gt;0,$Z25-$AA25,0),-$AA25)</f>
        <v>0</v>
      </c>
      <c r="P26" s="603">
        <f>IF(INT(P$6/$X25)*$X$7&gt;P24*($X$7+$Z25)*$Y25,P24*($X$7+$Z25)-SUM($B26:O26),INT(P$6/$X25)*$X$7-P24*($X$7+$Z25)*($Y25-1)-SUM($B26:O26))+IF($Y25&gt;1,IF(INT(P$6/$X25)&gt;0,$Z25-$AA25,0),-$AA25)</f>
        <v>0</v>
      </c>
      <c r="Q26" s="603">
        <f>IF(INT(Q$6/$X25)*$X$7&gt;Q24*($X$7+$Z25)*$Y25,Q24*($X$7+$Z25)-SUM($B26:P26),INT(Q$6/$X25)*$X$7-Q24*($X$7+$Z25)*($Y25-1)-SUM($B26:P26))+IF($Y25&gt;1,IF(INT(Q$6/$X25)&gt;0,$Z25-$AA25,0),-$AA25)</f>
        <v>0</v>
      </c>
      <c r="R26" s="603">
        <f>IF(INT(R$6/$X25)*$X$7&gt;R24*($X$7+$Z25)*$Y25,R24*($X$7+$Z25)-SUM($B26:Q26),INT(R$6/$X25)*$X$7-R24*($X$7+$Z25)*($Y25-1)-SUM($B26:Q26))+IF($Y25&gt;1,IF(INT(R$6/$X25)&gt;0,$Z25-$AA25,0),-$AA25)</f>
        <v>0</v>
      </c>
      <c r="S26" s="603">
        <f>IF(INT(S$6/$X25)*$X$7&gt;S24*($X$7+$Z25)*$Y25,S24*($X$7+$Z25)-SUM($B26:R26),INT(S$6/$X25)*$X$7-S24*($X$7+$Z25)*($Y25-1)-SUM($B26:R26))+IF($Y25&gt;1,IF(INT(S$6/$X25)&gt;0,$Z25-$AA25,0),-$AA25)</f>
        <v>0</v>
      </c>
      <c r="T26" s="603">
        <f>IF(INT(T$6/$X25)*$X$7&gt;T24*($X$7+$Z25)*$Y25,T24*($X$7+$Z25)-SUM($B26:S26),INT(T$6/$X25)*$X$7-T24*($X$7+$Z25)*($Y25-1)-SUM($B26:S26))+IF($Y25&gt;1,IF(INT(T$6/$X25)&gt;0,$Z25-$AA25,0),-$AA25)</f>
        <v>0</v>
      </c>
      <c r="U26" s="603">
        <f>IF(INT(U$6/$X25)*$X$7&gt;U24*($X$7+$Z25)*$Y25,U24*($X$7+$Z25)-SUM($B26:T26),INT(U$6/$X25)*$X$7-U24*($X$7+$Z25)*($Y25-1)-SUM($B26:T26))+IF($Y25&gt;1,IF(INT(U$6/$X25)&gt;0,$Z25-$AA25,0),-$AA25)</f>
        <v>0</v>
      </c>
      <c r="V26" s="603">
        <f>IF(INT(V$6/$X25)*$X$7&gt;V24*($X$7+$Z25)*$Y25,V24*($X$7+$Z25)-SUM($B26:U26),INT(V$6/$X25)*$X$7-V24*($X$7+$Z25)*($Y25-1)-SUM($B26:U26))+IF($Y25&gt;1,IF(INT(V$6/$X25)&gt;0,$Z25-$AA25,0),-$AA25)</f>
        <v>0</v>
      </c>
      <c r="W26" s="681"/>
      <c r="X26"/>
      <c r="Y26"/>
      <c r="Z26"/>
    </row>
    <row r="27" spans="1:28" s="102" customFormat="1">
      <c r="B27" s="615"/>
      <c r="C27" s="615"/>
      <c r="D27" s="615"/>
      <c r="E27" s="615"/>
      <c r="F27" s="615"/>
      <c r="G27" s="615"/>
      <c r="H27" s="615"/>
      <c r="I27" s="682"/>
      <c r="J27" s="615"/>
      <c r="K27" s="615"/>
      <c r="W27" s="663"/>
    </row>
    <row r="28" spans="1:28" s="102" customFormat="1" hidden="1">
      <c r="A28" s="140" t="s">
        <v>934</v>
      </c>
      <c r="B28" s="603"/>
      <c r="C28" s="140">
        <f t="shared" ref="C28:V28" si="10">INT((INT(C$6/$X29)*$X$7+$X$7+$Z29-1)/($X$7+$Z29)/$Y29)</f>
        <v>0</v>
      </c>
      <c r="D28" s="140">
        <f t="shared" si="10"/>
        <v>0</v>
      </c>
      <c r="E28" s="140">
        <f t="shared" si="10"/>
        <v>0</v>
      </c>
      <c r="F28" s="140">
        <f t="shared" si="10"/>
        <v>0</v>
      </c>
      <c r="G28" s="140">
        <f t="shared" si="10"/>
        <v>0</v>
      </c>
      <c r="H28" s="140">
        <f t="shared" si="10"/>
        <v>0</v>
      </c>
      <c r="I28" s="140">
        <f t="shared" si="10"/>
        <v>0</v>
      </c>
      <c r="J28" s="140">
        <f t="shared" si="10"/>
        <v>0</v>
      </c>
      <c r="K28" s="140">
        <f t="shared" si="10"/>
        <v>0</v>
      </c>
      <c r="L28" s="140">
        <f t="shared" si="10"/>
        <v>0</v>
      </c>
      <c r="M28" s="140">
        <f t="shared" si="10"/>
        <v>0</v>
      </c>
      <c r="N28" s="140">
        <f t="shared" si="10"/>
        <v>0</v>
      </c>
      <c r="O28" s="140">
        <f t="shared" si="10"/>
        <v>0</v>
      </c>
      <c r="P28" s="140">
        <f t="shared" si="10"/>
        <v>0</v>
      </c>
      <c r="Q28" s="140">
        <f t="shared" si="10"/>
        <v>0</v>
      </c>
      <c r="R28" s="140">
        <f t="shared" si="10"/>
        <v>0</v>
      </c>
      <c r="S28" s="140">
        <f t="shared" si="10"/>
        <v>0</v>
      </c>
      <c r="T28" s="140">
        <f t="shared" si="10"/>
        <v>0</v>
      </c>
      <c r="U28" s="140">
        <f t="shared" si="10"/>
        <v>0</v>
      </c>
      <c r="V28" s="140">
        <f t="shared" si="10"/>
        <v>0</v>
      </c>
    </row>
    <row r="29" spans="1:28" s="102" customFormat="1">
      <c r="A29" s="140" t="s">
        <v>935</v>
      </c>
      <c r="B29" s="603" t="s">
        <v>278</v>
      </c>
      <c r="C29" s="603">
        <f>IF($Y29=1,0,$X$7*(INT(C$6/$X29)-INT(B$6/$X29))-IF(SUM($B29:B29)&gt;0,C30,0))</f>
        <v>0</v>
      </c>
      <c r="D29" s="603">
        <f>IF($Y29=1,0,$X$7*(INT(D$6/$X29)-INT(C$6/$X29))-IF(SUM($B29:C29)&gt;0,D30,0))</f>
        <v>0</v>
      </c>
      <c r="E29" s="603">
        <f>IF($Y29=1,0,$X$7*(INT(E$6/$X29)-INT(D$6/$X29))-IF(SUM($B29:D29)&gt;0,E30,0))</f>
        <v>0</v>
      </c>
      <c r="F29" s="603">
        <f>IF($Y29=1,0,$X$7*(INT(F$6/$X29)-INT(E$6/$X29))-IF(SUM($B29:E29)&gt;0,F30,0))</f>
        <v>0</v>
      </c>
      <c r="G29" s="603">
        <f>IF($Y29=1,0,$X$7*(INT(G$6/$X29)-INT(F$6/$X29))-IF(SUM($B29:F29)&gt;0,G30,0))</f>
        <v>0</v>
      </c>
      <c r="H29" s="603">
        <f>IF($Y29=1,0,$X$7*(INT(H$6/$X29)-INT(G$6/$X29))-IF(SUM($B29:G29)&gt;0,H30,0))</f>
        <v>0</v>
      </c>
      <c r="I29" s="603">
        <f>IF($Y29=1,0,$X$7*(INT(I$6/$X29)-INT(H$6/$X29))-IF(SUM($B29:H29)&gt;0,I30,0))</f>
        <v>0</v>
      </c>
      <c r="J29" s="603">
        <f>IF($Y29=1,0,$X$7*(INT(J$6/$X29)-INT(I$6/$X29))-IF(SUM($B29:I29)&gt;0,J30,0))</f>
        <v>0</v>
      </c>
      <c r="K29" s="603">
        <f>IF($Y29=1,0,$X$7*(INT(K$6/$X29)-INT(J$6/$X29))-IF(SUM($B29:J29)&gt;0,K30,0))</f>
        <v>0</v>
      </c>
      <c r="L29" s="603">
        <f>IF($Y29=1,0,$X$7*(INT(L$6/$X29)-INT(K$6/$X29))-IF(SUM($B29:K29)&gt;0,L30,0))</f>
        <v>0</v>
      </c>
      <c r="M29" s="603">
        <f>IF($Y29=1,0,$X$7*(INT(M$6/$X29)-INT(L$6/$X29))-IF(SUM($B29:L29)&gt;0,M30,0))</f>
        <v>0</v>
      </c>
      <c r="N29" s="603">
        <f>IF($Y29=1,0,$X$7*(INT(N$6/$X29)-INT(M$6/$X29))-IF(SUM($B29:M29)&gt;0,N30,0))</f>
        <v>0</v>
      </c>
      <c r="O29" s="603">
        <f>IF($Y29=1,0,$X$7*(INT(O$6/$X29)-INT(N$6/$X29))-IF(SUM($B29:N29)&gt;0,O30,0))</f>
        <v>0</v>
      </c>
      <c r="P29" s="603">
        <f>IF($Y29=1,0,$X$7*(INT(P$6/$X29)-INT(O$6/$X29))-IF(SUM($B29:O29)&gt;0,P30,0))</f>
        <v>0</v>
      </c>
      <c r="Q29" s="603">
        <f>IF($Y29=1,0,$X$7*(INT(Q$6/$X29)-INT(P$6/$X29))-IF(SUM($B29:P29)&gt;0,Q30,0))</f>
        <v>0</v>
      </c>
      <c r="R29" s="603">
        <f>IF($Y29=1,0,$X$7*(INT(R$6/$X29)-INT(Q$6/$X29))-IF(SUM($B29:Q29)&gt;0,R30,0))</f>
        <v>0</v>
      </c>
      <c r="S29" s="603">
        <f>IF($Y29=1,0,$X$7*(INT(S$6/$X29)-INT(R$6/$X29))-IF(SUM($B29:R29)&gt;0,S30,0))</f>
        <v>0</v>
      </c>
      <c r="T29" s="603">
        <f>IF($Y29=1,0,$X$7*(INT(T$6/$X29)-INT(S$6/$X29))-IF(SUM($B29:S29)&gt;0,T30,0))</f>
        <v>0</v>
      </c>
      <c r="U29" s="603">
        <f>IF($Y29=1,0,$X$7*(INT(U$6/$X29)-INT(T$6/$X29))-IF(SUM($B29:T29)&gt;0,U30,0))</f>
        <v>0</v>
      </c>
      <c r="V29" s="603">
        <f>IF($Y29=1,0,$X$7*(INT(V$6/$X29)-INT(U$6/$X29))-IF(SUM($B29:U29)&gt;0,V30,0))</f>
        <v>0</v>
      </c>
      <c r="W29" s="678" t="str">
        <f xml:space="preserve"> 'GT schd cost(6B)'!A18</f>
        <v>TRANSITION PIECES</v>
      </c>
      <c r="X29" s="678">
        <f>IF($AD$6=1,'GTDB(6B)'!B20,'GTDB(6B)'!H20)</f>
        <v>12000</v>
      </c>
      <c r="Y29" s="678">
        <f>IF($AD$6=1,'GTDB(6B)'!C20,'GTDB(6B)'!I20)</f>
        <v>6</v>
      </c>
      <c r="Z29" s="679">
        <v>1</v>
      </c>
      <c r="AA29" s="654">
        <f>'Initial_Spares(6B)'!$D$14</f>
        <v>0</v>
      </c>
      <c r="AB29" s="642">
        <f>'GT schd cost(6B)'!X18+'GT schd cost(6B)'!X41</f>
        <v>127</v>
      </c>
    </row>
    <row r="30" spans="1:28" s="102" customFormat="1">
      <c r="A30" s="140" t="s">
        <v>936</v>
      </c>
      <c r="B30" s="603" t="s">
        <v>278</v>
      </c>
      <c r="C30" s="603">
        <f>IF(INT(C$6/$X29)*$X$7&gt;C28*($X$7+$Z29)*$Y29,C28*($X$7+$Z29)-SUM($B30:B30),INT(C$6/$X29)*$X$7-C28*($X$7+$Z29)*($Y29-1)-SUM($B30:B30))+IF($Y29&gt;1,IF(INT(C$6/$X29)&gt;0,$Z29-$AA29,0),-$AA29)</f>
        <v>0</v>
      </c>
      <c r="D30" s="603">
        <f>IF(INT(D$6/$X29)*$X$7&gt;D28*($X$7+$Z29)*$Y29,D28*($X$7+$Z29)-SUM($B30:C30),INT(D$6/$X29)*$X$7-D28*($X$7+$Z29)*($Y29-1)-SUM($B30:C30))+IF($Y29&gt;1,IF(INT(D$6/$X29)&gt;0,$Z29-$AA29,0),-$AA29)</f>
        <v>1</v>
      </c>
      <c r="E30" s="603">
        <f>IF(INT(E$6/$X29)*$X$7&gt;E28*($X$7+$Z29)*$Y29,E28*($X$7+$Z29)-SUM($B30:D30),INT(E$6/$X29)*$X$7-E28*($X$7+$Z29)*($Y29-1)-SUM($B30:D30))+IF($Y29&gt;1,IF(INT(E$6/$X29)&gt;0,$Z29-$AA29,0),-$AA29)</f>
        <v>0</v>
      </c>
      <c r="F30" s="603">
        <f>IF(INT(F$6/$X29)*$X$7&gt;F28*($X$7+$Z29)*$Y29,F28*($X$7+$Z29)-SUM($B30:E30),INT(F$6/$X29)*$X$7-F28*($X$7+$Z29)*($Y29-1)-SUM($B30:E30))+IF($Y29&gt;1,IF(INT(F$6/$X29)&gt;0,$Z29-$AA29,0),-$AA29)</f>
        <v>0</v>
      </c>
      <c r="G30" s="603">
        <f>IF(INT(G$6/$X29)*$X$7&gt;G28*($X$7+$Z29)*$Y29,G28*($X$7+$Z29)-SUM($B30:F30),INT(G$6/$X29)*$X$7-G28*($X$7+$Z29)*($Y29-1)-SUM($B30:F30))+IF($Y29&gt;1,IF(INT(G$6/$X29)&gt;0,$Z29-$AA29,0),-$AA29)</f>
        <v>0</v>
      </c>
      <c r="H30" s="603">
        <f>IF(INT(H$6/$X29)*$X$7&gt;H28*($X$7+$Z29)*$Y29,H28*($X$7+$Z29)-SUM($B30:G30),INT(H$6/$X29)*$X$7-H28*($X$7+$Z29)*($Y29-1)-SUM($B30:G30))+IF($Y29&gt;1,IF(INT(H$6/$X29)&gt;0,$Z29-$AA29,0),-$AA29)</f>
        <v>0</v>
      </c>
      <c r="I30" s="603">
        <f>IF(INT(I$6/$X29)*$X$7&gt;I28*($X$7+$Z29)*$Y29,I28*($X$7+$Z29)-SUM($B30:H30),INT(I$6/$X29)*$X$7-I28*($X$7+$Z29)*($Y29-1)-SUM($B30:H30))+IF($Y29&gt;1,IF(INT(I$6/$X29)&gt;0,$Z29-$AA29,0),-$AA29)</f>
        <v>0</v>
      </c>
      <c r="J30" s="603">
        <f>IF(INT(J$6/$X29)*$X$7&gt;J28*($X$7+$Z29)*$Y29,J28*($X$7+$Z29)-SUM($B30:I30),INT(J$6/$X29)*$X$7-J28*($X$7+$Z29)*($Y29-1)-SUM($B30:I30))+IF($Y29&gt;1,IF(INT(J$6/$X29)&gt;0,$Z29-$AA29,0),-$AA29)</f>
        <v>0</v>
      </c>
      <c r="K30" s="603">
        <f>IF(INT(K$6/$X29)*$X$7&gt;K28*($X$7+$Z29)*$Y29,K28*($X$7+$Z29)-SUM($B30:J30),INT(K$6/$X29)*$X$7-K28*($X$7+$Z29)*($Y29-1)-SUM($B30:J30))+IF($Y29&gt;1,IF(INT(K$6/$X29)&gt;0,$Z29-$AA29,0),-$AA29)</f>
        <v>0</v>
      </c>
      <c r="L30" s="603">
        <f>IF(INT(L$6/$X29)*$X$7&gt;L28*($X$7+$Z29)*$Y29,L28*($X$7+$Z29)-SUM($B30:K30),INT(L$6/$X29)*$X$7-L28*($X$7+$Z29)*($Y29-1)-SUM($B30:K30))+IF($Y29&gt;1,IF(INT(L$6/$X29)&gt;0,$Z29-$AA29,0),-$AA29)</f>
        <v>0</v>
      </c>
      <c r="M30" s="603">
        <f>IF(INT(M$6/$X29)*$X$7&gt;M28*($X$7+$Z29)*$Y29,M28*($X$7+$Z29)-SUM($B30:L30),INT(M$6/$X29)*$X$7-M28*($X$7+$Z29)*($Y29-1)-SUM($B30:L30))+IF($Y29&gt;1,IF(INT(M$6/$X29)&gt;0,$Z29-$AA29,0),-$AA29)</f>
        <v>0</v>
      </c>
      <c r="N30" s="603">
        <f>IF(INT(N$6/$X29)*$X$7&gt;N28*($X$7+$Z29)*$Y29,N28*($X$7+$Z29)-SUM($B30:M30),INT(N$6/$X29)*$X$7-N28*($X$7+$Z29)*($Y29-1)-SUM($B30:M30))+IF($Y29&gt;1,IF(INT(N$6/$X29)&gt;0,$Z29-$AA29,0),-$AA29)</f>
        <v>0</v>
      </c>
      <c r="O30" s="603">
        <f>IF(INT(O$6/$X29)*$X$7&gt;O28*($X$7+$Z29)*$Y29,O28*($X$7+$Z29)-SUM($B30:N30),INT(O$6/$X29)*$X$7-O28*($X$7+$Z29)*($Y29-1)-SUM($B30:N30))+IF($Y29&gt;1,IF(INT(O$6/$X29)&gt;0,$Z29-$AA29,0),-$AA29)</f>
        <v>0</v>
      </c>
      <c r="P30" s="603">
        <f>IF(INT(P$6/$X29)*$X$7&gt;P28*($X$7+$Z29)*$Y29,P28*($X$7+$Z29)-SUM($B30:O30),INT(P$6/$X29)*$X$7-P28*($X$7+$Z29)*($Y29-1)-SUM($B30:O30))+IF($Y29&gt;1,IF(INT(P$6/$X29)&gt;0,$Z29-$AA29,0),-$AA29)</f>
        <v>0</v>
      </c>
      <c r="Q30" s="603">
        <f>IF(INT(Q$6/$X29)*$X$7&gt;Q28*($X$7+$Z29)*$Y29,Q28*($X$7+$Z29)-SUM($B30:P30),INT(Q$6/$X29)*$X$7-Q28*($X$7+$Z29)*($Y29-1)-SUM($B30:P30))+IF($Y29&gt;1,IF(INT(Q$6/$X29)&gt;0,$Z29-$AA29,0),-$AA29)</f>
        <v>0</v>
      </c>
      <c r="R30" s="603">
        <f>IF(INT(R$6/$X29)*$X$7&gt;R28*($X$7+$Z29)*$Y29,R28*($X$7+$Z29)-SUM($B30:Q30),INT(R$6/$X29)*$X$7-R28*($X$7+$Z29)*($Y29-1)-SUM($B30:Q30))+IF($Y29&gt;1,IF(INT(R$6/$X29)&gt;0,$Z29-$AA29,0),-$AA29)</f>
        <v>0</v>
      </c>
      <c r="S30" s="603">
        <f>IF(INT(S$6/$X29)*$X$7&gt;S28*($X$7+$Z29)*$Y29,S28*($X$7+$Z29)-SUM($B30:R30),INT(S$6/$X29)*$X$7-S28*($X$7+$Z29)*($Y29-1)-SUM($B30:R30))+IF($Y29&gt;1,IF(INT(S$6/$X29)&gt;0,$Z29-$AA29,0),-$AA29)</f>
        <v>0</v>
      </c>
      <c r="T30" s="603">
        <f>IF(INT(T$6/$X29)*$X$7&gt;T28*($X$7+$Z29)*$Y29,T28*($X$7+$Z29)-SUM($B30:S30),INT(T$6/$X29)*$X$7-T28*($X$7+$Z29)*($Y29-1)-SUM($B30:S30))+IF($Y29&gt;1,IF(INT(T$6/$X29)&gt;0,$Z29-$AA29,0),-$AA29)</f>
        <v>0</v>
      </c>
      <c r="U30" s="603">
        <f>IF(INT(U$6/$X29)*$X$7&gt;U28*($X$7+$Z29)*$Y29,U28*($X$7+$Z29)-SUM($B30:T30),INT(U$6/$X29)*$X$7-U28*($X$7+$Z29)*($Y29-1)-SUM($B30:T30))+IF($Y29&gt;1,IF(INT(U$6/$X29)&gt;0,$Z29-$AA29,0),-$AA29)</f>
        <v>0</v>
      </c>
      <c r="V30" s="603">
        <f>IF(INT(V$6/$X29)*$X$7&gt;V28*($X$7+$Z29)*$Y29,V28*($X$7+$Z29)-SUM($B30:U30),INT(V$6/$X29)*$X$7-V28*($X$7+$Z29)*($Y29-1)-SUM($B30:U30))+IF($Y29&gt;1,IF(INT(V$6/$X29)&gt;0,$Z29-$AA29,0),-$AA29)</f>
        <v>0</v>
      </c>
      <c r="W30" s="681"/>
      <c r="X30"/>
      <c r="Y30"/>
      <c r="Z30"/>
    </row>
    <row r="31" spans="1:28" s="102" customFormat="1">
      <c r="W31" s="663"/>
    </row>
    <row r="32" spans="1:28" s="102" customFormat="1" hidden="1">
      <c r="A32" s="140" t="s">
        <v>934</v>
      </c>
      <c r="B32" s="603"/>
      <c r="C32" s="140">
        <f t="shared" ref="C32:V32" si="11">INT((INT(C$6/$X33)*$X$7+$X$7+$Z33-1)/($X$7+$Z33)/$Y33)</f>
        <v>0</v>
      </c>
      <c r="D32" s="140">
        <f t="shared" si="11"/>
        <v>0</v>
      </c>
      <c r="E32" s="140">
        <f t="shared" si="11"/>
        <v>0</v>
      </c>
      <c r="F32" s="140">
        <f t="shared" si="11"/>
        <v>0</v>
      </c>
      <c r="G32" s="140">
        <f t="shared" si="11"/>
        <v>0</v>
      </c>
      <c r="H32" s="140">
        <f t="shared" si="11"/>
        <v>0</v>
      </c>
      <c r="I32" s="140">
        <f t="shared" si="11"/>
        <v>0</v>
      </c>
      <c r="J32" s="140">
        <f t="shared" si="11"/>
        <v>0</v>
      </c>
      <c r="K32" s="140">
        <f t="shared" si="11"/>
        <v>0</v>
      </c>
      <c r="L32" s="140">
        <f t="shared" si="11"/>
        <v>0</v>
      </c>
      <c r="M32" s="140">
        <f t="shared" si="11"/>
        <v>0</v>
      </c>
      <c r="N32" s="140">
        <f t="shared" si="11"/>
        <v>0</v>
      </c>
      <c r="O32" s="140">
        <f t="shared" si="11"/>
        <v>0</v>
      </c>
      <c r="P32" s="140">
        <f t="shared" si="11"/>
        <v>0</v>
      </c>
      <c r="Q32" s="140">
        <f t="shared" si="11"/>
        <v>0</v>
      </c>
      <c r="R32" s="140">
        <f t="shared" si="11"/>
        <v>0</v>
      </c>
      <c r="S32" s="140">
        <f t="shared" si="11"/>
        <v>0</v>
      </c>
      <c r="T32" s="140">
        <f t="shared" si="11"/>
        <v>0</v>
      </c>
      <c r="U32" s="140">
        <f t="shared" si="11"/>
        <v>0</v>
      </c>
      <c r="V32" s="140">
        <f t="shared" si="11"/>
        <v>0</v>
      </c>
    </row>
    <row r="33" spans="1:28" s="102" customFormat="1">
      <c r="A33" s="140" t="s">
        <v>935</v>
      </c>
      <c r="B33" s="603" t="s">
        <v>278</v>
      </c>
      <c r="C33" s="603">
        <f>IF($Y33=1,0,$X$7*(INT(C$6/$X33)-INT(B$6/$X33))-IF(SUM($B33:B33)&gt;0,C34,0))</f>
        <v>0</v>
      </c>
      <c r="D33" s="603">
        <f>IF($Y33=1,0,$X$7*(INT(D$6/$X33)-INT(C$6/$X33))-IF(SUM($B33:C33)&gt;0,D34,0))</f>
        <v>0</v>
      </c>
      <c r="E33" s="603">
        <f>IF($Y33=1,0,$X$7*(INT(E$6/$X33)-INT(D$6/$X33))-IF(SUM($B33:D33)&gt;0,E34,0))</f>
        <v>0</v>
      </c>
      <c r="F33" s="603">
        <f>IF($Y33=1,0,$X$7*(INT(F$6/$X33)-INT(E$6/$X33))-IF(SUM($B33:E33)&gt;0,F34,0))</f>
        <v>0</v>
      </c>
      <c r="G33" s="603">
        <f>IF($Y33=1,0,$X$7*(INT(G$6/$X33)-INT(F$6/$X33))-IF(SUM($B33:F33)&gt;0,G34,0))</f>
        <v>0</v>
      </c>
      <c r="H33" s="603">
        <f>IF($Y33=1,0,$X$7*(INT(H$6/$X33)-INT(G$6/$X33))-IF(SUM($B33:G33)&gt;0,H34,0))</f>
        <v>0</v>
      </c>
      <c r="I33" s="603">
        <f>IF($Y33=1,0,$X$7*(INT(I$6/$X33)-INT(H$6/$X33))-IF(SUM($B33:H33)&gt;0,I34,0))</f>
        <v>0</v>
      </c>
      <c r="J33" s="603">
        <f>IF($Y33=1,0,$X$7*(INT(J$6/$X33)-INT(I$6/$X33))-IF(SUM($B33:I33)&gt;0,J34,0))</f>
        <v>0</v>
      </c>
      <c r="K33" s="603">
        <f>IF($Y33=1,0,$X$7*(INT(K$6/$X33)-INT(J$6/$X33))-IF(SUM($B33:J33)&gt;0,K34,0))</f>
        <v>0</v>
      </c>
      <c r="L33" s="603">
        <f>IF($Y33=1,0,$X$7*(INT(L$6/$X33)-INT(K$6/$X33))-IF(SUM($B33:K33)&gt;0,L34,0))</f>
        <v>0</v>
      </c>
      <c r="M33" s="603">
        <f>IF($Y33=1,0,$X$7*(INT(M$6/$X33)-INT(L$6/$X33))-IF(SUM($B33:L33)&gt;0,M34,0))</f>
        <v>0</v>
      </c>
      <c r="N33" s="603">
        <f>IF($Y33=1,0,$X$7*(INT(N$6/$X33)-INT(M$6/$X33))-IF(SUM($B33:M33)&gt;0,N34,0))</f>
        <v>0</v>
      </c>
      <c r="O33" s="603">
        <f>IF($Y33=1,0,$X$7*(INT(O$6/$X33)-INT(N$6/$X33))-IF(SUM($B33:N33)&gt;0,O34,0))</f>
        <v>0</v>
      </c>
      <c r="P33" s="603">
        <f>IF($Y33=1,0,$X$7*(INT(P$6/$X33)-INT(O$6/$X33))-IF(SUM($B33:O33)&gt;0,P34,0))</f>
        <v>0</v>
      </c>
      <c r="Q33" s="603">
        <f>IF($Y33=1,0,$X$7*(INT(Q$6/$X33)-INT(P$6/$X33))-IF(SUM($B33:P33)&gt;0,Q34,0))</f>
        <v>0</v>
      </c>
      <c r="R33" s="603">
        <f>IF($Y33=1,0,$X$7*(INT(R$6/$X33)-INT(Q$6/$X33))-IF(SUM($B33:Q33)&gt;0,R34,0))</f>
        <v>0</v>
      </c>
      <c r="S33" s="603">
        <f>IF($Y33=1,0,$X$7*(INT(S$6/$X33)-INT(R$6/$X33))-IF(SUM($B33:R33)&gt;0,S34,0))</f>
        <v>0</v>
      </c>
      <c r="T33" s="603">
        <f>IF($Y33=1,0,$X$7*(INT(T$6/$X33)-INT(S$6/$X33))-IF(SUM($B33:S33)&gt;0,T34,0))</f>
        <v>0</v>
      </c>
      <c r="U33" s="603">
        <f>IF($Y33=1,0,$X$7*(INT(U$6/$X33)-INT(T$6/$X33))-IF(SUM($B33:T33)&gt;0,U34,0))</f>
        <v>0</v>
      </c>
      <c r="V33" s="603">
        <f>IF($Y33=1,0,$X$7*(INT(V$6/$X33)-INT(U$6/$X33))-IF(SUM($B33:U33)&gt;0,V34,0))</f>
        <v>0</v>
      </c>
      <c r="W33" s="678" t="str">
        <f xml:space="preserve"> 'GT schd cost(6B)'!A19</f>
        <v>1ST STAGE BUCKETS</v>
      </c>
      <c r="X33" s="678">
        <f>IF($AD$6=1,'GTDB(6B)'!B21,'GTDB(6B)'!H21)</f>
        <v>24000</v>
      </c>
      <c r="Y33" s="678">
        <f>IF($AD$6=1,'GTDB(6B)'!C21,'GTDB(6B)'!I21)</f>
        <v>2</v>
      </c>
      <c r="Z33" s="679">
        <v>2</v>
      </c>
      <c r="AA33" s="654">
        <f>'Initial_Spares(6B)'!$D$15</f>
        <v>0</v>
      </c>
      <c r="AB33" s="642">
        <f>'GT schd cost(6B)'!X19+'GT schd cost(6B)'!X42</f>
        <v>750</v>
      </c>
    </row>
    <row r="34" spans="1:28" s="102" customFormat="1">
      <c r="A34" s="140" t="s">
        <v>936</v>
      </c>
      <c r="B34" s="603" t="s">
        <v>278</v>
      </c>
      <c r="C34" s="603">
        <f>IF(INT(C$6/$X33)*$X$7&gt;C32*($X$7+$Z33)*$Y33,C32*($X$7+$Z33)-SUM($B34:B34),INT(C$6/$X33)*$X$7-C32*($X$7+$Z33)*($Y33-1)-SUM($B34:B34))+IF($Y33&gt;1,IF(INT(C$6/$X33)&gt;0,$Z33-$AA33,0),-$AA33)</f>
        <v>0</v>
      </c>
      <c r="D34" s="603">
        <f>IF(INT(D$6/$X33)*$X$7&gt;D32*($X$7+$Z33)*$Y33,D32*($X$7+$Z33)-SUM($B34:C34),INT(D$6/$X33)*$X$7-D32*($X$7+$Z33)*($Y33-1)-SUM($B34:C34))+IF($Y33&gt;1,IF(INT(D$6/$X33)&gt;0,$Z33-$AA33,0),-$AA33)</f>
        <v>0</v>
      </c>
      <c r="E34" s="603">
        <f>IF(INT(E$6/$X33)*$X$7&gt;E32*($X$7+$Z33)*$Y33,E32*($X$7+$Z33)-SUM($B34:D34),INT(E$6/$X33)*$X$7-E32*($X$7+$Z33)*($Y33-1)-SUM($B34:D34))+IF($Y33&gt;1,IF(INT(E$6/$X33)&gt;0,$Z33-$AA33,0),-$AA33)</f>
        <v>2</v>
      </c>
      <c r="F34" s="603">
        <f>IF(INT(F$6/$X33)*$X$7&gt;F32*($X$7+$Z33)*$Y33,F32*($X$7+$Z33)-SUM($B34:E34),INT(F$6/$X33)*$X$7-F32*($X$7+$Z33)*($Y33-1)-SUM($B34:E34))+IF($Y33&gt;1,IF(INT(F$6/$X33)&gt;0,$Z33-$AA33,0),-$AA33)</f>
        <v>0</v>
      </c>
      <c r="G34" s="603">
        <f>IF(INT(G$6/$X33)*$X$7&gt;G32*($X$7+$Z33)*$Y33,G32*($X$7+$Z33)-SUM($B34:F34),INT(G$6/$X33)*$X$7-G32*($X$7+$Z33)*($Y33-1)-SUM($B34:F34))+IF($Y33&gt;1,IF(INT(G$6/$X33)&gt;0,$Z33-$AA33,0),-$AA33)</f>
        <v>0</v>
      </c>
      <c r="H34" s="603">
        <f>IF(INT(H$6/$X33)*$X$7&gt;H32*($X$7+$Z33)*$Y33,H32*($X$7+$Z33)-SUM($B34:G34),INT(H$6/$X33)*$X$7-H32*($X$7+$Z33)*($Y33-1)-SUM($B34:G34))+IF($Y33&gt;1,IF(INT(H$6/$X33)&gt;0,$Z33-$AA33,0),-$AA33)</f>
        <v>0</v>
      </c>
      <c r="I34" s="603">
        <f>IF(INT(I$6/$X33)*$X$7&gt;I32*($X$7+$Z33)*$Y33,I32*($X$7+$Z33)-SUM($B34:H34),INT(I$6/$X33)*$X$7-I32*($X$7+$Z33)*($Y33-1)-SUM($B34:H34))+IF($Y33&gt;1,IF(INT(I$6/$X33)&gt;0,$Z33-$AA33,0),-$AA33)</f>
        <v>0</v>
      </c>
      <c r="J34" s="603">
        <f>IF(INT(J$6/$X33)*$X$7&gt;J32*($X$7+$Z33)*$Y33,J32*($X$7+$Z33)-SUM($B34:I34),INT(J$6/$X33)*$X$7-J32*($X$7+$Z33)*($Y33-1)-SUM($B34:I34))+IF($Y33&gt;1,IF(INT(J$6/$X33)&gt;0,$Z33-$AA33,0),-$AA33)</f>
        <v>0</v>
      </c>
      <c r="K34" s="603">
        <f>IF(INT(K$6/$X33)*$X$7&gt;K32*($X$7+$Z33)*$Y33,K32*($X$7+$Z33)-SUM($B34:J34),INT(K$6/$X33)*$X$7-K32*($X$7+$Z33)*($Y33-1)-SUM($B34:J34))+IF($Y33&gt;1,IF(INT(K$6/$X33)&gt;0,$Z33-$AA33,0),-$AA33)</f>
        <v>0</v>
      </c>
      <c r="L34" s="603">
        <f>IF(INT(L$6/$X33)*$X$7&gt;L32*($X$7+$Z33)*$Y33,L32*($X$7+$Z33)-SUM($B34:K34),INT(L$6/$X33)*$X$7-L32*($X$7+$Z33)*($Y33-1)-SUM($B34:K34))+IF($Y33&gt;1,IF(INT(L$6/$X33)&gt;0,$Z33-$AA33,0),-$AA33)</f>
        <v>0</v>
      </c>
      <c r="M34" s="603">
        <f>IF(INT(M$6/$X33)*$X$7&gt;M32*($X$7+$Z33)*$Y33,M32*($X$7+$Z33)-SUM($B34:L34),INT(M$6/$X33)*$X$7-M32*($X$7+$Z33)*($Y33-1)-SUM($B34:L34))+IF($Y33&gt;1,IF(INT(M$6/$X33)&gt;0,$Z33-$AA33,0),-$AA33)</f>
        <v>0</v>
      </c>
      <c r="N34" s="603">
        <f>IF(INT(N$6/$X33)*$X$7&gt;N32*($X$7+$Z33)*$Y33,N32*($X$7+$Z33)-SUM($B34:M34),INT(N$6/$X33)*$X$7-N32*($X$7+$Z33)*($Y33-1)-SUM($B34:M34))+IF($Y33&gt;1,IF(INT(N$6/$X33)&gt;0,$Z33-$AA33,0),-$AA33)</f>
        <v>0</v>
      </c>
      <c r="O34" s="603">
        <f>IF(INT(O$6/$X33)*$X$7&gt;O32*($X$7+$Z33)*$Y33,O32*($X$7+$Z33)-SUM($B34:N34),INT(O$6/$X33)*$X$7-O32*($X$7+$Z33)*($Y33-1)-SUM($B34:N34))+IF($Y33&gt;1,IF(INT(O$6/$X33)&gt;0,$Z33-$AA33,0),-$AA33)</f>
        <v>0</v>
      </c>
      <c r="P34" s="603">
        <f>IF(INT(P$6/$X33)*$X$7&gt;P32*($X$7+$Z33)*$Y33,P32*($X$7+$Z33)-SUM($B34:O34),INT(P$6/$X33)*$X$7-P32*($X$7+$Z33)*($Y33-1)-SUM($B34:O34))+IF($Y33&gt;1,IF(INT(P$6/$X33)&gt;0,$Z33-$AA33,0),-$AA33)</f>
        <v>0</v>
      </c>
      <c r="Q34" s="603">
        <f>IF(INT(Q$6/$X33)*$X$7&gt;Q32*($X$7+$Z33)*$Y33,Q32*($X$7+$Z33)-SUM($B34:P34),INT(Q$6/$X33)*$X$7-Q32*($X$7+$Z33)*($Y33-1)-SUM($B34:P34))+IF($Y33&gt;1,IF(INT(Q$6/$X33)&gt;0,$Z33-$AA33,0),-$AA33)</f>
        <v>0</v>
      </c>
      <c r="R34" s="603">
        <f>IF(INT(R$6/$X33)*$X$7&gt;R32*($X$7+$Z33)*$Y33,R32*($X$7+$Z33)-SUM($B34:Q34),INT(R$6/$X33)*$X$7-R32*($X$7+$Z33)*($Y33-1)-SUM($B34:Q34))+IF($Y33&gt;1,IF(INT(R$6/$X33)&gt;0,$Z33-$AA33,0),-$AA33)</f>
        <v>0</v>
      </c>
      <c r="S34" s="603">
        <f>IF(INT(S$6/$X33)*$X$7&gt;S32*($X$7+$Z33)*$Y33,S32*($X$7+$Z33)-SUM($B34:R34),INT(S$6/$X33)*$X$7-S32*($X$7+$Z33)*($Y33-1)-SUM($B34:R34))+IF($Y33&gt;1,IF(INT(S$6/$X33)&gt;0,$Z33-$AA33,0),-$AA33)</f>
        <v>0</v>
      </c>
      <c r="T34" s="603">
        <f>IF(INT(T$6/$X33)*$X$7&gt;T32*($X$7+$Z33)*$Y33,T32*($X$7+$Z33)-SUM($B34:S34),INT(T$6/$X33)*$X$7-T32*($X$7+$Z33)*($Y33-1)-SUM($B34:S34))+IF($Y33&gt;1,IF(INT(T$6/$X33)&gt;0,$Z33-$AA33,0),-$AA33)</f>
        <v>0</v>
      </c>
      <c r="U34" s="603">
        <f>IF(INT(U$6/$X33)*$X$7&gt;U32*($X$7+$Z33)*$Y33,U32*($X$7+$Z33)-SUM($B34:T34),INT(U$6/$X33)*$X$7-U32*($X$7+$Z33)*($Y33-1)-SUM($B34:T34))+IF($Y33&gt;1,IF(INT(U$6/$X33)&gt;0,$Z33-$AA33,0),-$AA33)</f>
        <v>0</v>
      </c>
      <c r="V34" s="603">
        <f>IF(INT(V$6/$X33)*$X$7&gt;V32*($X$7+$Z33)*$Y33,V32*($X$7+$Z33)-SUM($B34:U34),INT(V$6/$X33)*$X$7-V32*($X$7+$Z33)*($Y33-1)-SUM($B34:U34))+IF($Y33&gt;1,IF(INT(V$6/$X33)&gt;0,$Z33-$AA33,0),-$AA33)</f>
        <v>0</v>
      </c>
      <c r="W34" s="681"/>
      <c r="X34"/>
      <c r="Y34"/>
      <c r="Z34"/>
    </row>
    <row r="35" spans="1:28" s="102" customFormat="1">
      <c r="B35" s="615"/>
      <c r="C35" s="615"/>
      <c r="D35" s="615"/>
      <c r="E35" s="615"/>
      <c r="F35" s="615"/>
      <c r="G35" s="615"/>
      <c r="H35" s="615"/>
      <c r="I35" s="615"/>
      <c r="J35" s="615"/>
      <c r="K35" s="615"/>
      <c r="W35" s="663"/>
    </row>
    <row r="36" spans="1:28" s="102" customFormat="1" hidden="1">
      <c r="A36" s="140" t="s">
        <v>934</v>
      </c>
      <c r="B36" s="603"/>
      <c r="C36" s="140">
        <f t="shared" ref="C36:V36" si="12">INT((INT(C$6/$X37)*$X$7+$X$7+$Z37-1)/($X$7+$Z37)/$Y37)</f>
        <v>0</v>
      </c>
      <c r="D36" s="140">
        <f t="shared" si="12"/>
        <v>0</v>
      </c>
      <c r="E36" s="140">
        <f t="shared" si="12"/>
        <v>0</v>
      </c>
      <c r="F36" s="140">
        <f t="shared" si="12"/>
        <v>0</v>
      </c>
      <c r="G36" s="140">
        <f t="shared" si="12"/>
        <v>0</v>
      </c>
      <c r="H36" s="140">
        <f t="shared" si="12"/>
        <v>0</v>
      </c>
      <c r="I36" s="140">
        <f t="shared" si="12"/>
        <v>0</v>
      </c>
      <c r="J36" s="140">
        <f t="shared" si="12"/>
        <v>0</v>
      </c>
      <c r="K36" s="140">
        <f t="shared" si="12"/>
        <v>0</v>
      </c>
      <c r="L36" s="140">
        <f t="shared" si="12"/>
        <v>0</v>
      </c>
      <c r="M36" s="140">
        <f t="shared" si="12"/>
        <v>0</v>
      </c>
      <c r="N36" s="140">
        <f t="shared" si="12"/>
        <v>0</v>
      </c>
      <c r="O36" s="140">
        <f t="shared" si="12"/>
        <v>0</v>
      </c>
      <c r="P36" s="140">
        <f t="shared" si="12"/>
        <v>0</v>
      </c>
      <c r="Q36" s="140">
        <f t="shared" si="12"/>
        <v>0</v>
      </c>
      <c r="R36" s="140">
        <f t="shared" si="12"/>
        <v>0</v>
      </c>
      <c r="S36" s="140">
        <f t="shared" si="12"/>
        <v>0</v>
      </c>
      <c r="T36" s="140">
        <f t="shared" si="12"/>
        <v>0</v>
      </c>
      <c r="U36" s="140">
        <f t="shared" si="12"/>
        <v>0</v>
      </c>
      <c r="V36" s="140">
        <f t="shared" si="12"/>
        <v>0</v>
      </c>
    </row>
    <row r="37" spans="1:28" s="102" customFormat="1">
      <c r="A37" s="140" t="s">
        <v>935</v>
      </c>
      <c r="B37" s="603" t="s">
        <v>278</v>
      </c>
      <c r="C37" s="603">
        <f>IF($Y37=1,0,$X$7*(INT(C$6/$X37)-INT(B$6/$X37))-IF(SUM($B37:B37)&gt;0,C38,0))</f>
        <v>0</v>
      </c>
      <c r="D37" s="603">
        <f>IF($Y37=1,0,$X$7*(INT(D$6/$X37)-INT(C$6/$X37))-IF(SUM($B37:C37)&gt;0,D38,0))</f>
        <v>0</v>
      </c>
      <c r="E37" s="603">
        <f>IF($Y37=1,0,$X$7*(INT(E$6/$X37)-INT(D$6/$X37))-IF(SUM($B37:D37)&gt;0,E38,0))</f>
        <v>0</v>
      </c>
      <c r="F37" s="603">
        <f>IF($Y37=1,0,$X$7*(INT(F$6/$X37)-INT(E$6/$X37))-IF(SUM($B37:E37)&gt;0,F38,0))</f>
        <v>0</v>
      </c>
      <c r="G37" s="603">
        <f>IF($Y37=1,0,$X$7*(INT(G$6/$X37)-INT(F$6/$X37))-IF(SUM($B37:F37)&gt;0,G38,0))</f>
        <v>0</v>
      </c>
      <c r="H37" s="603">
        <f>IF($Y37=1,0,$X$7*(INT(H$6/$X37)-INT(G$6/$X37))-IF(SUM($B37:G37)&gt;0,H38,0))</f>
        <v>0</v>
      </c>
      <c r="I37" s="603">
        <f>IF($Y37=1,0,$X$7*(INT(I$6/$X37)-INT(H$6/$X37))-IF(SUM($B37:H37)&gt;0,I38,0))</f>
        <v>0</v>
      </c>
      <c r="J37" s="603">
        <f>IF($Y37=1,0,$X$7*(INT(J$6/$X37)-INT(I$6/$X37))-IF(SUM($B37:I37)&gt;0,J38,0))</f>
        <v>0</v>
      </c>
      <c r="K37" s="603">
        <f>IF($Y37=1,0,$X$7*(INT(K$6/$X37)-INT(J$6/$X37))-IF(SUM($B37:J37)&gt;0,K38,0))</f>
        <v>0</v>
      </c>
      <c r="L37" s="603">
        <f>IF($Y37=1,0,$X$7*(INT(L$6/$X37)-INT(K$6/$X37))-IF(SUM($B37:K37)&gt;0,L38,0))</f>
        <v>0</v>
      </c>
      <c r="M37" s="603">
        <f>IF($Y37=1,0,$X$7*(INT(M$6/$X37)-INT(L$6/$X37))-IF(SUM($B37:L37)&gt;0,M38,0))</f>
        <v>0</v>
      </c>
      <c r="N37" s="603">
        <f>IF($Y37=1,0,$X$7*(INT(N$6/$X37)-INT(M$6/$X37))-IF(SUM($B37:M37)&gt;0,N38,0))</f>
        <v>0</v>
      </c>
      <c r="O37" s="603">
        <f>IF($Y37=1,0,$X$7*(INT(O$6/$X37)-INT(N$6/$X37))-IF(SUM($B37:N37)&gt;0,O38,0))</f>
        <v>0</v>
      </c>
      <c r="P37" s="603">
        <f>IF($Y37=1,0,$X$7*(INT(P$6/$X37)-INT(O$6/$X37))-IF(SUM($B37:O37)&gt;0,P38,0))</f>
        <v>0</v>
      </c>
      <c r="Q37" s="603">
        <f>IF($Y37=1,0,$X$7*(INT(Q$6/$X37)-INT(P$6/$X37))-IF(SUM($B37:P37)&gt;0,Q38,0))</f>
        <v>0</v>
      </c>
      <c r="R37" s="603">
        <f>IF($Y37=1,0,$X$7*(INT(R$6/$X37)-INT(Q$6/$X37))-IF(SUM($B37:Q37)&gt;0,R38,0))</f>
        <v>0</v>
      </c>
      <c r="S37" s="603">
        <f>IF($Y37=1,0,$X$7*(INT(S$6/$X37)-INT(R$6/$X37))-IF(SUM($B37:R37)&gt;0,S38,0))</f>
        <v>0</v>
      </c>
      <c r="T37" s="603">
        <f>IF($Y37=1,0,$X$7*(INT(T$6/$X37)-INT(S$6/$X37))-IF(SUM($B37:S37)&gt;0,T38,0))</f>
        <v>0</v>
      </c>
      <c r="U37" s="603">
        <f>IF($Y37=1,0,$X$7*(INT(U$6/$X37)-INT(T$6/$X37))-IF(SUM($B37:T37)&gt;0,U38,0))</f>
        <v>0</v>
      </c>
      <c r="V37" s="603">
        <f>IF($Y37=1,0,$X$7*(INT(V$6/$X37)-INT(U$6/$X37))-IF(SUM($B37:U37)&gt;0,V38,0))</f>
        <v>0</v>
      </c>
      <c r="W37" s="678" t="str">
        <f xml:space="preserve"> 'GT schd cost(6B)'!A20</f>
        <v>2ND STAGE BUCKETS</v>
      </c>
      <c r="X37" s="678">
        <f>IF($AD$6=1,'GTDB(6B)'!B22,'GTDB(6B)'!H22)</f>
        <v>24000</v>
      </c>
      <c r="Y37" s="678">
        <f>IF($AD$6=1,'GTDB(6B)'!C22,'GTDB(6B)'!I22)</f>
        <v>3</v>
      </c>
      <c r="Z37" s="679">
        <v>1</v>
      </c>
      <c r="AA37" s="654">
        <f>'Initial_Spares(6B)'!$D$16</f>
        <v>0</v>
      </c>
      <c r="AB37" s="642">
        <f>'GT schd cost(6B)'!X20+'GT schd cost(6B)'!X43</f>
        <v>275</v>
      </c>
    </row>
    <row r="38" spans="1:28" s="102" customFormat="1">
      <c r="A38" s="140" t="s">
        <v>936</v>
      </c>
      <c r="B38" s="603" t="s">
        <v>278</v>
      </c>
      <c r="C38" s="603">
        <f>IF(INT(C$6/$X37)*$X$7&gt;C36*($X$7+$Z37)*$Y37,C36*($X$7+$Z37)-SUM($B38:B38),INT(C$6/$X37)*$X$7-C36*($X$7+$Z37)*($Y37-1)-SUM($B38:B38))+IF($Y37&gt;1,IF(INT(C$6/$X37)&gt;0,$Z37-$AA37,0),-$AA37)</f>
        <v>0</v>
      </c>
      <c r="D38" s="603">
        <f>IF(INT(D$6/$X37)*$X$7&gt;D36*($X$7+$Z37)*$Y37,D36*($X$7+$Z37)-SUM($B38:C38),INT(D$6/$X37)*$X$7-D36*($X$7+$Z37)*($Y37-1)-SUM($B38:C38))+IF($Y37&gt;1,IF(INT(D$6/$X37)&gt;0,$Z37-$AA37,0),-$AA37)</f>
        <v>0</v>
      </c>
      <c r="E38" s="603">
        <f>IF(INT(E$6/$X37)*$X$7&gt;E36*($X$7+$Z37)*$Y37,E36*($X$7+$Z37)-SUM($B38:D38),INT(E$6/$X37)*$X$7-E36*($X$7+$Z37)*($Y37-1)-SUM($B38:D38))+IF($Y37&gt;1,IF(INT(E$6/$X37)&gt;0,$Z37-$AA37,0),-$AA37)</f>
        <v>1</v>
      </c>
      <c r="F38" s="603">
        <f>IF(INT(F$6/$X37)*$X$7&gt;F36*($X$7+$Z37)*$Y37,F36*($X$7+$Z37)-SUM($B38:E38),INT(F$6/$X37)*$X$7-F36*($X$7+$Z37)*($Y37-1)-SUM($B38:E38))+IF($Y37&gt;1,IF(INT(F$6/$X37)&gt;0,$Z37-$AA37,0),-$AA37)</f>
        <v>0</v>
      </c>
      <c r="G38" s="603">
        <f>IF(INT(G$6/$X37)*$X$7&gt;G36*($X$7+$Z37)*$Y37,G36*($X$7+$Z37)-SUM($B38:F38),INT(G$6/$X37)*$X$7-G36*($X$7+$Z37)*($Y37-1)-SUM($B38:F38))+IF($Y37&gt;1,IF(INT(G$6/$X37)&gt;0,$Z37-$AA37,0),-$AA37)</f>
        <v>0</v>
      </c>
      <c r="H38" s="603">
        <f>IF(INT(H$6/$X37)*$X$7&gt;H36*($X$7+$Z37)*$Y37,H36*($X$7+$Z37)-SUM($B38:G38),INT(H$6/$X37)*$X$7-H36*($X$7+$Z37)*($Y37-1)-SUM($B38:G38))+IF($Y37&gt;1,IF(INT(H$6/$X37)&gt;0,$Z37-$AA37,0),-$AA37)</f>
        <v>0</v>
      </c>
      <c r="I38" s="603">
        <f>IF(INT(I$6/$X37)*$X$7&gt;I36*($X$7+$Z37)*$Y37,I36*($X$7+$Z37)-SUM($B38:H38),INT(I$6/$X37)*$X$7-I36*($X$7+$Z37)*($Y37-1)-SUM($B38:H38))+IF($Y37&gt;1,IF(INT(I$6/$X37)&gt;0,$Z37-$AA37,0),-$AA37)</f>
        <v>0</v>
      </c>
      <c r="J38" s="603">
        <f>IF(INT(J$6/$X37)*$X$7&gt;J36*($X$7+$Z37)*$Y37,J36*($X$7+$Z37)-SUM($B38:I38),INT(J$6/$X37)*$X$7-J36*($X$7+$Z37)*($Y37-1)-SUM($B38:I38))+IF($Y37&gt;1,IF(INT(J$6/$X37)&gt;0,$Z37-$AA37,0),-$AA37)</f>
        <v>0</v>
      </c>
      <c r="K38" s="603">
        <f>IF(INT(K$6/$X37)*$X$7&gt;K36*($X$7+$Z37)*$Y37,K36*($X$7+$Z37)-SUM($B38:J38),INT(K$6/$X37)*$X$7-K36*($X$7+$Z37)*($Y37-1)-SUM($B38:J38))+IF($Y37&gt;1,IF(INT(K$6/$X37)&gt;0,$Z37-$AA37,0),-$AA37)</f>
        <v>0</v>
      </c>
      <c r="L38" s="603">
        <f>IF(INT(L$6/$X37)*$X$7&gt;L36*($X$7+$Z37)*$Y37,L36*($X$7+$Z37)-SUM($B38:K38),INT(L$6/$X37)*$X$7-L36*($X$7+$Z37)*($Y37-1)-SUM($B38:K38))+IF($Y37&gt;1,IF(INT(L$6/$X37)&gt;0,$Z37-$AA37,0),-$AA37)</f>
        <v>0</v>
      </c>
      <c r="M38" s="603">
        <f>IF(INT(M$6/$X37)*$X$7&gt;M36*($X$7+$Z37)*$Y37,M36*($X$7+$Z37)-SUM($B38:L38),INT(M$6/$X37)*$X$7-M36*($X$7+$Z37)*($Y37-1)-SUM($B38:L38))+IF($Y37&gt;1,IF(INT(M$6/$X37)&gt;0,$Z37-$AA37,0),-$AA37)</f>
        <v>0</v>
      </c>
      <c r="N38" s="603">
        <f>IF(INT(N$6/$X37)*$X$7&gt;N36*($X$7+$Z37)*$Y37,N36*($X$7+$Z37)-SUM($B38:M38),INT(N$6/$X37)*$X$7-N36*($X$7+$Z37)*($Y37-1)-SUM($B38:M38))+IF($Y37&gt;1,IF(INT(N$6/$X37)&gt;0,$Z37-$AA37,0),-$AA37)</f>
        <v>0</v>
      </c>
      <c r="O38" s="603">
        <f>IF(INT(O$6/$X37)*$X$7&gt;O36*($X$7+$Z37)*$Y37,O36*($X$7+$Z37)-SUM($B38:N38),INT(O$6/$X37)*$X$7-O36*($X$7+$Z37)*($Y37-1)-SUM($B38:N38))+IF($Y37&gt;1,IF(INT(O$6/$X37)&gt;0,$Z37-$AA37,0),-$AA37)</f>
        <v>0</v>
      </c>
      <c r="P38" s="603">
        <f>IF(INT(P$6/$X37)*$X$7&gt;P36*($X$7+$Z37)*$Y37,P36*($X$7+$Z37)-SUM($B38:O38),INT(P$6/$X37)*$X$7-P36*($X$7+$Z37)*($Y37-1)-SUM($B38:O38))+IF($Y37&gt;1,IF(INT(P$6/$X37)&gt;0,$Z37-$AA37,0),-$AA37)</f>
        <v>0</v>
      </c>
      <c r="Q38" s="603">
        <f>IF(INT(Q$6/$X37)*$X$7&gt;Q36*($X$7+$Z37)*$Y37,Q36*($X$7+$Z37)-SUM($B38:P38),INT(Q$6/$X37)*$X$7-Q36*($X$7+$Z37)*($Y37-1)-SUM($B38:P38))+IF($Y37&gt;1,IF(INT(Q$6/$X37)&gt;0,$Z37-$AA37,0),-$AA37)</f>
        <v>0</v>
      </c>
      <c r="R38" s="603">
        <f>IF(INT(R$6/$X37)*$X$7&gt;R36*($X$7+$Z37)*$Y37,R36*($X$7+$Z37)-SUM($B38:Q38),INT(R$6/$X37)*$X$7-R36*($X$7+$Z37)*($Y37-1)-SUM($B38:Q38))+IF($Y37&gt;1,IF(INT(R$6/$X37)&gt;0,$Z37-$AA37,0),-$AA37)</f>
        <v>0</v>
      </c>
      <c r="S38" s="603">
        <f>IF(INT(S$6/$X37)*$X$7&gt;S36*($X$7+$Z37)*$Y37,S36*($X$7+$Z37)-SUM($B38:R38),INT(S$6/$X37)*$X$7-S36*($X$7+$Z37)*($Y37-1)-SUM($B38:R38))+IF($Y37&gt;1,IF(INT(S$6/$X37)&gt;0,$Z37-$AA37,0),-$AA37)</f>
        <v>0</v>
      </c>
      <c r="T38" s="603">
        <f>IF(INT(T$6/$X37)*$X$7&gt;T36*($X$7+$Z37)*$Y37,T36*($X$7+$Z37)-SUM($B38:S38),INT(T$6/$X37)*$X$7-T36*($X$7+$Z37)*($Y37-1)-SUM($B38:S38))+IF($Y37&gt;1,IF(INT(T$6/$X37)&gt;0,$Z37-$AA37,0),-$AA37)</f>
        <v>0</v>
      </c>
      <c r="U38" s="603">
        <f>IF(INT(U$6/$X37)*$X$7&gt;U36*($X$7+$Z37)*$Y37,U36*($X$7+$Z37)-SUM($B38:T38),INT(U$6/$X37)*$X$7-U36*($X$7+$Z37)*($Y37-1)-SUM($B38:T38))+IF($Y37&gt;1,IF(INT(U$6/$X37)&gt;0,$Z37-$AA37,0),-$AA37)</f>
        <v>0</v>
      </c>
      <c r="V38" s="603">
        <f>IF(INT(V$6/$X37)*$X$7&gt;V36*($X$7+$Z37)*$Y37,V36*($X$7+$Z37)-SUM($B38:U38),INT(V$6/$X37)*$X$7-V36*($X$7+$Z37)*($Y37-1)-SUM($B38:U38))+IF($Y37&gt;1,IF(INT(V$6/$X37)&gt;0,$Z37-$AA37,0),-$AA37)</f>
        <v>0</v>
      </c>
      <c r="W38" s="681"/>
      <c r="X38"/>
      <c r="Y38"/>
      <c r="Z38"/>
    </row>
    <row r="39" spans="1:28" s="102" customFormat="1">
      <c r="C39" s="615"/>
      <c r="D39" s="615"/>
      <c r="E39" s="615"/>
      <c r="F39" s="615"/>
      <c r="G39" s="615"/>
      <c r="H39" s="615"/>
      <c r="I39" s="615"/>
      <c r="J39" s="615"/>
      <c r="K39" s="615"/>
      <c r="L39" s="615"/>
      <c r="M39" s="615"/>
      <c r="N39" s="615"/>
      <c r="O39" s="615"/>
      <c r="P39" s="615"/>
      <c r="Q39" s="615"/>
      <c r="R39" s="615"/>
      <c r="S39" s="615"/>
      <c r="T39" s="615"/>
      <c r="U39" s="615"/>
      <c r="V39" s="615"/>
      <c r="W39" s="663"/>
    </row>
    <row r="40" spans="1:28" s="102" customFormat="1" hidden="1">
      <c r="A40" s="140" t="s">
        <v>934</v>
      </c>
      <c r="B40" s="603"/>
      <c r="C40" s="140">
        <f t="shared" ref="C40:V40" si="13">INT((INT(C$6/$X41)*$X$7+$X$7+$Z41-1)/($X$7+$Z41)/$Y41)</f>
        <v>0</v>
      </c>
      <c r="D40" s="140">
        <f t="shared" si="13"/>
        <v>0</v>
      </c>
      <c r="E40" s="140">
        <f t="shared" si="13"/>
        <v>0</v>
      </c>
      <c r="F40" s="140">
        <f t="shared" si="13"/>
        <v>0</v>
      </c>
      <c r="G40" s="140">
        <f t="shared" si="13"/>
        <v>0</v>
      </c>
      <c r="H40" s="140">
        <f t="shared" si="13"/>
        <v>0</v>
      </c>
      <c r="I40" s="140">
        <f t="shared" si="13"/>
        <v>0</v>
      </c>
      <c r="J40" s="140">
        <f t="shared" si="13"/>
        <v>0</v>
      </c>
      <c r="K40" s="140">
        <f t="shared" si="13"/>
        <v>0</v>
      </c>
      <c r="L40" s="140">
        <f t="shared" si="13"/>
        <v>0</v>
      </c>
      <c r="M40" s="140">
        <f t="shared" si="13"/>
        <v>0</v>
      </c>
      <c r="N40" s="140">
        <f t="shared" si="13"/>
        <v>0</v>
      </c>
      <c r="O40" s="140">
        <f t="shared" si="13"/>
        <v>0</v>
      </c>
      <c r="P40" s="140">
        <f t="shared" si="13"/>
        <v>0</v>
      </c>
      <c r="Q40" s="140">
        <f t="shared" si="13"/>
        <v>0</v>
      </c>
      <c r="R40" s="140">
        <f t="shared" si="13"/>
        <v>0</v>
      </c>
      <c r="S40" s="140">
        <f t="shared" si="13"/>
        <v>0</v>
      </c>
      <c r="T40" s="140">
        <f t="shared" si="13"/>
        <v>0</v>
      </c>
      <c r="U40" s="140">
        <f t="shared" si="13"/>
        <v>0</v>
      </c>
      <c r="V40" s="140">
        <f t="shared" si="13"/>
        <v>0</v>
      </c>
    </row>
    <row r="41" spans="1:28" s="102" customFormat="1">
      <c r="A41" s="140" t="s">
        <v>935</v>
      </c>
      <c r="B41" s="603" t="s">
        <v>278</v>
      </c>
      <c r="C41" s="603">
        <f>IF($Y41=1,0,$X$7*(INT(C$6/$X41)-INT(B$6/$X41))-IF(SUM($B41:B41)&gt;0,C42,0))</f>
        <v>0</v>
      </c>
      <c r="D41" s="603">
        <f>IF($Y41=1,0,$X$7*(INT(D$6/$X41)-INT(C$6/$X41))-IF(SUM($B41:C41)&gt;0,D42,0))</f>
        <v>0</v>
      </c>
      <c r="E41" s="603">
        <f>IF($Y41=1,0,$X$7*(INT(E$6/$X41)-INT(D$6/$X41))-IF(SUM($B41:D41)&gt;0,E42,0))</f>
        <v>0</v>
      </c>
      <c r="F41" s="603">
        <f>IF($Y41=1,0,$X$7*(INT(F$6/$X41)-INT(E$6/$X41))-IF(SUM($B41:E41)&gt;0,F42,0))</f>
        <v>0</v>
      </c>
      <c r="G41" s="603">
        <f>IF($Y41=1,0,$X$7*(INT(G$6/$X41)-INT(F$6/$X41))-IF(SUM($B41:F41)&gt;0,G42,0))</f>
        <v>0</v>
      </c>
      <c r="H41" s="603">
        <f>IF($Y41=1,0,$X$7*(INT(H$6/$X41)-INT(G$6/$X41))-IF(SUM($B41:G41)&gt;0,H42,0))</f>
        <v>0</v>
      </c>
      <c r="I41" s="603">
        <f>IF($Y41=1,0,$X$7*(INT(I$6/$X41)-INT(H$6/$X41))-IF(SUM($B41:H41)&gt;0,I42,0))</f>
        <v>0</v>
      </c>
      <c r="J41" s="603">
        <f>IF($Y41=1,0,$X$7*(INT(J$6/$X41)-INT(I$6/$X41))-IF(SUM($B41:I41)&gt;0,J42,0))</f>
        <v>0</v>
      </c>
      <c r="K41" s="603">
        <f>IF($Y41=1,0,$X$7*(INT(K$6/$X41)-INT(J$6/$X41))-IF(SUM($B41:J41)&gt;0,K42,0))</f>
        <v>0</v>
      </c>
      <c r="L41" s="603">
        <f>IF($Y41=1,0,$X$7*(INT(L$6/$X41)-INT(K$6/$X41))-IF(SUM($B41:K41)&gt;0,L42,0))</f>
        <v>0</v>
      </c>
      <c r="M41" s="603">
        <f>IF($Y41=1,0,$X$7*(INT(M$6/$X41)-INT(L$6/$X41))-IF(SUM($B41:L41)&gt;0,M42,0))</f>
        <v>0</v>
      </c>
      <c r="N41" s="603">
        <f>IF($Y41=1,0,$X$7*(INT(N$6/$X41)-INT(M$6/$X41))-IF(SUM($B41:M41)&gt;0,N42,0))</f>
        <v>0</v>
      </c>
      <c r="O41" s="603">
        <f>IF($Y41=1,0,$X$7*(INT(O$6/$X41)-INT(N$6/$X41))-IF(SUM($B41:N41)&gt;0,O42,0))</f>
        <v>0</v>
      </c>
      <c r="P41" s="603">
        <f>IF($Y41=1,0,$X$7*(INT(P$6/$X41)-INT(O$6/$X41))-IF(SUM($B41:O41)&gt;0,P42,0))</f>
        <v>0</v>
      </c>
      <c r="Q41" s="603">
        <f>IF($Y41=1,0,$X$7*(INT(Q$6/$X41)-INT(P$6/$X41))-IF(SUM($B41:P41)&gt;0,Q42,0))</f>
        <v>0</v>
      </c>
      <c r="R41" s="603">
        <f>IF($Y41=1,0,$X$7*(INT(R$6/$X41)-INT(Q$6/$X41))-IF(SUM($B41:Q41)&gt;0,R42,0))</f>
        <v>0</v>
      </c>
      <c r="S41" s="603">
        <f>IF($Y41=1,0,$X$7*(INT(S$6/$X41)-INT(R$6/$X41))-IF(SUM($B41:R41)&gt;0,S42,0))</f>
        <v>0</v>
      </c>
      <c r="T41" s="603">
        <f>IF($Y41=1,0,$X$7*(INT(T$6/$X41)-INT(S$6/$X41))-IF(SUM($B41:S41)&gt;0,T42,0))</f>
        <v>0</v>
      </c>
      <c r="U41" s="603">
        <f>IF($Y41=1,0,$X$7*(INT(U$6/$X41)-INT(T$6/$X41))-IF(SUM($B41:T41)&gt;0,U42,0))</f>
        <v>0</v>
      </c>
      <c r="V41" s="603">
        <f>IF($Y41=1,0,$X$7*(INT(V$6/$X41)-INT(U$6/$X41))-IF(SUM($B41:U41)&gt;0,V42,0))</f>
        <v>0</v>
      </c>
      <c r="W41" s="678" t="str">
        <f xml:space="preserve"> 'GT schd cost(6B)'!A21</f>
        <v>3RD STAGE BUCKETS</v>
      </c>
      <c r="X41" s="678">
        <f>IF($AD$6=1,'GTDB(6B)'!B23,'GTDB(6B)'!H23)</f>
        <v>24000</v>
      </c>
      <c r="Y41" s="678">
        <f>IF($AD$6=1,'GTDB(6B)'!C23,'GTDB(6B)'!I23)</f>
        <v>3</v>
      </c>
      <c r="Z41" s="679">
        <v>1</v>
      </c>
      <c r="AA41" s="654">
        <f>'Initial_Spares(6B)'!$D$17</f>
        <v>0</v>
      </c>
      <c r="AB41" s="642">
        <f>'GT schd cost(6B)'!X21+'GT schd cost(6B)'!X44</f>
        <v>270</v>
      </c>
    </row>
    <row r="42" spans="1:28" s="102" customFormat="1">
      <c r="A42" s="140" t="s">
        <v>936</v>
      </c>
      <c r="B42" s="603" t="s">
        <v>278</v>
      </c>
      <c r="C42" s="603">
        <f>IF(INT(C$6/$X41)*$X$7&gt;C40*($X$7+$Z41)*$Y41,C40*($X$7+$Z41)-SUM($B42:B42),INT(C$6/$X41)*$X$7-C40*($X$7+$Z41)*($Y41-1)-SUM($B42:B42))+IF($Y41&gt;1,IF(INT(C$6/$X41)&gt;0,$Z41-$AA41,0),-$AA41)</f>
        <v>0</v>
      </c>
      <c r="D42" s="603">
        <f>IF(INT(D$6/$X41)*$X$7&gt;D40*($X$7+$Z41)*$Y41,D40*($X$7+$Z41)-SUM($B42:C42),INT(D$6/$X41)*$X$7-D40*($X$7+$Z41)*($Y41-1)-SUM($B42:C42))+IF($Y41&gt;1,IF(INT(D$6/$X41)&gt;0,$Z41-$AA41,0),-$AA41)</f>
        <v>0</v>
      </c>
      <c r="E42" s="603">
        <f>IF(INT(E$6/$X41)*$X$7&gt;E40*($X$7+$Z41)*$Y41,E40*($X$7+$Z41)-SUM($B42:D42),INT(E$6/$X41)*$X$7-E40*($X$7+$Z41)*($Y41-1)-SUM($B42:D42))+IF($Y41&gt;1,IF(INT(E$6/$X41)&gt;0,$Z41-$AA41,0),-$AA41)</f>
        <v>1</v>
      </c>
      <c r="F42" s="603">
        <f>IF(INT(F$6/$X41)*$X$7&gt;F40*($X$7+$Z41)*$Y41,F40*($X$7+$Z41)-SUM($B42:E42),INT(F$6/$X41)*$X$7-F40*($X$7+$Z41)*($Y41-1)-SUM($B42:E42))+IF($Y41&gt;1,IF(INT(F$6/$X41)&gt;0,$Z41-$AA41,0),-$AA41)</f>
        <v>0</v>
      </c>
      <c r="G42" s="603">
        <f>IF(INT(G$6/$X41)*$X$7&gt;G40*($X$7+$Z41)*$Y41,G40*($X$7+$Z41)-SUM($B42:F42),INT(G$6/$X41)*$X$7-G40*($X$7+$Z41)*($Y41-1)-SUM($B42:F42))+IF($Y41&gt;1,IF(INT(G$6/$X41)&gt;0,$Z41-$AA41,0),-$AA41)</f>
        <v>0</v>
      </c>
      <c r="H42" s="603">
        <f>IF(INT(H$6/$X41)*$X$7&gt;H40*($X$7+$Z41)*$Y41,H40*($X$7+$Z41)-SUM($B42:G42),INT(H$6/$X41)*$X$7-H40*($X$7+$Z41)*($Y41-1)-SUM($B42:G42))+IF($Y41&gt;1,IF(INT(H$6/$X41)&gt;0,$Z41-$AA41,0),-$AA41)</f>
        <v>0</v>
      </c>
      <c r="I42" s="603">
        <f>IF(INT(I$6/$X41)*$X$7&gt;I40*($X$7+$Z41)*$Y41,I40*($X$7+$Z41)-SUM($B42:H42),INT(I$6/$X41)*$X$7-I40*($X$7+$Z41)*($Y41-1)-SUM($B42:H42))+IF($Y41&gt;1,IF(INT(I$6/$X41)&gt;0,$Z41-$AA41,0),-$AA41)</f>
        <v>0</v>
      </c>
      <c r="J42" s="603">
        <f>IF(INT(J$6/$X41)*$X$7&gt;J40*($X$7+$Z41)*$Y41,J40*($X$7+$Z41)-SUM($B42:I42),INT(J$6/$X41)*$X$7-J40*($X$7+$Z41)*($Y41-1)-SUM($B42:I42))+IF($Y41&gt;1,IF(INT(J$6/$X41)&gt;0,$Z41-$AA41,0),-$AA41)</f>
        <v>0</v>
      </c>
      <c r="K42" s="603">
        <f>IF(INT(K$6/$X41)*$X$7&gt;K40*($X$7+$Z41)*$Y41,K40*($X$7+$Z41)-SUM($B42:J42),INT(K$6/$X41)*$X$7-K40*($X$7+$Z41)*($Y41-1)-SUM($B42:J42))+IF($Y41&gt;1,IF(INT(K$6/$X41)&gt;0,$Z41-$AA41,0),-$AA41)</f>
        <v>0</v>
      </c>
      <c r="L42" s="603">
        <f>IF(INT(L$6/$X41)*$X$7&gt;L40*($X$7+$Z41)*$Y41,L40*($X$7+$Z41)-SUM($B42:K42),INT(L$6/$X41)*$X$7-L40*($X$7+$Z41)*($Y41-1)-SUM($B42:K42))+IF($Y41&gt;1,IF(INT(L$6/$X41)&gt;0,$Z41-$AA41,0),-$AA41)</f>
        <v>0</v>
      </c>
      <c r="M42" s="603">
        <f>IF(INT(M$6/$X41)*$X$7&gt;M40*($X$7+$Z41)*$Y41,M40*($X$7+$Z41)-SUM($B42:L42),INT(M$6/$X41)*$X$7-M40*($X$7+$Z41)*($Y41-1)-SUM($B42:L42))+IF($Y41&gt;1,IF(INT(M$6/$X41)&gt;0,$Z41-$AA41,0),-$AA41)</f>
        <v>0</v>
      </c>
      <c r="N42" s="603">
        <f>IF(INT(N$6/$X41)*$X$7&gt;N40*($X$7+$Z41)*$Y41,N40*($X$7+$Z41)-SUM($B42:M42),INT(N$6/$X41)*$X$7-N40*($X$7+$Z41)*($Y41-1)-SUM($B42:M42))+IF($Y41&gt;1,IF(INT(N$6/$X41)&gt;0,$Z41-$AA41,0),-$AA41)</f>
        <v>0</v>
      </c>
      <c r="O42" s="603">
        <f>IF(INT(O$6/$X41)*$X$7&gt;O40*($X$7+$Z41)*$Y41,O40*($X$7+$Z41)-SUM($B42:N42),INT(O$6/$X41)*$X$7-O40*($X$7+$Z41)*($Y41-1)-SUM($B42:N42))+IF($Y41&gt;1,IF(INT(O$6/$X41)&gt;0,$Z41-$AA41,0),-$AA41)</f>
        <v>0</v>
      </c>
      <c r="P42" s="603">
        <f>IF(INT(P$6/$X41)*$X$7&gt;P40*($X$7+$Z41)*$Y41,P40*($X$7+$Z41)-SUM($B42:O42),INT(P$6/$X41)*$X$7-P40*($X$7+$Z41)*($Y41-1)-SUM($B42:O42))+IF($Y41&gt;1,IF(INT(P$6/$X41)&gt;0,$Z41-$AA41,0),-$AA41)</f>
        <v>0</v>
      </c>
      <c r="Q42" s="603">
        <f>IF(INT(Q$6/$X41)*$X$7&gt;Q40*($X$7+$Z41)*$Y41,Q40*($X$7+$Z41)-SUM($B42:P42),INT(Q$6/$X41)*$X$7-Q40*($X$7+$Z41)*($Y41-1)-SUM($B42:P42))+IF($Y41&gt;1,IF(INT(Q$6/$X41)&gt;0,$Z41-$AA41,0),-$AA41)</f>
        <v>0</v>
      </c>
      <c r="R42" s="603">
        <f>IF(INT(R$6/$X41)*$X$7&gt;R40*($X$7+$Z41)*$Y41,R40*($X$7+$Z41)-SUM($B42:Q42),INT(R$6/$X41)*$X$7-R40*($X$7+$Z41)*($Y41-1)-SUM($B42:Q42))+IF($Y41&gt;1,IF(INT(R$6/$X41)&gt;0,$Z41-$AA41,0),-$AA41)</f>
        <v>0</v>
      </c>
      <c r="S42" s="603">
        <f>IF(INT(S$6/$X41)*$X$7&gt;S40*($X$7+$Z41)*$Y41,S40*($X$7+$Z41)-SUM($B42:R42),INT(S$6/$X41)*$X$7-S40*($X$7+$Z41)*($Y41-1)-SUM($B42:R42))+IF($Y41&gt;1,IF(INT(S$6/$X41)&gt;0,$Z41-$AA41,0),-$AA41)</f>
        <v>0</v>
      </c>
      <c r="T42" s="603">
        <f>IF(INT(T$6/$X41)*$X$7&gt;T40*($X$7+$Z41)*$Y41,T40*($X$7+$Z41)-SUM($B42:S42),INT(T$6/$X41)*$X$7-T40*($X$7+$Z41)*($Y41-1)-SUM($B42:S42))+IF($Y41&gt;1,IF(INT(T$6/$X41)&gt;0,$Z41-$AA41,0),-$AA41)</f>
        <v>0</v>
      </c>
      <c r="U42" s="603">
        <f>IF(INT(U$6/$X41)*$X$7&gt;U40*($X$7+$Z41)*$Y41,U40*($X$7+$Z41)-SUM($B42:T42),INT(U$6/$X41)*$X$7-U40*($X$7+$Z41)*($Y41-1)-SUM($B42:T42))+IF($Y41&gt;1,IF(INT(U$6/$X41)&gt;0,$Z41-$AA41,0),-$AA41)</f>
        <v>0</v>
      </c>
      <c r="V42" s="603">
        <f>IF(INT(V$6/$X41)*$X$7&gt;V40*($X$7+$Z41)*$Y41,V40*($X$7+$Z41)-SUM($B42:U42),INT(V$6/$X41)*$X$7-V40*($X$7+$Z41)*($Y41-1)-SUM($B42:U42))+IF($Y41&gt;1,IF(INT(V$6/$X41)&gt;0,$Z41-$AA41,0),-$AA41)</f>
        <v>0</v>
      </c>
      <c r="W42" s="681"/>
      <c r="X42"/>
      <c r="Y42"/>
      <c r="Z42"/>
    </row>
    <row r="43" spans="1:28" s="102" customFormat="1">
      <c r="W43" s="668"/>
    </row>
    <row r="44" spans="1:28" s="102" customFormat="1" hidden="1">
      <c r="A44" s="140" t="s">
        <v>934</v>
      </c>
      <c r="B44" s="603"/>
      <c r="C44" s="140">
        <f t="shared" ref="C44:V44" si="14">INT((INT(C$6/$X45)*$X$7+$X$7+$Z45-1)/($X$7+$Z45)/$Y45)</f>
        <v>0</v>
      </c>
      <c r="D44" s="140">
        <f t="shared" si="14"/>
        <v>0</v>
      </c>
      <c r="E44" s="140">
        <f t="shared" si="14"/>
        <v>0</v>
      </c>
      <c r="F44" s="140">
        <f t="shared" si="14"/>
        <v>0</v>
      </c>
      <c r="G44" s="140">
        <f t="shared" si="14"/>
        <v>0</v>
      </c>
      <c r="H44" s="140">
        <f t="shared" si="14"/>
        <v>0</v>
      </c>
      <c r="I44" s="140">
        <f t="shared" si="14"/>
        <v>0</v>
      </c>
      <c r="J44" s="140">
        <f t="shared" si="14"/>
        <v>0</v>
      </c>
      <c r="K44" s="140">
        <f t="shared" si="14"/>
        <v>0</v>
      </c>
      <c r="L44" s="140">
        <f t="shared" si="14"/>
        <v>0</v>
      </c>
      <c r="M44" s="140">
        <f t="shared" si="14"/>
        <v>0</v>
      </c>
      <c r="N44" s="140">
        <f t="shared" si="14"/>
        <v>0</v>
      </c>
      <c r="O44" s="140">
        <f t="shared" si="14"/>
        <v>0</v>
      </c>
      <c r="P44" s="140">
        <f t="shared" si="14"/>
        <v>0</v>
      </c>
      <c r="Q44" s="140">
        <f t="shared" si="14"/>
        <v>0</v>
      </c>
      <c r="R44" s="140">
        <f t="shared" si="14"/>
        <v>0</v>
      </c>
      <c r="S44" s="140">
        <f t="shared" si="14"/>
        <v>0</v>
      </c>
      <c r="T44" s="140">
        <f t="shared" si="14"/>
        <v>0</v>
      </c>
      <c r="U44" s="140">
        <f t="shared" si="14"/>
        <v>0</v>
      </c>
      <c r="V44" s="140">
        <f t="shared" si="14"/>
        <v>0</v>
      </c>
    </row>
    <row r="45" spans="1:28" s="102" customFormat="1">
      <c r="A45" s="140" t="s">
        <v>935</v>
      </c>
      <c r="B45" s="603" t="s">
        <v>278</v>
      </c>
      <c r="C45" s="603">
        <f>IF($Y45=1,0,$X$7*(INT(C$6/$X45)-INT(B$6/$X45))-IF(SUM($B45:B45)&gt;0,C46,0))</f>
        <v>0</v>
      </c>
      <c r="D45" s="603">
        <f>IF($Y45=1,0,$X$7*(INT(D$6/$X45)-INT(C$6/$X45))-IF(SUM($B45:C45)&gt;0,D46,0))</f>
        <v>0</v>
      </c>
      <c r="E45" s="603">
        <f>IF($Y45=1,0,$X$7*(INT(E$6/$X45)-INT(D$6/$X45))-IF(SUM($B45:D45)&gt;0,E46,0))</f>
        <v>0</v>
      </c>
      <c r="F45" s="603">
        <f>IF($Y45=1,0,$X$7*(INT(F$6/$X45)-INT(E$6/$X45))-IF(SUM($B45:E45)&gt;0,F46,0))</f>
        <v>0</v>
      </c>
      <c r="G45" s="603">
        <f>IF($Y45=1,0,$X$7*(INT(G$6/$X45)-INT(F$6/$X45))-IF(SUM($B45:F45)&gt;0,G46,0))</f>
        <v>0</v>
      </c>
      <c r="H45" s="603">
        <f>IF($Y45=1,0,$X$7*(INT(H$6/$X45)-INT(G$6/$X45))-IF(SUM($B45:G45)&gt;0,H46,0))</f>
        <v>0</v>
      </c>
      <c r="I45" s="603">
        <f>IF($Y45=1,0,$X$7*(INT(I$6/$X45)-INT(H$6/$X45))-IF(SUM($B45:H45)&gt;0,I46,0))</f>
        <v>0</v>
      </c>
      <c r="J45" s="603">
        <f>IF($Y45=1,0,$X$7*(INT(J$6/$X45)-INT(I$6/$X45))-IF(SUM($B45:I45)&gt;0,J46,0))</f>
        <v>0</v>
      </c>
      <c r="K45" s="603">
        <f>IF($Y45=1,0,$X$7*(INT(K$6/$X45)-INT(J$6/$X45))-IF(SUM($B45:J45)&gt;0,K46,0))</f>
        <v>0</v>
      </c>
      <c r="L45" s="603">
        <f>IF($Y45=1,0,$X$7*(INT(L$6/$X45)-INT(K$6/$X45))-IF(SUM($B45:K45)&gt;0,L46,0))</f>
        <v>0</v>
      </c>
      <c r="M45" s="603">
        <f>IF($Y45=1,0,$X$7*(INT(M$6/$X45)-INT(L$6/$X45))-IF(SUM($B45:L45)&gt;0,M46,0))</f>
        <v>0</v>
      </c>
      <c r="N45" s="603">
        <f>IF($Y45=1,0,$X$7*(INT(N$6/$X45)-INT(M$6/$X45))-IF(SUM($B45:M45)&gt;0,N46,0))</f>
        <v>0</v>
      </c>
      <c r="O45" s="603">
        <f>IF($Y45=1,0,$X$7*(INT(O$6/$X45)-INT(N$6/$X45))-IF(SUM($B45:N45)&gt;0,O46,0))</f>
        <v>0</v>
      </c>
      <c r="P45" s="603">
        <f>IF($Y45=1,0,$X$7*(INT(P$6/$X45)-INT(O$6/$X45))-IF(SUM($B45:O45)&gt;0,P46,0))</f>
        <v>0</v>
      </c>
      <c r="Q45" s="603">
        <f>IF($Y45=1,0,$X$7*(INT(Q$6/$X45)-INT(P$6/$X45))-IF(SUM($B45:P45)&gt;0,Q46,0))</f>
        <v>0</v>
      </c>
      <c r="R45" s="603">
        <f>IF($Y45=1,0,$X$7*(INT(R$6/$X45)-INT(Q$6/$X45))-IF(SUM($B45:Q45)&gt;0,R46,0))</f>
        <v>0</v>
      </c>
      <c r="S45" s="603">
        <f>IF($Y45=1,0,$X$7*(INT(S$6/$X45)-INT(R$6/$X45))-IF(SUM($B45:R45)&gt;0,S46,0))</f>
        <v>0</v>
      </c>
      <c r="T45" s="603">
        <f>IF($Y45=1,0,$X$7*(INT(T$6/$X45)-INT(S$6/$X45))-IF(SUM($B45:S45)&gt;0,T46,0))</f>
        <v>0</v>
      </c>
      <c r="U45" s="603">
        <f>IF($Y45=1,0,$X$7*(INT(U$6/$X45)-INT(T$6/$X45))-IF(SUM($B45:T45)&gt;0,U46,0))</f>
        <v>0</v>
      </c>
      <c r="V45" s="603">
        <f>IF($Y45=1,0,$X$7*(INT(V$6/$X45)-INT(U$6/$X45))-IF(SUM($B45:U45)&gt;0,V46,0))</f>
        <v>0</v>
      </c>
      <c r="W45" s="678" t="str">
        <f xml:space="preserve"> 'GT schd cost(6B)'!A22</f>
        <v>1ST STAGE SHROUDS</v>
      </c>
      <c r="X45" s="678">
        <f>IF($AD$6=1,'GTDB(6B)'!B24,'GTDB(6B)'!H24)</f>
        <v>24000</v>
      </c>
      <c r="Y45" s="678">
        <f>IF($AD$6=1,'GTDB(6B)'!C24,'GTDB(6B)'!I24)</f>
        <v>2</v>
      </c>
      <c r="Z45" s="679">
        <v>1</v>
      </c>
      <c r="AA45" s="654">
        <f>'Initial_Spares(6B)'!$D$18</f>
        <v>0</v>
      </c>
      <c r="AB45" s="642">
        <f>'GT schd cost(6B)'!X22+'GT schd cost(6B)'!X45</f>
        <v>75</v>
      </c>
    </row>
    <row r="46" spans="1:28" s="102" customFormat="1">
      <c r="A46" s="140" t="s">
        <v>936</v>
      </c>
      <c r="B46" s="603" t="s">
        <v>278</v>
      </c>
      <c r="C46" s="603">
        <f>IF(INT(C$6/$X45)*$X$7&gt;C44*($X$7+$Z45)*$Y45,C44*($X$7+$Z45)-SUM($B46:B46),INT(C$6/$X45)*$X$7-C44*($X$7+$Z45)*($Y45-1)-SUM($B46:B46))+IF($Y45&gt;1,IF(INT(C$6/$X45)&gt;0,$Z45-$AA45,0),-$AA45)</f>
        <v>0</v>
      </c>
      <c r="D46" s="603">
        <f>IF(INT(D$6/$X45)*$X$7&gt;D44*($X$7+$Z45)*$Y45,D44*($X$7+$Z45)-SUM($B46:C46),INT(D$6/$X45)*$X$7-D44*($X$7+$Z45)*($Y45-1)-SUM($B46:C46))+IF($Y45&gt;1,IF(INT(D$6/$X45)&gt;0,$Z45-$AA45,0),-$AA45)</f>
        <v>0</v>
      </c>
      <c r="E46" s="603">
        <f>IF(INT(E$6/$X45)*$X$7&gt;E44*($X$7+$Z45)*$Y45,E44*($X$7+$Z45)-SUM($B46:D46),INT(E$6/$X45)*$X$7-E44*($X$7+$Z45)*($Y45-1)-SUM($B46:D46))+IF($Y45&gt;1,IF(INT(E$6/$X45)&gt;0,$Z45-$AA45,0),-$AA45)</f>
        <v>1</v>
      </c>
      <c r="F46" s="603">
        <f>IF(INT(F$6/$X45)*$X$7&gt;F44*($X$7+$Z45)*$Y45,F44*($X$7+$Z45)-SUM($B46:E46),INT(F$6/$X45)*$X$7-F44*($X$7+$Z45)*($Y45-1)-SUM($B46:E46))+IF($Y45&gt;1,IF(INT(F$6/$X45)&gt;0,$Z45-$AA45,0),-$AA45)</f>
        <v>0</v>
      </c>
      <c r="G46" s="603">
        <f>IF(INT(G$6/$X45)*$X$7&gt;G44*($X$7+$Z45)*$Y45,G44*($X$7+$Z45)-SUM($B46:F46),INT(G$6/$X45)*$X$7-G44*($X$7+$Z45)*($Y45-1)-SUM($B46:F46))+IF($Y45&gt;1,IF(INT(G$6/$X45)&gt;0,$Z45-$AA45,0),-$AA45)</f>
        <v>0</v>
      </c>
      <c r="H46" s="603">
        <f>IF(INT(H$6/$X45)*$X$7&gt;H44*($X$7+$Z45)*$Y45,H44*($X$7+$Z45)-SUM($B46:G46),INT(H$6/$X45)*$X$7-H44*($X$7+$Z45)*($Y45-1)-SUM($B46:G46))+IF($Y45&gt;1,IF(INT(H$6/$X45)&gt;0,$Z45-$AA45,0),-$AA45)</f>
        <v>0</v>
      </c>
      <c r="I46" s="603">
        <f>IF(INT(I$6/$X45)*$X$7&gt;I44*($X$7+$Z45)*$Y45,I44*($X$7+$Z45)-SUM($B46:H46),INT(I$6/$X45)*$X$7-I44*($X$7+$Z45)*($Y45-1)-SUM($B46:H46))+IF($Y45&gt;1,IF(INT(I$6/$X45)&gt;0,$Z45-$AA45,0),-$AA45)</f>
        <v>0</v>
      </c>
      <c r="J46" s="603">
        <f>IF(INT(J$6/$X45)*$X$7&gt;J44*($X$7+$Z45)*$Y45,J44*($X$7+$Z45)-SUM($B46:I46),INT(J$6/$X45)*$X$7-J44*($X$7+$Z45)*($Y45-1)-SUM($B46:I46))+IF($Y45&gt;1,IF(INT(J$6/$X45)&gt;0,$Z45-$AA45,0),-$AA45)</f>
        <v>0</v>
      </c>
      <c r="K46" s="603">
        <f>IF(INT(K$6/$X45)*$X$7&gt;K44*($X$7+$Z45)*$Y45,K44*($X$7+$Z45)-SUM($B46:J46),INT(K$6/$X45)*$X$7-K44*($X$7+$Z45)*($Y45-1)-SUM($B46:J46))+IF($Y45&gt;1,IF(INT(K$6/$X45)&gt;0,$Z45-$AA45,0),-$AA45)</f>
        <v>0</v>
      </c>
      <c r="L46" s="603">
        <f>IF(INT(L$6/$X45)*$X$7&gt;L44*($X$7+$Z45)*$Y45,L44*($X$7+$Z45)-SUM($B46:K46),INT(L$6/$X45)*$X$7-L44*($X$7+$Z45)*($Y45-1)-SUM($B46:K46))+IF($Y45&gt;1,IF(INT(L$6/$X45)&gt;0,$Z45-$AA45,0),-$AA45)</f>
        <v>0</v>
      </c>
      <c r="M46" s="603">
        <f>IF(INT(M$6/$X45)*$X$7&gt;M44*($X$7+$Z45)*$Y45,M44*($X$7+$Z45)-SUM($B46:L46),INT(M$6/$X45)*$X$7-M44*($X$7+$Z45)*($Y45-1)-SUM($B46:L46))+IF($Y45&gt;1,IF(INT(M$6/$X45)&gt;0,$Z45-$AA45,0),-$AA45)</f>
        <v>0</v>
      </c>
      <c r="N46" s="603">
        <f>IF(INT(N$6/$X45)*$X$7&gt;N44*($X$7+$Z45)*$Y45,N44*($X$7+$Z45)-SUM($B46:M46),INT(N$6/$X45)*$X$7-N44*($X$7+$Z45)*($Y45-1)-SUM($B46:M46))+IF($Y45&gt;1,IF(INT(N$6/$X45)&gt;0,$Z45-$AA45,0),-$AA45)</f>
        <v>0</v>
      </c>
      <c r="O46" s="603">
        <f>IF(INT(O$6/$X45)*$X$7&gt;O44*($X$7+$Z45)*$Y45,O44*($X$7+$Z45)-SUM($B46:N46),INT(O$6/$X45)*$X$7-O44*($X$7+$Z45)*($Y45-1)-SUM($B46:N46))+IF($Y45&gt;1,IF(INT(O$6/$X45)&gt;0,$Z45-$AA45,0),-$AA45)</f>
        <v>0</v>
      </c>
      <c r="P46" s="603">
        <f>IF(INT(P$6/$X45)*$X$7&gt;P44*($X$7+$Z45)*$Y45,P44*($X$7+$Z45)-SUM($B46:O46),INT(P$6/$X45)*$X$7-P44*($X$7+$Z45)*($Y45-1)-SUM($B46:O46))+IF($Y45&gt;1,IF(INT(P$6/$X45)&gt;0,$Z45-$AA45,0),-$AA45)</f>
        <v>0</v>
      </c>
      <c r="Q46" s="603">
        <f>IF(INT(Q$6/$X45)*$X$7&gt;Q44*($X$7+$Z45)*$Y45,Q44*($X$7+$Z45)-SUM($B46:P46),INT(Q$6/$X45)*$X$7-Q44*($X$7+$Z45)*($Y45-1)-SUM($B46:P46))+IF($Y45&gt;1,IF(INT(Q$6/$X45)&gt;0,$Z45-$AA45,0),-$AA45)</f>
        <v>0</v>
      </c>
      <c r="R46" s="603">
        <f>IF(INT(R$6/$X45)*$X$7&gt;R44*($X$7+$Z45)*$Y45,R44*($X$7+$Z45)-SUM($B46:Q46),INT(R$6/$X45)*$X$7-R44*($X$7+$Z45)*($Y45-1)-SUM($B46:Q46))+IF($Y45&gt;1,IF(INT(R$6/$X45)&gt;0,$Z45-$AA45,0),-$AA45)</f>
        <v>0</v>
      </c>
      <c r="S46" s="603">
        <f>IF(INT(S$6/$X45)*$X$7&gt;S44*($X$7+$Z45)*$Y45,S44*($X$7+$Z45)-SUM($B46:R46),INT(S$6/$X45)*$X$7-S44*($X$7+$Z45)*($Y45-1)-SUM($B46:R46))+IF($Y45&gt;1,IF(INT(S$6/$X45)&gt;0,$Z45-$AA45,0),-$AA45)</f>
        <v>0</v>
      </c>
      <c r="T46" s="603">
        <f>IF(INT(T$6/$X45)*$X$7&gt;T44*($X$7+$Z45)*$Y45,T44*($X$7+$Z45)-SUM($B46:S46),INT(T$6/$X45)*$X$7-T44*($X$7+$Z45)*($Y45-1)-SUM($B46:S46))+IF($Y45&gt;1,IF(INT(T$6/$X45)&gt;0,$Z45-$AA45,0),-$AA45)</f>
        <v>0</v>
      </c>
      <c r="U46" s="603">
        <f>IF(INT(U$6/$X45)*$X$7&gt;U44*($X$7+$Z45)*$Y45,U44*($X$7+$Z45)-SUM($B46:T46),INT(U$6/$X45)*$X$7-U44*($X$7+$Z45)*($Y45-1)-SUM($B46:T46))+IF($Y45&gt;1,IF(INT(U$6/$X45)&gt;0,$Z45-$AA45,0),-$AA45)</f>
        <v>0</v>
      </c>
      <c r="V46" s="603">
        <f>IF(INT(V$6/$X45)*$X$7&gt;V44*($X$7+$Z45)*$Y45,V44*($X$7+$Z45)-SUM($B46:U46),INT(V$6/$X45)*$X$7-V44*($X$7+$Z45)*($Y45-1)-SUM($B46:U46))+IF($Y45&gt;1,IF(INT(V$6/$X45)&gt;0,$Z45-$AA45,0),-$AA45)</f>
        <v>0</v>
      </c>
      <c r="W46" s="681"/>
      <c r="X46"/>
      <c r="Y46"/>
      <c r="Z46"/>
    </row>
    <row r="47" spans="1:28" s="102" customFormat="1">
      <c r="B47" s="615"/>
      <c r="C47" s="615"/>
      <c r="D47" s="615"/>
      <c r="E47" s="615"/>
      <c r="F47" s="615"/>
      <c r="G47" s="615"/>
      <c r="H47" s="615"/>
      <c r="I47" s="615"/>
      <c r="J47" s="615"/>
      <c r="K47" s="615"/>
      <c r="W47" s="663"/>
    </row>
    <row r="48" spans="1:28" s="102" customFormat="1" hidden="1">
      <c r="A48" s="140" t="s">
        <v>934</v>
      </c>
      <c r="B48" s="603"/>
      <c r="C48" s="140">
        <f t="shared" ref="C48:V48" si="15">INT((INT(C$6/$X49)*$X$7+$X$7+$Z49-1)/($X$7+$Z49)/$Y49)</f>
        <v>0</v>
      </c>
      <c r="D48" s="140">
        <f t="shared" si="15"/>
        <v>0</v>
      </c>
      <c r="E48" s="140">
        <f t="shared" si="15"/>
        <v>0</v>
      </c>
      <c r="F48" s="140">
        <f t="shared" si="15"/>
        <v>0</v>
      </c>
      <c r="G48" s="140">
        <f t="shared" si="15"/>
        <v>0</v>
      </c>
      <c r="H48" s="140">
        <f t="shared" si="15"/>
        <v>0</v>
      </c>
      <c r="I48" s="140">
        <f t="shared" si="15"/>
        <v>0</v>
      </c>
      <c r="J48" s="140">
        <f t="shared" si="15"/>
        <v>0</v>
      </c>
      <c r="K48" s="140">
        <f t="shared" si="15"/>
        <v>0</v>
      </c>
      <c r="L48" s="140">
        <f t="shared" si="15"/>
        <v>0</v>
      </c>
      <c r="M48" s="140">
        <f t="shared" si="15"/>
        <v>0</v>
      </c>
      <c r="N48" s="140">
        <f t="shared" si="15"/>
        <v>0</v>
      </c>
      <c r="O48" s="140">
        <f t="shared" si="15"/>
        <v>0</v>
      </c>
      <c r="P48" s="140">
        <f t="shared" si="15"/>
        <v>0</v>
      </c>
      <c r="Q48" s="140">
        <f t="shared" si="15"/>
        <v>0</v>
      </c>
      <c r="R48" s="140">
        <f t="shared" si="15"/>
        <v>0</v>
      </c>
      <c r="S48" s="140">
        <f t="shared" si="15"/>
        <v>0</v>
      </c>
      <c r="T48" s="140">
        <f t="shared" si="15"/>
        <v>0</v>
      </c>
      <c r="U48" s="140">
        <f t="shared" si="15"/>
        <v>0</v>
      </c>
      <c r="V48" s="140">
        <f t="shared" si="15"/>
        <v>0</v>
      </c>
    </row>
    <row r="49" spans="1:28" s="102" customFormat="1">
      <c r="A49" s="140" t="s">
        <v>935</v>
      </c>
      <c r="B49" s="603" t="s">
        <v>278</v>
      </c>
      <c r="C49" s="603">
        <f>IF($Y49=1,0,$X$7*(INT(C$6/$X49)-INT(B$6/$X49))-IF(SUM($B49:B49)&gt;0,C50,0))</f>
        <v>0</v>
      </c>
      <c r="D49" s="603">
        <f>IF($Y49=1,0,$X$7*(INT(D$6/$X49)-INT(C$6/$X49))-IF(SUM($B49:C49)&gt;0,D50,0))</f>
        <v>0</v>
      </c>
      <c r="E49" s="603">
        <f>IF($Y49=1,0,$X$7*(INT(E$6/$X49)-INT(D$6/$X49))-IF(SUM($B49:D49)&gt;0,E50,0))</f>
        <v>0</v>
      </c>
      <c r="F49" s="603">
        <f>IF($Y49=1,0,$X$7*(INT(F$6/$X49)-INT(E$6/$X49))-IF(SUM($B49:E49)&gt;0,F50,0))</f>
        <v>0</v>
      </c>
      <c r="G49" s="603">
        <f>IF($Y49=1,0,$X$7*(INT(G$6/$X49)-INT(F$6/$X49))-IF(SUM($B49:F49)&gt;0,G50,0))</f>
        <v>0</v>
      </c>
      <c r="H49" s="603">
        <f>IF($Y49=1,0,$X$7*(INT(H$6/$X49)-INT(G$6/$X49))-IF(SUM($B49:G49)&gt;0,H50,0))</f>
        <v>0</v>
      </c>
      <c r="I49" s="603">
        <f>IF($Y49=1,0,$X$7*(INT(I$6/$X49)-INT(H$6/$X49))-IF(SUM($B49:H49)&gt;0,I50,0))</f>
        <v>0</v>
      </c>
      <c r="J49" s="603">
        <f>IF($Y49=1,0,$X$7*(INT(J$6/$X49)-INT(I$6/$X49))-IF(SUM($B49:I49)&gt;0,J50,0))</f>
        <v>0</v>
      </c>
      <c r="K49" s="603">
        <f>IF($Y49=1,0,$X$7*(INT(K$6/$X49)-INT(J$6/$X49))-IF(SUM($B49:J49)&gt;0,K50,0))</f>
        <v>0</v>
      </c>
      <c r="L49" s="603">
        <f>IF($Y49=1,0,$X$7*(INT(L$6/$X49)-INT(K$6/$X49))-IF(SUM($B49:K49)&gt;0,L50,0))</f>
        <v>0</v>
      </c>
      <c r="M49" s="603">
        <f>IF($Y49=1,0,$X$7*(INT(M$6/$X49)-INT(L$6/$X49))-IF(SUM($B49:L49)&gt;0,M50,0))</f>
        <v>0</v>
      </c>
      <c r="N49" s="603">
        <f>IF($Y49=1,0,$X$7*(INT(N$6/$X49)-INT(M$6/$X49))-IF(SUM($B49:M49)&gt;0,N50,0))</f>
        <v>0</v>
      </c>
      <c r="O49" s="603">
        <f>IF($Y49=1,0,$X$7*(INT(O$6/$X49)-INT(N$6/$X49))-IF(SUM($B49:N49)&gt;0,O50,0))</f>
        <v>0</v>
      </c>
      <c r="P49" s="603">
        <f>IF($Y49=1,0,$X$7*(INT(P$6/$X49)-INT(O$6/$X49))-IF(SUM($B49:O49)&gt;0,P50,0))</f>
        <v>0</v>
      </c>
      <c r="Q49" s="603">
        <f>IF($Y49=1,0,$X$7*(INT(Q$6/$X49)-INT(P$6/$X49))-IF(SUM($B49:P49)&gt;0,Q50,0))</f>
        <v>0</v>
      </c>
      <c r="R49" s="603">
        <f>IF($Y49=1,0,$X$7*(INT(R$6/$X49)-INT(Q$6/$X49))-IF(SUM($B49:Q49)&gt;0,R50,0))</f>
        <v>0</v>
      </c>
      <c r="S49" s="603">
        <f>IF($Y49=1,0,$X$7*(INT(S$6/$X49)-INT(R$6/$X49))-IF(SUM($B49:R49)&gt;0,S50,0))</f>
        <v>0</v>
      </c>
      <c r="T49" s="603">
        <f>IF($Y49=1,0,$X$7*(INT(T$6/$X49)-INT(S$6/$X49))-IF(SUM($B49:S49)&gt;0,T50,0))</f>
        <v>0</v>
      </c>
      <c r="U49" s="603">
        <f>IF($Y49=1,0,$X$7*(INT(U$6/$X49)-INT(T$6/$X49))-IF(SUM($B49:T49)&gt;0,U50,0))</f>
        <v>0</v>
      </c>
      <c r="V49" s="603">
        <f>IF($Y49=1,0,$X$7*(INT(V$6/$X49)-INT(U$6/$X49))-IF(SUM($B49:U49)&gt;0,V50,0))</f>
        <v>0</v>
      </c>
      <c r="W49" s="678" t="str">
        <f xml:space="preserve"> 'GT schd cost(6B)'!A23</f>
        <v>2ND STAGE SHROUDS</v>
      </c>
      <c r="X49" s="678">
        <f>IF($AD$6=1,'GTDB(6B)'!B25,'GTDB(6B)'!H25)</f>
        <v>24000</v>
      </c>
      <c r="Y49" s="678">
        <f>IF($AD$6=1,'GTDB(6B)'!C25,'GTDB(6B)'!I25)</f>
        <v>3</v>
      </c>
      <c r="Z49" s="679">
        <v>2</v>
      </c>
      <c r="AA49" s="654">
        <f>'Initial_Spares(6B)'!$D$19</f>
        <v>0</v>
      </c>
      <c r="AB49" s="642">
        <f>'GT schd cost(6B)'!X23+'GT schd cost(6B)'!X46</f>
        <v>130</v>
      </c>
    </row>
    <row r="50" spans="1:28" s="102" customFormat="1">
      <c r="A50" s="140" t="s">
        <v>936</v>
      </c>
      <c r="B50" s="603" t="s">
        <v>278</v>
      </c>
      <c r="C50" s="603">
        <f>IF(INT(C$6/$X49)*$X$7&gt;C48*($X$7+$Z49)*$Y49,C48*($X$7+$Z49)-SUM($B50:B50),INT(C$6/$X49)*$X$7-C48*($X$7+$Z49)*($Y49-1)-SUM($B50:B50))+IF($Y49&gt;1,IF(INT(C$6/$X49)&gt;0,$Z49-$AA49,0),-$AA49)</f>
        <v>0</v>
      </c>
      <c r="D50" s="603">
        <f>IF(INT(D$6/$X49)*$X$7&gt;D48*($X$7+$Z49)*$Y49,D48*($X$7+$Z49)-SUM($B50:C50),INT(D$6/$X49)*$X$7-D48*($X$7+$Z49)*($Y49-1)-SUM($B50:C50))+IF($Y49&gt;1,IF(INT(D$6/$X49)&gt;0,$Z49-$AA49,0),-$AA49)</f>
        <v>0</v>
      </c>
      <c r="E50" s="603">
        <f>IF(INT(E$6/$X49)*$X$7&gt;E48*($X$7+$Z49)*$Y49,E48*($X$7+$Z49)-SUM($B50:D50),INT(E$6/$X49)*$X$7-E48*($X$7+$Z49)*($Y49-1)-SUM($B50:D50))+IF($Y49&gt;1,IF(INT(E$6/$X49)&gt;0,$Z49-$AA49,0),-$AA49)</f>
        <v>2</v>
      </c>
      <c r="F50" s="603">
        <f>IF(INT(F$6/$X49)*$X$7&gt;F48*($X$7+$Z49)*$Y49,F48*($X$7+$Z49)-SUM($B50:E50),INT(F$6/$X49)*$X$7-F48*($X$7+$Z49)*($Y49-1)-SUM($B50:E50))+IF($Y49&gt;1,IF(INT(F$6/$X49)&gt;0,$Z49-$AA49,0),-$AA49)</f>
        <v>0</v>
      </c>
      <c r="G50" s="603">
        <f>IF(INT(G$6/$X49)*$X$7&gt;G48*($X$7+$Z49)*$Y49,G48*($X$7+$Z49)-SUM($B50:F50),INT(G$6/$X49)*$X$7-G48*($X$7+$Z49)*($Y49-1)-SUM($B50:F50))+IF($Y49&gt;1,IF(INT(G$6/$X49)&gt;0,$Z49-$AA49,0),-$AA49)</f>
        <v>0</v>
      </c>
      <c r="H50" s="603">
        <f>IF(INT(H$6/$X49)*$X$7&gt;H48*($X$7+$Z49)*$Y49,H48*($X$7+$Z49)-SUM($B50:G50),INT(H$6/$X49)*$X$7-H48*($X$7+$Z49)*($Y49-1)-SUM($B50:G50))+IF($Y49&gt;1,IF(INT(H$6/$X49)&gt;0,$Z49-$AA49,0),-$AA49)</f>
        <v>0</v>
      </c>
      <c r="I50" s="603">
        <f>IF(INT(I$6/$X49)*$X$7&gt;I48*($X$7+$Z49)*$Y49,I48*($X$7+$Z49)-SUM($B50:H50),INT(I$6/$X49)*$X$7-I48*($X$7+$Z49)*($Y49-1)-SUM($B50:H50))+IF($Y49&gt;1,IF(INT(I$6/$X49)&gt;0,$Z49-$AA49,0),-$AA49)</f>
        <v>0</v>
      </c>
      <c r="J50" s="603">
        <f>IF(INT(J$6/$X49)*$X$7&gt;J48*($X$7+$Z49)*$Y49,J48*($X$7+$Z49)-SUM($B50:I50),INT(J$6/$X49)*$X$7-J48*($X$7+$Z49)*($Y49-1)-SUM($B50:I50))+IF($Y49&gt;1,IF(INT(J$6/$X49)&gt;0,$Z49-$AA49,0),-$AA49)</f>
        <v>0</v>
      </c>
      <c r="K50" s="603">
        <f>IF(INT(K$6/$X49)*$X$7&gt;K48*($X$7+$Z49)*$Y49,K48*($X$7+$Z49)-SUM($B50:J50),INT(K$6/$X49)*$X$7-K48*($X$7+$Z49)*($Y49-1)-SUM($B50:J50))+IF($Y49&gt;1,IF(INT(K$6/$X49)&gt;0,$Z49-$AA49,0),-$AA49)</f>
        <v>0</v>
      </c>
      <c r="L50" s="603">
        <f>IF(INT(L$6/$X49)*$X$7&gt;L48*($X$7+$Z49)*$Y49,L48*($X$7+$Z49)-SUM($B50:K50),INT(L$6/$X49)*$X$7-L48*($X$7+$Z49)*($Y49-1)-SUM($B50:K50))+IF($Y49&gt;1,IF(INT(L$6/$X49)&gt;0,$Z49-$AA49,0),-$AA49)</f>
        <v>0</v>
      </c>
      <c r="M50" s="603">
        <f>IF(INT(M$6/$X49)*$X$7&gt;M48*($X$7+$Z49)*$Y49,M48*($X$7+$Z49)-SUM($B50:L50),INT(M$6/$X49)*$X$7-M48*($X$7+$Z49)*($Y49-1)-SUM($B50:L50))+IF($Y49&gt;1,IF(INT(M$6/$X49)&gt;0,$Z49-$AA49,0),-$AA49)</f>
        <v>0</v>
      </c>
      <c r="N50" s="603">
        <f>IF(INT(N$6/$X49)*$X$7&gt;N48*($X$7+$Z49)*$Y49,N48*($X$7+$Z49)-SUM($B50:M50),INT(N$6/$X49)*$X$7-N48*($X$7+$Z49)*($Y49-1)-SUM($B50:M50))+IF($Y49&gt;1,IF(INT(N$6/$X49)&gt;0,$Z49-$AA49,0),-$AA49)</f>
        <v>0</v>
      </c>
      <c r="O50" s="603">
        <f>IF(INT(O$6/$X49)*$X$7&gt;O48*($X$7+$Z49)*$Y49,O48*($X$7+$Z49)-SUM($B50:N50),INT(O$6/$X49)*$X$7-O48*($X$7+$Z49)*($Y49-1)-SUM($B50:N50))+IF($Y49&gt;1,IF(INT(O$6/$X49)&gt;0,$Z49-$AA49,0),-$AA49)</f>
        <v>0</v>
      </c>
      <c r="P50" s="603">
        <f>IF(INT(P$6/$X49)*$X$7&gt;P48*($X$7+$Z49)*$Y49,P48*($X$7+$Z49)-SUM($B50:O50),INT(P$6/$X49)*$X$7-P48*($X$7+$Z49)*($Y49-1)-SUM($B50:O50))+IF($Y49&gt;1,IF(INT(P$6/$X49)&gt;0,$Z49-$AA49,0),-$AA49)</f>
        <v>0</v>
      </c>
      <c r="Q50" s="603">
        <f>IF(INT(Q$6/$X49)*$X$7&gt;Q48*($X$7+$Z49)*$Y49,Q48*($X$7+$Z49)-SUM($B50:P50),INT(Q$6/$X49)*$X$7-Q48*($X$7+$Z49)*($Y49-1)-SUM($B50:P50))+IF($Y49&gt;1,IF(INT(Q$6/$X49)&gt;0,$Z49-$AA49,0),-$AA49)</f>
        <v>0</v>
      </c>
      <c r="R50" s="603">
        <f>IF(INT(R$6/$X49)*$X$7&gt;R48*($X$7+$Z49)*$Y49,R48*($X$7+$Z49)-SUM($B50:Q50),INT(R$6/$X49)*$X$7-R48*($X$7+$Z49)*($Y49-1)-SUM($B50:Q50))+IF($Y49&gt;1,IF(INT(R$6/$X49)&gt;0,$Z49-$AA49,0),-$AA49)</f>
        <v>0</v>
      </c>
      <c r="S50" s="603">
        <f>IF(INT(S$6/$X49)*$X$7&gt;S48*($X$7+$Z49)*$Y49,S48*($X$7+$Z49)-SUM($B50:R50),INT(S$6/$X49)*$X$7-S48*($X$7+$Z49)*($Y49-1)-SUM($B50:R50))+IF($Y49&gt;1,IF(INT(S$6/$X49)&gt;0,$Z49-$AA49,0),-$AA49)</f>
        <v>0</v>
      </c>
      <c r="T50" s="603">
        <f>IF(INT(T$6/$X49)*$X$7&gt;T48*($X$7+$Z49)*$Y49,T48*($X$7+$Z49)-SUM($B50:S50),INT(T$6/$X49)*$X$7-T48*($X$7+$Z49)*($Y49-1)-SUM($B50:S50))+IF($Y49&gt;1,IF(INT(T$6/$X49)&gt;0,$Z49-$AA49,0),-$AA49)</f>
        <v>0</v>
      </c>
      <c r="U50" s="603">
        <f>IF(INT(U$6/$X49)*$X$7&gt;U48*($X$7+$Z49)*$Y49,U48*($X$7+$Z49)-SUM($B50:T50),INT(U$6/$X49)*$X$7-U48*($X$7+$Z49)*($Y49-1)-SUM($B50:T50))+IF($Y49&gt;1,IF(INT(U$6/$X49)&gt;0,$Z49-$AA49,0),-$AA49)</f>
        <v>0</v>
      </c>
      <c r="V50" s="603">
        <f>IF(INT(V$6/$X49)*$X$7&gt;V48*($X$7+$Z49)*$Y49,V48*($X$7+$Z49)-SUM($B50:U50),INT(V$6/$X49)*$X$7-V48*($X$7+$Z49)*($Y49-1)-SUM($B50:U50))+IF($Y49&gt;1,IF(INT(V$6/$X49)&gt;0,$Z49-$AA49,0),-$AA49)</f>
        <v>0</v>
      </c>
      <c r="W50" s="681"/>
      <c r="X50"/>
      <c r="Y50"/>
      <c r="Z50"/>
    </row>
    <row r="51" spans="1:28" s="102" customFormat="1">
      <c r="B51" s="615"/>
      <c r="C51" s="615"/>
      <c r="D51" s="615"/>
      <c r="E51" s="615"/>
      <c r="F51" s="615"/>
      <c r="G51" s="615"/>
      <c r="H51" s="615"/>
      <c r="I51" s="615"/>
      <c r="J51" s="615"/>
      <c r="K51" s="615"/>
      <c r="L51" s="615"/>
      <c r="M51" s="615"/>
      <c r="N51" s="615"/>
      <c r="O51" s="615"/>
      <c r="P51" s="615"/>
      <c r="Q51" s="615"/>
      <c r="R51" s="615"/>
      <c r="S51" s="615"/>
      <c r="T51" s="615"/>
      <c r="U51" s="615"/>
      <c r="V51" s="615"/>
      <c r="W51" s="663"/>
    </row>
    <row r="52" spans="1:28" s="102" customFormat="1">
      <c r="A52" s="140" t="s">
        <v>934</v>
      </c>
      <c r="B52" s="603"/>
      <c r="C52" s="140">
        <f t="shared" ref="C52:V52" si="16">INT((INT(C$6/$X53)*$X$7+$X$7+$Z53-1)/($X$7+$Z53)/$Y53)</f>
        <v>0</v>
      </c>
      <c r="D52" s="140">
        <f t="shared" si="16"/>
        <v>0</v>
      </c>
      <c r="E52" s="140">
        <f t="shared" si="16"/>
        <v>0</v>
      </c>
      <c r="F52" s="140">
        <f t="shared" si="16"/>
        <v>0</v>
      </c>
      <c r="G52" s="140">
        <f t="shared" si="16"/>
        <v>0</v>
      </c>
      <c r="H52" s="140">
        <f t="shared" si="16"/>
        <v>0</v>
      </c>
      <c r="I52" s="140">
        <f t="shared" si="16"/>
        <v>0</v>
      </c>
      <c r="J52" s="140">
        <f t="shared" si="16"/>
        <v>0</v>
      </c>
      <c r="K52" s="140">
        <f t="shared" si="16"/>
        <v>0</v>
      </c>
      <c r="L52" s="140">
        <f t="shared" si="16"/>
        <v>0</v>
      </c>
      <c r="M52" s="140">
        <f t="shared" si="16"/>
        <v>0</v>
      </c>
      <c r="N52" s="140">
        <f t="shared" si="16"/>
        <v>0</v>
      </c>
      <c r="O52" s="140">
        <f t="shared" si="16"/>
        <v>0</v>
      </c>
      <c r="P52" s="140">
        <f t="shared" si="16"/>
        <v>0</v>
      </c>
      <c r="Q52" s="140">
        <f t="shared" si="16"/>
        <v>0</v>
      </c>
      <c r="R52" s="140">
        <f t="shared" si="16"/>
        <v>0</v>
      </c>
      <c r="S52" s="140">
        <f t="shared" si="16"/>
        <v>0</v>
      </c>
      <c r="T52" s="140">
        <f t="shared" si="16"/>
        <v>0</v>
      </c>
      <c r="U52" s="140">
        <f t="shared" si="16"/>
        <v>0</v>
      </c>
      <c r="V52" s="140">
        <f t="shared" si="16"/>
        <v>0</v>
      </c>
    </row>
    <row r="53" spans="1:28" s="102" customFormat="1">
      <c r="A53" s="140" t="s">
        <v>935</v>
      </c>
      <c r="B53" s="603" t="s">
        <v>278</v>
      </c>
      <c r="C53" s="603">
        <f>IF($Y53=1,0,$X$7*(INT(C$6/$X53)-INT(B$6/$X53))-IF(SUM($B53:B53)&gt;0,C54,0))</f>
        <v>0</v>
      </c>
      <c r="D53" s="603">
        <f>IF($Y53=1,0,$X$7*(INT(D$6/$X53)-INT(C$6/$X53))-IF(SUM($B53:C53)&gt;0,D54,0))</f>
        <v>0</v>
      </c>
      <c r="E53" s="603">
        <f>IF($Y53=1,0,$X$7*(INT(E$6/$X53)-INT(D$6/$X53))-IF(SUM($B53:D53)&gt;0,E54,0))</f>
        <v>0</v>
      </c>
      <c r="F53" s="603">
        <f>IF($Y53=1,0,$X$7*(INT(F$6/$X53)-INT(E$6/$X53))-IF(SUM($B53:E53)&gt;0,F54,0))</f>
        <v>0</v>
      </c>
      <c r="G53" s="603">
        <f>IF($Y53=1,0,$X$7*(INT(G$6/$X53)-INT(F$6/$X53))-IF(SUM($B53:F53)&gt;0,G54,0))</f>
        <v>0</v>
      </c>
      <c r="H53" s="603">
        <f>IF($Y53=1,0,$X$7*(INT(H$6/$X53)-INT(G$6/$X53))-IF(SUM($B53:G53)&gt;0,H54,0))</f>
        <v>0</v>
      </c>
      <c r="I53" s="603">
        <f>IF($Y53=1,0,$X$7*(INT(I$6/$X53)-INT(H$6/$X53))-IF(SUM($B53:H53)&gt;0,I54,0))</f>
        <v>0</v>
      </c>
      <c r="J53" s="603">
        <f>IF($Y53=1,0,$X$7*(INT(J$6/$X53)-INT(I$6/$X53))-IF(SUM($B53:I53)&gt;0,J54,0))</f>
        <v>0</v>
      </c>
      <c r="K53" s="603">
        <f>IF($Y53=1,0,$X$7*(INT(K$6/$X53)-INT(J$6/$X53))-IF(SUM($B53:J53)&gt;0,K54,0))</f>
        <v>0</v>
      </c>
      <c r="L53" s="603">
        <f>IF($Y53=1,0,$X$7*(INT(L$6/$X53)-INT(K$6/$X53))-IF(SUM($B53:K53)&gt;0,L54,0))</f>
        <v>0</v>
      </c>
      <c r="M53" s="603">
        <f>IF($Y53=1,0,$X$7*(INT(M$6/$X53)-INT(L$6/$X53))-IF(SUM($B53:L53)&gt;0,M54,0))</f>
        <v>0</v>
      </c>
      <c r="N53" s="603">
        <f>IF($Y53=1,0,$X$7*(INT(N$6/$X53)-INT(M$6/$X53))-IF(SUM($B53:M53)&gt;0,N54,0))</f>
        <v>0</v>
      </c>
      <c r="O53" s="603">
        <f>IF($Y53=1,0,$X$7*(INT(O$6/$X53)-INT(N$6/$X53))-IF(SUM($B53:N53)&gt;0,O54,0))</f>
        <v>0</v>
      </c>
      <c r="P53" s="603">
        <f>IF($Y53=1,0,$X$7*(INT(P$6/$X53)-INT(O$6/$X53))-IF(SUM($B53:O53)&gt;0,P54,0))</f>
        <v>0</v>
      </c>
      <c r="Q53" s="603">
        <f>IF($Y53=1,0,$X$7*(INT(Q$6/$X53)-INT(P$6/$X53))-IF(SUM($B53:P53)&gt;0,Q54,0))</f>
        <v>0</v>
      </c>
      <c r="R53" s="603">
        <f>IF($Y53=1,0,$X$7*(INT(R$6/$X53)-INT(Q$6/$X53))-IF(SUM($B53:Q53)&gt;0,R54,0))</f>
        <v>0</v>
      </c>
      <c r="S53" s="603">
        <f>IF($Y53=1,0,$X$7*(INT(S$6/$X53)-INT(R$6/$X53))-IF(SUM($B53:R53)&gt;0,S54,0))</f>
        <v>0</v>
      </c>
      <c r="T53" s="603">
        <f>IF($Y53=1,0,$X$7*(INT(T$6/$X53)-INT(S$6/$X53))-IF(SUM($B53:S53)&gt;0,T54,0))</f>
        <v>0</v>
      </c>
      <c r="U53" s="603">
        <f>IF($Y53=1,0,$X$7*(INT(U$6/$X53)-INT(T$6/$X53))-IF(SUM($B53:T53)&gt;0,U54,0))</f>
        <v>0</v>
      </c>
      <c r="V53" s="603">
        <f>IF($Y53=1,0,$X$7*(INT(V$6/$X53)-INT(U$6/$X53))-IF(SUM($B53:U53)&gt;0,V54,0))</f>
        <v>0</v>
      </c>
      <c r="W53" s="683" t="str">
        <f xml:space="preserve"> 'GT schd cost(6B)'!A24</f>
        <v>3RD STAGE SHROUDS</v>
      </c>
      <c r="X53" s="678">
        <f>IF($AD$6=1,'GTDB(6B)'!B26,'GTDB(6B)'!H26)</f>
        <v>24000</v>
      </c>
      <c r="Y53" s="678">
        <f>IF($AD$6=1,'GTDB(6B)'!C26,'GTDB(6B)'!I26)</f>
        <v>3</v>
      </c>
      <c r="Z53" s="679">
        <v>1</v>
      </c>
      <c r="AA53" s="654">
        <f>'Initial_Spares(6B)'!$D$20</f>
        <v>0</v>
      </c>
      <c r="AB53" s="642">
        <f>'GT schd cost(6B)'!X24+'GT schd cost(6B)'!X47</f>
        <v>40</v>
      </c>
    </row>
    <row r="54" spans="1:28" s="102" customFormat="1">
      <c r="A54" s="140" t="s">
        <v>936</v>
      </c>
      <c r="B54" s="603" t="s">
        <v>278</v>
      </c>
      <c r="C54" s="603">
        <f>IF(INT(C$6/$X53)*$X$7&gt;C52*($X$7+$Z53)*$Y53,C52*($X$7+$Z53)-SUM($B54:B54),INT(C$6/$X53)*$X$7-C52*($X$7+$Z53)*($Y53-1)-SUM($B54:B54))+IF($Y53&gt;1,IF(INT(C$6/$X53)&gt;0,$Z53-$AA53,0),-$AA53)</f>
        <v>0</v>
      </c>
      <c r="D54" s="603">
        <f>IF(INT(D$6/$X53)*$X$7&gt;D52*($X$7+$Z53)*$Y53,D52*($X$7+$Z53)-SUM($B54:C54),INT(D$6/$X53)*$X$7-D52*($X$7+$Z53)*($Y53-1)-SUM($B54:C54))+IF($Y53&gt;1,IF(INT(D$6/$X53)&gt;0,$Z53-$AA53,0),-$AA53)</f>
        <v>0</v>
      </c>
      <c r="E54" s="603">
        <f>IF(INT(E$6/$X53)*$X$7&gt;E52*($X$7+$Z53)*$Y53,E52*($X$7+$Z53)-SUM($B54:D54),INT(E$6/$X53)*$X$7-E52*($X$7+$Z53)*($Y53-1)-SUM($B54:D54))+IF($Y53&gt;1,IF(INT(E$6/$X53)&gt;0,$Z53-$AA53,0),-$AA53)</f>
        <v>1</v>
      </c>
      <c r="F54" s="603">
        <f>IF(INT(F$6/$X53)*$X$7&gt;F52*($X$7+$Z53)*$Y53,F52*($X$7+$Z53)-SUM($B54:E54),INT(F$6/$X53)*$X$7-F52*($X$7+$Z53)*($Y53-1)-SUM($B54:E54))+IF($Y53&gt;1,IF(INT(F$6/$X53)&gt;0,$Z53-$AA53,0),-$AA53)</f>
        <v>0</v>
      </c>
      <c r="G54" s="603">
        <f>IF(INT(G$6/$X53)*$X$7&gt;G52*($X$7+$Z53)*$Y53,G52*($X$7+$Z53)-SUM($B54:F54),INT(G$6/$X53)*$X$7-G52*($X$7+$Z53)*($Y53-1)-SUM($B54:F54))+IF($Y53&gt;1,IF(INT(G$6/$X53)&gt;0,$Z53-$AA53,0),-$AA53)</f>
        <v>0</v>
      </c>
      <c r="H54" s="603">
        <f>IF(INT(H$6/$X53)*$X$7&gt;H52*($X$7+$Z53)*$Y53,H52*($X$7+$Z53)-SUM($B54:G54),INT(H$6/$X53)*$X$7-H52*($X$7+$Z53)*($Y53-1)-SUM($B54:G54))+IF($Y53&gt;1,IF(INT(H$6/$X53)&gt;0,$Z53-$AA53,0),-$AA53)</f>
        <v>0</v>
      </c>
      <c r="I54" s="603">
        <f>IF(INT(I$6/$X53)*$X$7&gt;I52*($X$7+$Z53)*$Y53,I52*($X$7+$Z53)-SUM($B54:H54),INT(I$6/$X53)*$X$7-I52*($X$7+$Z53)*($Y53-1)-SUM($B54:H54))+IF($Y53&gt;1,IF(INT(I$6/$X53)&gt;0,$Z53-$AA53,0),-$AA53)</f>
        <v>0</v>
      </c>
      <c r="J54" s="603">
        <f>IF(INT(J$6/$X53)*$X$7&gt;J52*($X$7+$Z53)*$Y53,J52*($X$7+$Z53)-SUM($B54:I54),INT(J$6/$X53)*$X$7-J52*($X$7+$Z53)*($Y53-1)-SUM($B54:I54))+IF($Y53&gt;1,IF(INT(J$6/$X53)&gt;0,$Z53-$AA53,0),-$AA53)</f>
        <v>0</v>
      </c>
      <c r="K54" s="603">
        <f>IF(INT(K$6/$X53)*$X$7&gt;K52*($X$7+$Z53)*$Y53,K52*($X$7+$Z53)-SUM($B54:J54),INT(K$6/$X53)*$X$7-K52*($X$7+$Z53)*($Y53-1)-SUM($B54:J54))+IF($Y53&gt;1,IF(INT(K$6/$X53)&gt;0,$Z53-$AA53,0),-$AA53)</f>
        <v>0</v>
      </c>
      <c r="L54" s="603">
        <f>IF(INT(L$6/$X53)*$X$7&gt;L52*($X$7+$Z53)*$Y53,L52*($X$7+$Z53)-SUM($B54:K54),INT(L$6/$X53)*$X$7-L52*($X$7+$Z53)*($Y53-1)-SUM($B54:K54))+IF($Y53&gt;1,IF(INT(L$6/$X53)&gt;0,$Z53-$AA53,0),-$AA53)</f>
        <v>0</v>
      </c>
      <c r="M54" s="603">
        <f>IF(INT(M$6/$X53)*$X$7&gt;M52*($X$7+$Z53)*$Y53,M52*($X$7+$Z53)-SUM($B54:L54),INT(M$6/$X53)*$X$7-M52*($X$7+$Z53)*($Y53-1)-SUM($B54:L54))+IF($Y53&gt;1,IF(INT(M$6/$X53)&gt;0,$Z53-$AA53,0),-$AA53)</f>
        <v>0</v>
      </c>
      <c r="N54" s="603">
        <f>IF(INT(N$6/$X53)*$X$7&gt;N52*($X$7+$Z53)*$Y53,N52*($X$7+$Z53)-SUM($B54:M54),INT(N$6/$X53)*$X$7-N52*($X$7+$Z53)*($Y53-1)-SUM($B54:M54))+IF($Y53&gt;1,IF(INT(N$6/$X53)&gt;0,$Z53-$AA53,0),-$AA53)</f>
        <v>0</v>
      </c>
      <c r="O54" s="603">
        <f>IF(INT(O$6/$X53)*$X$7&gt;O52*($X$7+$Z53)*$Y53,O52*($X$7+$Z53)-SUM($B54:N54),INT(O$6/$X53)*$X$7-O52*($X$7+$Z53)*($Y53-1)-SUM($B54:N54))+IF($Y53&gt;1,IF(INT(O$6/$X53)&gt;0,$Z53-$AA53,0),-$AA53)</f>
        <v>0</v>
      </c>
      <c r="P54" s="603">
        <f>IF(INT(P$6/$X53)*$X$7&gt;P52*($X$7+$Z53)*$Y53,P52*($X$7+$Z53)-SUM($B54:O54),INT(P$6/$X53)*$X$7-P52*($X$7+$Z53)*($Y53-1)-SUM($B54:O54))+IF($Y53&gt;1,IF(INT(P$6/$X53)&gt;0,$Z53-$AA53,0),-$AA53)</f>
        <v>0</v>
      </c>
      <c r="Q54" s="603">
        <f>IF(INT(Q$6/$X53)*$X$7&gt;Q52*($X$7+$Z53)*$Y53,Q52*($X$7+$Z53)-SUM($B54:P54),INT(Q$6/$X53)*$X$7-Q52*($X$7+$Z53)*($Y53-1)-SUM($B54:P54))+IF($Y53&gt;1,IF(INT(Q$6/$X53)&gt;0,$Z53-$AA53,0),-$AA53)</f>
        <v>0</v>
      </c>
      <c r="R54" s="603">
        <f>IF(INT(R$6/$X53)*$X$7&gt;R52*($X$7+$Z53)*$Y53,R52*($X$7+$Z53)-SUM($B54:Q54),INT(R$6/$X53)*$X$7-R52*($X$7+$Z53)*($Y53-1)-SUM($B54:Q54))+IF($Y53&gt;1,IF(INT(R$6/$X53)&gt;0,$Z53-$AA53,0),-$AA53)</f>
        <v>0</v>
      </c>
      <c r="S54" s="603">
        <f>IF(INT(S$6/$X53)*$X$7&gt;S52*($X$7+$Z53)*$Y53,S52*($X$7+$Z53)-SUM($B54:R54),INT(S$6/$X53)*$X$7-S52*($X$7+$Z53)*($Y53-1)-SUM($B54:R54))+IF($Y53&gt;1,IF(INT(S$6/$X53)&gt;0,$Z53-$AA53,0),-$AA53)</f>
        <v>0</v>
      </c>
      <c r="T54" s="603">
        <f>IF(INT(T$6/$X53)*$X$7&gt;T52*($X$7+$Z53)*$Y53,T52*($X$7+$Z53)-SUM($B54:S54),INT(T$6/$X53)*$X$7-T52*($X$7+$Z53)*($Y53-1)-SUM($B54:S54))+IF($Y53&gt;1,IF(INT(T$6/$X53)&gt;0,$Z53-$AA53,0),-$AA53)</f>
        <v>0</v>
      </c>
      <c r="U54" s="603">
        <f>IF(INT(U$6/$X53)*$X$7&gt;U52*($X$7+$Z53)*$Y53,U52*($X$7+$Z53)-SUM($B54:T54),INT(U$6/$X53)*$X$7-U52*($X$7+$Z53)*($Y53-1)-SUM($B54:T54))+IF($Y53&gt;1,IF(INT(U$6/$X53)&gt;0,$Z53-$AA53,0),-$AA53)</f>
        <v>0</v>
      </c>
      <c r="V54" s="603">
        <f>IF(INT(V$6/$X53)*$X$7&gt;V52*($X$7+$Z53)*$Y53,V52*($X$7+$Z53)-SUM($B54:U54),INT(V$6/$X53)*$X$7-V52*($X$7+$Z53)*($Y53-1)-SUM($B54:U54))+IF($Y53&gt;1,IF(INT(V$6/$X53)&gt;0,$Z53-$AA53,0),-$AA53)</f>
        <v>0</v>
      </c>
      <c r="W54" s="681"/>
      <c r="X54"/>
      <c r="Y54"/>
      <c r="Z54"/>
    </row>
    <row r="55" spans="1:28" s="102" customFormat="1">
      <c r="W55" s="663"/>
    </row>
    <row r="56" spans="1:28" s="102" customFormat="1">
      <c r="A56" s="140" t="s">
        <v>934</v>
      </c>
      <c r="B56" s="603"/>
      <c r="C56" s="140">
        <f t="shared" ref="C56:V56" si="17">INT((INT(C$6/$X57)*$X$7+$X$7+$Z57-1)/($X$7+$Z57)/$Y57)</f>
        <v>0</v>
      </c>
      <c r="D56" s="140">
        <f t="shared" si="17"/>
        <v>0</v>
      </c>
      <c r="E56" s="140">
        <f t="shared" si="17"/>
        <v>0</v>
      </c>
      <c r="F56" s="140">
        <f t="shared" si="17"/>
        <v>0</v>
      </c>
      <c r="G56" s="140">
        <f t="shared" si="17"/>
        <v>0</v>
      </c>
      <c r="H56" s="140">
        <f t="shared" si="17"/>
        <v>0</v>
      </c>
      <c r="I56" s="140">
        <f t="shared" si="17"/>
        <v>0</v>
      </c>
      <c r="J56" s="140">
        <f t="shared" si="17"/>
        <v>0</v>
      </c>
      <c r="K56" s="140">
        <f t="shared" si="17"/>
        <v>0</v>
      </c>
      <c r="L56" s="140">
        <f t="shared" si="17"/>
        <v>0</v>
      </c>
      <c r="M56" s="140">
        <f t="shared" si="17"/>
        <v>0</v>
      </c>
      <c r="N56" s="140">
        <f t="shared" si="17"/>
        <v>0</v>
      </c>
      <c r="O56" s="140">
        <f t="shared" si="17"/>
        <v>0</v>
      </c>
      <c r="P56" s="140">
        <f t="shared" si="17"/>
        <v>0</v>
      </c>
      <c r="Q56" s="140">
        <f t="shared" si="17"/>
        <v>0</v>
      </c>
      <c r="R56" s="140">
        <f t="shared" si="17"/>
        <v>0</v>
      </c>
      <c r="S56" s="140">
        <f t="shared" si="17"/>
        <v>0</v>
      </c>
      <c r="T56" s="140">
        <f t="shared" si="17"/>
        <v>0</v>
      </c>
      <c r="U56" s="140">
        <f t="shared" si="17"/>
        <v>0</v>
      </c>
      <c r="V56" s="140">
        <f t="shared" si="17"/>
        <v>0</v>
      </c>
    </row>
    <row r="57" spans="1:28" s="102" customFormat="1">
      <c r="A57" s="140" t="s">
        <v>935</v>
      </c>
      <c r="B57" s="603" t="s">
        <v>278</v>
      </c>
      <c r="C57" s="603">
        <f>IF($Y57=1,0,$X$7*(INT(C$6/$X57)-INT(B$6/$X57))-IF(SUM($B57:B57)&gt;0,C58,0))</f>
        <v>0</v>
      </c>
      <c r="D57" s="603">
        <f>IF($Y57=1,0,$X$7*(INT(D$6/$X57)-INT(C$6/$X57))-IF(SUM($B57:C57)&gt;0,D58,0))</f>
        <v>0</v>
      </c>
      <c r="E57" s="603">
        <f>IF($Y57=1,0,$X$7*(INT(E$6/$X57)-INT(D$6/$X57))-IF(SUM($B57:D57)&gt;0,E58,0))</f>
        <v>0</v>
      </c>
      <c r="F57" s="603">
        <f>IF($Y57=1,0,$X$7*(INT(F$6/$X57)-INT(E$6/$X57))-IF(SUM($B57:E57)&gt;0,F58,0))</f>
        <v>0</v>
      </c>
      <c r="G57" s="603">
        <f>IF($Y57=1,0,$X$7*(INT(G$6/$X57)-INT(F$6/$X57))-IF(SUM($B57:F57)&gt;0,G58,0))</f>
        <v>0</v>
      </c>
      <c r="H57" s="603">
        <f>IF($Y57=1,0,$X$7*(INT(H$6/$X57)-INT(G$6/$X57))-IF(SUM($B57:G57)&gt;0,H58,0))</f>
        <v>0</v>
      </c>
      <c r="I57" s="603">
        <f>IF($Y57=1,0,$X$7*(INT(I$6/$X57)-INT(H$6/$X57))-IF(SUM($B57:H57)&gt;0,I58,0))</f>
        <v>0</v>
      </c>
      <c r="J57" s="603">
        <f>IF($Y57=1,0,$X$7*(INT(J$6/$X57)-INT(I$6/$X57))-IF(SUM($B57:I57)&gt;0,J58,0))</f>
        <v>0</v>
      </c>
      <c r="K57" s="603">
        <f>IF($Y57=1,0,$X$7*(INT(K$6/$X57)-INT(J$6/$X57))-IF(SUM($B57:J57)&gt;0,K58,0))</f>
        <v>0</v>
      </c>
      <c r="L57" s="603">
        <f>IF($Y57=1,0,$X$7*(INT(L$6/$X57)-INT(K$6/$X57))-IF(SUM($B57:K57)&gt;0,L58,0))</f>
        <v>0</v>
      </c>
      <c r="M57" s="603">
        <f>IF($Y57=1,0,$X$7*(INT(M$6/$X57)-INT(L$6/$X57))-IF(SUM($B57:L57)&gt;0,M58,0))</f>
        <v>0</v>
      </c>
      <c r="N57" s="603">
        <f>IF($Y57=1,0,$X$7*(INT(N$6/$X57)-INT(M$6/$X57))-IF(SUM($B57:M57)&gt;0,N58,0))</f>
        <v>0</v>
      </c>
      <c r="O57" s="603">
        <f>IF($Y57=1,0,$X$7*(INT(O$6/$X57)-INT(N$6/$X57))-IF(SUM($B57:N57)&gt;0,O58,0))</f>
        <v>0</v>
      </c>
      <c r="P57" s="603">
        <f>IF($Y57=1,0,$X$7*(INT(P$6/$X57)-INT(O$6/$X57))-IF(SUM($B57:O57)&gt;0,P58,0))</f>
        <v>0</v>
      </c>
      <c r="Q57" s="603">
        <f>IF($Y57=1,0,$X$7*(INT(Q$6/$X57)-INT(P$6/$X57))-IF(SUM($B57:P57)&gt;0,Q58,0))</f>
        <v>0</v>
      </c>
      <c r="R57" s="603">
        <f>IF($Y57=1,0,$X$7*(INT(R$6/$X57)-INT(Q$6/$X57))-IF(SUM($B57:Q57)&gt;0,R58,0))</f>
        <v>0</v>
      </c>
      <c r="S57" s="603">
        <f>IF($Y57=1,0,$X$7*(INT(S$6/$X57)-INT(R$6/$X57))-IF(SUM($B57:R57)&gt;0,S58,0))</f>
        <v>0</v>
      </c>
      <c r="T57" s="603">
        <f>IF($Y57=1,0,$X$7*(INT(T$6/$X57)-INT(S$6/$X57))-IF(SUM($B57:S57)&gt;0,T58,0))</f>
        <v>0</v>
      </c>
      <c r="U57" s="603">
        <f>IF($Y57=1,0,$X$7*(INT(U$6/$X57)-INT(T$6/$X57))-IF(SUM($B57:T57)&gt;0,U58,0))</f>
        <v>0</v>
      </c>
      <c r="V57" s="603">
        <f>IF($Y57=1,0,$X$7*(INT(V$6/$X57)-INT(U$6/$X57))-IF(SUM($B57:U57)&gt;0,V58,0))</f>
        <v>0</v>
      </c>
      <c r="W57" s="678" t="str">
        <f xml:space="preserve"> 'GT schd cost(6B)'!A25</f>
        <v>1ST STAGE NOZZLES</v>
      </c>
      <c r="X57" s="678">
        <f>IF($AD$6=1,'GTDB(6B)'!B27,'GTDB(6B)'!H27)</f>
        <v>24000</v>
      </c>
      <c r="Y57" s="678">
        <f>IF($AD$6=1,'GTDB(6B)'!C27,'GTDB(6B)'!I27)</f>
        <v>3</v>
      </c>
      <c r="Z57" s="679">
        <v>1</v>
      </c>
      <c r="AA57" s="654">
        <f>'Initial_Spares(6B)'!$D$21</f>
        <v>0</v>
      </c>
      <c r="AB57" s="684">
        <f>'GT schd cost(6B)'!X25+'GT schd cost(6B)'!X48</f>
        <v>315</v>
      </c>
    </row>
    <row r="58" spans="1:28" s="102" customFormat="1">
      <c r="A58" s="140" t="s">
        <v>936</v>
      </c>
      <c r="B58" s="603" t="s">
        <v>278</v>
      </c>
      <c r="C58" s="603">
        <f>IF(INT(C$6/$X57)*$X$7&gt;C56*($X$7+$Z57)*$Y57,C56*($X$7+$Z57)-SUM($B58:B58),INT(C$6/$X57)*$X$7-C56*($X$7+$Z57)*($Y57-1)-SUM($B58:B58))+IF($Y57&gt;1,IF(INT(C$6/$X57)&gt;0,$Z57-$AA57,0),-$AA57)</f>
        <v>0</v>
      </c>
      <c r="D58" s="603">
        <f>IF(INT(D$6/$X57)*$X$7&gt;D56*($X$7+$Z57)*$Y57,D56*($X$7+$Z57)-SUM($B58:C58),INT(D$6/$X57)*$X$7-D56*($X$7+$Z57)*($Y57-1)-SUM($B58:C58))+IF($Y57&gt;1,IF(INT(D$6/$X57)&gt;0,$Z57-$AA57,0),-$AA57)</f>
        <v>0</v>
      </c>
      <c r="E58" s="603">
        <f>IF(INT(E$6/$X57)*$X$7&gt;E56*($X$7+$Z57)*$Y57,E56*($X$7+$Z57)-SUM($B58:D58),INT(E$6/$X57)*$X$7-E56*($X$7+$Z57)*($Y57-1)-SUM($B58:D58))+IF($Y57&gt;1,IF(INT(E$6/$X57)&gt;0,$Z57-$AA57,0),-$AA57)</f>
        <v>1</v>
      </c>
      <c r="F58" s="603">
        <f>IF(INT(F$6/$X57)*$X$7&gt;F56*($X$7+$Z57)*$Y57,F56*($X$7+$Z57)-SUM($B58:E58),INT(F$6/$X57)*$X$7-F56*($X$7+$Z57)*($Y57-1)-SUM($B58:E58))+IF($Y57&gt;1,IF(INT(F$6/$X57)&gt;0,$Z57-$AA57,0),-$AA57)</f>
        <v>0</v>
      </c>
      <c r="G58" s="603">
        <f>IF(INT(G$6/$X57)*$X$7&gt;G56*($X$7+$Z57)*$Y57,G56*($X$7+$Z57)-SUM($B58:F58),INT(G$6/$X57)*$X$7-G56*($X$7+$Z57)*($Y57-1)-SUM($B58:F58))+IF($Y57&gt;1,IF(INT(G$6/$X57)&gt;0,$Z57-$AA57,0),-$AA57)</f>
        <v>0</v>
      </c>
      <c r="H58" s="603">
        <f>IF(INT(H$6/$X57)*$X$7&gt;H56*($X$7+$Z57)*$Y57,H56*($X$7+$Z57)-SUM($B58:G58),INT(H$6/$X57)*$X$7-H56*($X$7+$Z57)*($Y57-1)-SUM($B58:G58))+IF($Y57&gt;1,IF(INT(H$6/$X57)&gt;0,$Z57-$AA57,0),-$AA57)</f>
        <v>0</v>
      </c>
      <c r="I58" s="603">
        <f>IF(INT(I$6/$X57)*$X$7&gt;I56*($X$7+$Z57)*$Y57,I56*($X$7+$Z57)-SUM($B58:H58),INT(I$6/$X57)*$X$7-I56*($X$7+$Z57)*($Y57-1)-SUM($B58:H58))+IF($Y57&gt;1,IF(INT(I$6/$X57)&gt;0,$Z57-$AA57,0),-$AA57)</f>
        <v>0</v>
      </c>
      <c r="J58" s="603">
        <f>IF(INT(J$6/$X57)*$X$7&gt;J56*($X$7+$Z57)*$Y57,J56*($X$7+$Z57)-SUM($B58:I58),INT(J$6/$X57)*$X$7-J56*($X$7+$Z57)*($Y57-1)-SUM($B58:I58))+IF($Y57&gt;1,IF(INT(J$6/$X57)&gt;0,$Z57-$AA57,0),-$AA57)</f>
        <v>0</v>
      </c>
      <c r="K58" s="603">
        <f>IF(INT(K$6/$X57)*$X$7&gt;K56*($X$7+$Z57)*$Y57,K56*($X$7+$Z57)-SUM($B58:J58),INT(K$6/$X57)*$X$7-K56*($X$7+$Z57)*($Y57-1)-SUM($B58:J58))+IF($Y57&gt;1,IF(INT(K$6/$X57)&gt;0,$Z57-$AA57,0),-$AA57)</f>
        <v>0</v>
      </c>
      <c r="L58" s="603">
        <f>IF(INT(L$6/$X57)*$X$7&gt;L56*($X$7+$Z57)*$Y57,L56*($X$7+$Z57)-SUM($B58:K58),INT(L$6/$X57)*$X$7-L56*($X$7+$Z57)*($Y57-1)-SUM($B58:K58))+IF($Y57&gt;1,IF(INT(L$6/$X57)&gt;0,$Z57-$AA57,0),-$AA57)</f>
        <v>0</v>
      </c>
      <c r="M58" s="603">
        <f>IF(INT(M$6/$X57)*$X$7&gt;M56*($X$7+$Z57)*$Y57,M56*($X$7+$Z57)-SUM($B58:L58),INT(M$6/$X57)*$X$7-M56*($X$7+$Z57)*($Y57-1)-SUM($B58:L58))+IF($Y57&gt;1,IF(INT(M$6/$X57)&gt;0,$Z57-$AA57,0),-$AA57)</f>
        <v>0</v>
      </c>
      <c r="N58" s="603">
        <f>IF(INT(N$6/$X57)*$X$7&gt;N56*($X$7+$Z57)*$Y57,N56*($X$7+$Z57)-SUM($B58:M58),INT(N$6/$X57)*$X$7-N56*($X$7+$Z57)*($Y57-1)-SUM($B58:M58))+IF($Y57&gt;1,IF(INT(N$6/$X57)&gt;0,$Z57-$AA57,0),-$AA57)</f>
        <v>0</v>
      </c>
      <c r="O58" s="603">
        <f>IF(INT(O$6/$X57)*$X$7&gt;O56*($X$7+$Z57)*$Y57,O56*($X$7+$Z57)-SUM($B58:N58),INT(O$6/$X57)*$X$7-O56*($X$7+$Z57)*($Y57-1)-SUM($B58:N58))+IF($Y57&gt;1,IF(INT(O$6/$X57)&gt;0,$Z57-$AA57,0),-$AA57)</f>
        <v>0</v>
      </c>
      <c r="P58" s="603">
        <f>IF(INT(P$6/$X57)*$X$7&gt;P56*($X$7+$Z57)*$Y57,P56*($X$7+$Z57)-SUM($B58:O58),INT(P$6/$X57)*$X$7-P56*($X$7+$Z57)*($Y57-1)-SUM($B58:O58))+IF($Y57&gt;1,IF(INT(P$6/$X57)&gt;0,$Z57-$AA57,0),-$AA57)</f>
        <v>0</v>
      </c>
      <c r="Q58" s="603">
        <f>IF(INT(Q$6/$X57)*$X$7&gt;Q56*($X$7+$Z57)*$Y57,Q56*($X$7+$Z57)-SUM($B58:P58),INT(Q$6/$X57)*$X$7-Q56*($X$7+$Z57)*($Y57-1)-SUM($B58:P58))+IF($Y57&gt;1,IF(INT(Q$6/$X57)&gt;0,$Z57-$AA57,0),-$AA57)</f>
        <v>0</v>
      </c>
      <c r="R58" s="603">
        <f>IF(INT(R$6/$X57)*$X$7&gt;R56*($X$7+$Z57)*$Y57,R56*($X$7+$Z57)-SUM($B58:Q58),INT(R$6/$X57)*$X$7-R56*($X$7+$Z57)*($Y57-1)-SUM($B58:Q58))+IF($Y57&gt;1,IF(INT(R$6/$X57)&gt;0,$Z57-$AA57,0),-$AA57)</f>
        <v>0</v>
      </c>
      <c r="S58" s="603">
        <f>IF(INT(S$6/$X57)*$X$7&gt;S56*($X$7+$Z57)*$Y57,S56*($X$7+$Z57)-SUM($B58:R58),INT(S$6/$X57)*$X$7-S56*($X$7+$Z57)*($Y57-1)-SUM($B58:R58))+IF($Y57&gt;1,IF(INT(S$6/$X57)&gt;0,$Z57-$AA57,0),-$AA57)</f>
        <v>0</v>
      </c>
      <c r="T58" s="603">
        <f>IF(INT(T$6/$X57)*$X$7&gt;T56*($X$7+$Z57)*$Y57,T56*($X$7+$Z57)-SUM($B58:S58),INT(T$6/$X57)*$X$7-T56*($X$7+$Z57)*($Y57-1)-SUM($B58:S58))+IF($Y57&gt;1,IF(INT(T$6/$X57)&gt;0,$Z57-$AA57,0),-$AA57)</f>
        <v>0</v>
      </c>
      <c r="U58" s="603">
        <f>IF(INT(U$6/$X57)*$X$7&gt;U56*($X$7+$Z57)*$Y57,U56*($X$7+$Z57)-SUM($B58:T58),INT(U$6/$X57)*$X$7-U56*($X$7+$Z57)*($Y57-1)-SUM($B58:T58))+IF($Y57&gt;1,IF(INT(U$6/$X57)&gt;0,$Z57-$AA57,0),-$AA57)</f>
        <v>0</v>
      </c>
      <c r="V58" s="603">
        <f>IF(INT(V$6/$X57)*$X$7&gt;V56*($X$7+$Z57)*$Y57,V56*($X$7+$Z57)-SUM($B58:U58),INT(V$6/$X57)*$X$7-V56*($X$7+$Z57)*($Y57-1)-SUM($B58:U58))+IF($Y57&gt;1,IF(INT(V$6/$X57)&gt;0,$Z57-$AA57,0),-$AA57)</f>
        <v>0</v>
      </c>
      <c r="W58" s="681"/>
      <c r="X58"/>
      <c r="Y58"/>
      <c r="Z58"/>
    </row>
    <row r="60" spans="1:28">
      <c r="A60" s="140" t="s">
        <v>934</v>
      </c>
      <c r="B60" s="603"/>
      <c r="C60" s="140">
        <f t="shared" ref="C60:V60" si="18">INT((INT(C$6/$X61)*$X$7+$X$7+$Z61-1)/($X$7+$Z61)/$Y61)</f>
        <v>0</v>
      </c>
      <c r="D60" s="140">
        <f t="shared" si="18"/>
        <v>0</v>
      </c>
      <c r="E60" s="140">
        <f t="shared" si="18"/>
        <v>0</v>
      </c>
      <c r="F60" s="140">
        <f t="shared" si="18"/>
        <v>0</v>
      </c>
      <c r="G60" s="140">
        <f t="shared" si="18"/>
        <v>0</v>
      </c>
      <c r="H60" s="140">
        <f t="shared" si="18"/>
        <v>0</v>
      </c>
      <c r="I60" s="140">
        <f t="shared" si="18"/>
        <v>0</v>
      </c>
      <c r="J60" s="140">
        <f t="shared" si="18"/>
        <v>0</v>
      </c>
      <c r="K60" s="140">
        <f t="shared" si="18"/>
        <v>0</v>
      </c>
      <c r="L60" s="140">
        <f t="shared" si="18"/>
        <v>0</v>
      </c>
      <c r="M60" s="140">
        <f t="shared" si="18"/>
        <v>0</v>
      </c>
      <c r="N60" s="140">
        <f t="shared" si="18"/>
        <v>0</v>
      </c>
      <c r="O60" s="140">
        <f t="shared" si="18"/>
        <v>0</v>
      </c>
      <c r="P60" s="140">
        <f t="shared" si="18"/>
        <v>0</v>
      </c>
      <c r="Q60" s="140">
        <f t="shared" si="18"/>
        <v>0</v>
      </c>
      <c r="R60" s="140">
        <f t="shared" si="18"/>
        <v>0</v>
      </c>
      <c r="S60" s="140">
        <f t="shared" si="18"/>
        <v>0</v>
      </c>
      <c r="T60" s="140">
        <f t="shared" si="18"/>
        <v>0</v>
      </c>
      <c r="U60" s="140">
        <f t="shared" si="18"/>
        <v>0</v>
      </c>
      <c r="V60" s="140">
        <f t="shared" si="18"/>
        <v>0</v>
      </c>
    </row>
    <row r="61" spans="1:28">
      <c r="A61" s="140" t="s">
        <v>935</v>
      </c>
      <c r="B61" s="603" t="s">
        <v>278</v>
      </c>
      <c r="C61" s="603">
        <f>IF($Y61=1,0,$X$7*(INT(C$6/$X61)-INT(B$6/$X61))-IF(SUM($B61:B61)&gt;0,C62,0))</f>
        <v>0</v>
      </c>
      <c r="D61" s="603">
        <f>IF($Y61=1,0,$X$7*(INT(D$6/$X61)-INT(C$6/$X61))-IF(SUM($B61:C61)&gt;0,D62,0))</f>
        <v>0</v>
      </c>
      <c r="E61" s="603">
        <f>IF($Y61=1,0,$X$7*(INT(E$6/$X61)-INT(D$6/$X61))-IF(SUM($B61:D61)&gt;0,E62,0))</f>
        <v>0</v>
      </c>
      <c r="F61" s="603">
        <f>IF($Y61=1,0,$X$7*(INT(F$6/$X61)-INT(E$6/$X61))-IF(SUM($B61:E61)&gt;0,F62,0))</f>
        <v>0</v>
      </c>
      <c r="G61" s="603">
        <f>IF($Y61=1,0,$X$7*(INT(G$6/$X61)-INT(F$6/$X61))-IF(SUM($B61:F61)&gt;0,G62,0))</f>
        <v>0</v>
      </c>
      <c r="H61" s="603">
        <f>IF($Y61=1,0,$X$7*(INT(H$6/$X61)-INT(G$6/$X61))-IF(SUM($B61:G61)&gt;0,H62,0))</f>
        <v>0</v>
      </c>
      <c r="I61" s="603">
        <f>IF($Y61=1,0,$X$7*(INT(I$6/$X61)-INT(H$6/$X61))-IF(SUM($B61:H61)&gt;0,I62,0))</f>
        <v>0</v>
      </c>
      <c r="J61" s="603">
        <f>IF($Y61=1,0,$X$7*(INT(J$6/$X61)-INT(I$6/$X61))-IF(SUM($B61:I61)&gt;0,J62,0))</f>
        <v>0</v>
      </c>
      <c r="K61" s="603">
        <f>IF($Y61=1,0,$X$7*(INT(K$6/$X61)-INT(J$6/$X61))-IF(SUM($B61:J61)&gt;0,K62,0))</f>
        <v>0</v>
      </c>
      <c r="L61" s="603">
        <f>IF($Y61=1,0,$X$7*(INT(L$6/$X61)-INT(K$6/$X61))-IF(SUM($B61:K61)&gt;0,L62,0))</f>
        <v>0</v>
      </c>
      <c r="M61" s="603">
        <f>IF($Y61=1,0,$X$7*(INT(M$6/$X61)-INT(L$6/$X61))-IF(SUM($B61:L61)&gt;0,M62,0))</f>
        <v>0</v>
      </c>
      <c r="N61" s="603">
        <f>IF($Y61=1,0,$X$7*(INT(N$6/$X61)-INT(M$6/$X61))-IF(SUM($B61:M61)&gt;0,N62,0))</f>
        <v>0</v>
      </c>
      <c r="O61" s="603">
        <f>IF($Y61=1,0,$X$7*(INT(O$6/$X61)-INT(N$6/$X61))-IF(SUM($B61:N61)&gt;0,O62,0))</f>
        <v>0</v>
      </c>
      <c r="P61" s="603">
        <f>IF($Y61=1,0,$X$7*(INT(P$6/$X61)-INT(O$6/$X61))-IF(SUM($B61:O61)&gt;0,P62,0))</f>
        <v>0</v>
      </c>
      <c r="Q61" s="603">
        <f>IF($Y61=1,0,$X$7*(INT(Q$6/$X61)-INT(P$6/$X61))-IF(SUM($B61:P61)&gt;0,Q62,0))</f>
        <v>0</v>
      </c>
      <c r="R61" s="603">
        <f>IF($Y61=1,0,$X$7*(INT(R$6/$X61)-INT(Q$6/$X61))-IF(SUM($B61:Q61)&gt;0,R62,0))</f>
        <v>0</v>
      </c>
      <c r="S61" s="603">
        <f>IF($Y61=1,0,$X$7*(INT(S$6/$X61)-INT(R$6/$X61))-IF(SUM($B61:R61)&gt;0,S62,0))</f>
        <v>0</v>
      </c>
      <c r="T61" s="603">
        <f>IF($Y61=1,0,$X$7*(INT(T$6/$X61)-INT(S$6/$X61))-IF(SUM($B61:S61)&gt;0,T62,0))</f>
        <v>0</v>
      </c>
      <c r="U61" s="603">
        <f>IF($Y61=1,0,$X$7*(INT(U$6/$X61)-INT(T$6/$X61))-IF(SUM($B61:T61)&gt;0,U62,0))</f>
        <v>0</v>
      </c>
      <c r="V61" s="603">
        <f>IF($Y61=1,0,$X$7*(INT(V$6/$X61)-INT(U$6/$X61))-IF(SUM($B61:U61)&gt;0,V62,0))</f>
        <v>0</v>
      </c>
      <c r="W61" s="683" t="str">
        <f>'GT schd cost(6B)'!A26</f>
        <v>2ND STAGE NOZZLES</v>
      </c>
      <c r="X61" s="678">
        <f>IF($AD$6=1,'GTDB(6B)'!B28,'GTDB(6B)'!H28)</f>
        <v>24000</v>
      </c>
      <c r="Y61" s="678">
        <f>IF($AD$6=1,'GTDB(6B)'!C28,'GTDB(6B)'!I28)</f>
        <v>3</v>
      </c>
      <c r="Z61" s="679">
        <v>1</v>
      </c>
      <c r="AA61" s="654">
        <f>'Initial_Spares(6B)'!$D$22</f>
        <v>0</v>
      </c>
      <c r="AB61" s="684">
        <f>'GT schd cost(6B)'!X26+'GT schd cost(6B)'!X49</f>
        <v>33</v>
      </c>
    </row>
    <row r="62" spans="1:28">
      <c r="A62" s="140" t="s">
        <v>936</v>
      </c>
      <c r="B62" s="603" t="s">
        <v>278</v>
      </c>
      <c r="C62" s="603">
        <f>IF(INT(C$6/$X61)*$X$7&gt;C59*($X$7+$Z61)*$Y61,C59*($X$7+$Z61)-SUM($B62:B62),INT(C$6/$X61)*$X$7-C59*($X$7+$Z61)*($Y61-1)-SUM($B62:B62))+IF($Y61&gt;1,IF(INT(C$6/$X61)&gt;0,$Z61-$AA61,0),-$AA61)</f>
        <v>0</v>
      </c>
      <c r="D62" s="603">
        <f>IF(INT(D$6/$X61)*$X$7&gt;D59*($X$7+$Z61)*$Y61,D59*($X$7+$Z61)-SUM($B62:C62),INT(D$6/$X61)*$X$7-D59*($X$7+$Z61)*($Y61-1)-SUM($B62:C62))+IF($Y61&gt;1,IF(INT(D$6/$X61)&gt;0,$Z61-$AA61,0),-$AA61)</f>
        <v>0</v>
      </c>
      <c r="E62" s="603">
        <f>IF(INT(E$6/$X61)*$X$7&gt;E59*($X$7+$Z61)*$Y61,E59*($X$7+$Z61)-SUM($B62:D62),INT(E$6/$X61)*$X$7-E59*($X$7+$Z61)*($Y61-1)-SUM($B62:D62))+IF($Y61&gt;1,IF(INT(E$6/$X61)&gt;0,$Z61-$AA61,0),-$AA61)</f>
        <v>1</v>
      </c>
      <c r="F62" s="603">
        <f>IF(INT(F$6/$X61)*$X$7&gt;F59*($X$7+$Z61)*$Y61,F59*($X$7+$Z61)-SUM($B62:E62),INT(F$6/$X61)*$X$7-F59*($X$7+$Z61)*($Y61-1)-SUM($B62:E62))+IF($Y61&gt;1,IF(INT(F$6/$X61)&gt;0,$Z61-$AA61,0),-$AA61)</f>
        <v>0</v>
      </c>
      <c r="G62" s="603">
        <f>IF(INT(G$6/$X61)*$X$7&gt;G59*($X$7+$Z61)*$Y61,G59*($X$7+$Z61)-SUM($B62:F62),INT(G$6/$X61)*$X$7-G59*($X$7+$Z61)*($Y61-1)-SUM($B62:F62))+IF($Y61&gt;1,IF(INT(G$6/$X61)&gt;0,$Z61-$AA61,0),-$AA61)</f>
        <v>0</v>
      </c>
      <c r="H62" s="603">
        <f>IF(INT(H$6/$X61)*$X$7&gt;H59*($X$7+$Z61)*$Y61,H59*($X$7+$Z61)-SUM($B62:G62),INT(H$6/$X61)*$X$7-H59*($X$7+$Z61)*($Y61-1)-SUM($B62:G62))+IF($Y61&gt;1,IF(INT(H$6/$X61)&gt;0,$Z61-$AA61,0),-$AA61)</f>
        <v>0</v>
      </c>
      <c r="I62" s="603">
        <f>IF(INT(I$6/$X61)*$X$7&gt;I59*($X$7+$Z61)*$Y61,I59*($X$7+$Z61)-SUM($B62:H62),INT(I$6/$X61)*$X$7-I59*($X$7+$Z61)*($Y61-1)-SUM($B62:H62))+IF($Y61&gt;1,IF(INT(I$6/$X61)&gt;0,$Z61-$AA61,0),-$AA61)</f>
        <v>0</v>
      </c>
      <c r="J62" s="603">
        <f>IF(INT(J$6/$X61)*$X$7&gt;J59*($X$7+$Z61)*$Y61,J59*($X$7+$Z61)-SUM($B62:I62),INT(J$6/$X61)*$X$7-J59*($X$7+$Z61)*($Y61-1)-SUM($B62:I62))+IF($Y61&gt;1,IF(INT(J$6/$X61)&gt;0,$Z61-$AA61,0),-$AA61)</f>
        <v>0</v>
      </c>
      <c r="K62" s="603">
        <f>IF(INT(K$6/$X61)*$X$7&gt;K59*($X$7+$Z61)*$Y61,K59*($X$7+$Z61)-SUM($B62:J62),INT(K$6/$X61)*$X$7-K59*($X$7+$Z61)*($Y61-1)-SUM($B62:J62))+IF($Y61&gt;1,IF(INT(K$6/$X61)&gt;0,$Z61-$AA61,0),-$AA61)</f>
        <v>0</v>
      </c>
      <c r="L62" s="603">
        <f>IF(INT(L$6/$X61)*$X$7&gt;L59*($X$7+$Z61)*$Y61,L59*($X$7+$Z61)-SUM($B62:K62),INT(L$6/$X61)*$X$7-L59*($X$7+$Z61)*($Y61-1)-SUM($B62:K62))+IF($Y61&gt;1,IF(INT(L$6/$X61)&gt;0,$Z61-$AA61,0),-$AA61)</f>
        <v>0</v>
      </c>
      <c r="M62" s="603">
        <f>IF(INT(M$6/$X61)*$X$7&gt;M59*($X$7+$Z61)*$Y61,M59*($X$7+$Z61)-SUM($B62:L62),INT(M$6/$X61)*$X$7-M59*($X$7+$Z61)*($Y61-1)-SUM($B62:L62))+IF($Y61&gt;1,IF(INT(M$6/$X61)&gt;0,$Z61-$AA61,0),-$AA61)</f>
        <v>0</v>
      </c>
      <c r="N62" s="603">
        <f>IF(INT(N$6/$X61)*$X$7&gt;N59*($X$7+$Z61)*$Y61,N59*($X$7+$Z61)-SUM($B62:M62),INT(N$6/$X61)*$X$7-N59*($X$7+$Z61)*($Y61-1)-SUM($B62:M62))+IF($Y61&gt;1,IF(INT(N$6/$X61)&gt;0,$Z61-$AA61,0),-$AA61)</f>
        <v>0</v>
      </c>
      <c r="O62" s="603">
        <f>IF(INT(O$6/$X61)*$X$7&gt;O59*($X$7+$Z61)*$Y61,O59*($X$7+$Z61)-SUM($B62:N62),INT(O$6/$X61)*$X$7-O59*($X$7+$Z61)*($Y61-1)-SUM($B62:N62))+IF($Y61&gt;1,IF(INT(O$6/$X61)&gt;0,$Z61-$AA61,0),-$AA61)</f>
        <v>0</v>
      </c>
      <c r="P62" s="603">
        <f>IF(INT(P$6/$X61)*$X$7&gt;P59*($X$7+$Z61)*$Y61,P59*($X$7+$Z61)-SUM($B62:O62),INT(P$6/$X61)*$X$7-P59*($X$7+$Z61)*($Y61-1)-SUM($B62:O62))+IF($Y61&gt;1,IF(INT(P$6/$X61)&gt;0,$Z61-$AA61,0),-$AA61)</f>
        <v>0</v>
      </c>
      <c r="Q62" s="603">
        <f>IF(INT(Q$6/$X61)*$X$7&gt;Q59*($X$7+$Z61)*$Y61,Q59*($X$7+$Z61)-SUM($B62:P62),INT(Q$6/$X61)*$X$7-Q59*($X$7+$Z61)*($Y61-1)-SUM($B62:P62))+IF($Y61&gt;1,IF(INT(Q$6/$X61)&gt;0,$Z61-$AA61,0),-$AA61)</f>
        <v>0</v>
      </c>
      <c r="R62" s="603">
        <f>IF(INT(R$6/$X61)*$X$7&gt;R59*($X$7+$Z61)*$Y61,R59*($X$7+$Z61)-SUM($B62:Q62),INT(R$6/$X61)*$X$7-R59*($X$7+$Z61)*($Y61-1)-SUM($B62:Q62))+IF($Y61&gt;1,IF(INT(R$6/$X61)&gt;0,$Z61-$AA61,0),-$AA61)</f>
        <v>0</v>
      </c>
      <c r="S62" s="603">
        <f>IF(INT(S$6/$X61)*$X$7&gt;S59*($X$7+$Z61)*$Y61,S59*($X$7+$Z61)-SUM($B62:R62),INT(S$6/$X61)*$X$7-S59*($X$7+$Z61)*($Y61-1)-SUM($B62:R62))+IF($Y61&gt;1,IF(INT(S$6/$X61)&gt;0,$Z61-$AA61,0),-$AA61)</f>
        <v>0</v>
      </c>
      <c r="T62" s="603">
        <f>IF(INT(T$6/$X61)*$X$7&gt;T59*($X$7+$Z61)*$Y61,T59*($X$7+$Z61)-SUM($B62:S62),INT(T$6/$X61)*$X$7-T59*($X$7+$Z61)*($Y61-1)-SUM($B62:S62))+IF($Y61&gt;1,IF(INT(T$6/$X61)&gt;0,$Z61-$AA61,0),-$AA61)</f>
        <v>0</v>
      </c>
      <c r="U62" s="603">
        <f>IF(INT(U$6/$X61)*$X$7&gt;U59*($X$7+$Z61)*$Y61,U59*($X$7+$Z61)-SUM($B62:T62),INT(U$6/$X61)*$X$7-U59*($X$7+$Z61)*($Y61-1)-SUM($B62:T62))+IF($Y61&gt;1,IF(INT(U$6/$X61)&gt;0,$Z61-$AA61,0),-$AA61)</f>
        <v>0</v>
      </c>
      <c r="V62" s="603">
        <f>IF(INT(V$6/$X61)*$X$7&gt;V59*($X$7+$Z61)*$Y61,V59*($X$7+$Z61)-SUM($B62:U62),INT(V$6/$X61)*$X$7-V59*($X$7+$Z61)*($Y61-1)-SUM($B62:U62))+IF($Y61&gt;1,IF(INT(V$6/$X61)&gt;0,$Z61-$AA61,0),-$AA61)</f>
        <v>0</v>
      </c>
      <c r="W62" s="681"/>
      <c r="AA62" s="102"/>
      <c r="AB62" s="102"/>
    </row>
    <row r="64" spans="1:28">
      <c r="A64" s="140" t="s">
        <v>934</v>
      </c>
      <c r="B64" s="603"/>
      <c r="C64" s="140">
        <f t="shared" ref="C64:V64" si="19">INT((INT(C$6/$X65)*$X$7+$X$7+$Z65-1)/($X$7+$Z65)/$Y65)</f>
        <v>0</v>
      </c>
      <c r="D64" s="140">
        <f t="shared" si="19"/>
        <v>0</v>
      </c>
      <c r="E64" s="140">
        <f t="shared" si="19"/>
        <v>0</v>
      </c>
      <c r="F64" s="140">
        <f t="shared" si="19"/>
        <v>0</v>
      </c>
      <c r="G64" s="140">
        <f t="shared" si="19"/>
        <v>0</v>
      </c>
      <c r="H64" s="140">
        <f t="shared" si="19"/>
        <v>0</v>
      </c>
      <c r="I64" s="140">
        <f t="shared" si="19"/>
        <v>0</v>
      </c>
      <c r="J64" s="140">
        <f t="shared" si="19"/>
        <v>0</v>
      </c>
      <c r="K64" s="140">
        <f t="shared" si="19"/>
        <v>0</v>
      </c>
      <c r="L64" s="140">
        <f t="shared" si="19"/>
        <v>0</v>
      </c>
      <c r="M64" s="140">
        <f t="shared" si="19"/>
        <v>0</v>
      </c>
      <c r="N64" s="140">
        <f t="shared" si="19"/>
        <v>0</v>
      </c>
      <c r="O64" s="140">
        <f t="shared" si="19"/>
        <v>0</v>
      </c>
      <c r="P64" s="140">
        <f t="shared" si="19"/>
        <v>0</v>
      </c>
      <c r="Q64" s="140">
        <f t="shared" si="19"/>
        <v>0</v>
      </c>
      <c r="R64" s="140">
        <f t="shared" si="19"/>
        <v>0</v>
      </c>
      <c r="S64" s="140">
        <f t="shared" si="19"/>
        <v>0</v>
      </c>
      <c r="T64" s="140">
        <f t="shared" si="19"/>
        <v>0</v>
      </c>
      <c r="U64" s="140">
        <f t="shared" si="19"/>
        <v>0</v>
      </c>
      <c r="V64" s="140">
        <f t="shared" si="19"/>
        <v>0</v>
      </c>
    </row>
    <row r="65" spans="1:28">
      <c r="A65" s="140" t="s">
        <v>935</v>
      </c>
      <c r="B65" s="603" t="s">
        <v>278</v>
      </c>
      <c r="C65" s="603">
        <f>IF($Y65=1,0,$X$7*(INT(C$6/$X65)-INT(B$6/$X65))-IF(SUM($B65:B65)&gt;0,C66,0))</f>
        <v>0</v>
      </c>
      <c r="D65" s="603">
        <f>IF($Y65=1,0,$X$7*(INT(D$6/$X65)-INT(C$6/$X65))-IF(SUM($B65:C65)&gt;0,D66,0))</f>
        <v>0</v>
      </c>
      <c r="E65" s="603">
        <f>IF($Y65=1,0,$X$7*(INT(E$6/$X65)-INT(D$6/$X65))-IF(SUM($B65:D65)&gt;0,E66,0))</f>
        <v>0</v>
      </c>
      <c r="F65" s="603">
        <f>IF($Y65=1,0,$X$7*(INT(F$6/$X65)-INT(E$6/$X65))-IF(SUM($B65:E65)&gt;0,F66,0))</f>
        <v>0</v>
      </c>
      <c r="G65" s="603">
        <f>IF($Y65=1,0,$X$7*(INT(G$6/$X65)-INT(F$6/$X65))-IF(SUM($B65:F65)&gt;0,G66,0))</f>
        <v>0</v>
      </c>
      <c r="H65" s="603">
        <f>IF($Y65=1,0,$X$7*(INT(H$6/$X65)-INT(G$6/$X65))-IF(SUM($B65:G65)&gt;0,H66,0))</f>
        <v>0</v>
      </c>
      <c r="I65" s="603">
        <f>IF($Y65=1,0,$X$7*(INT(I$6/$X65)-INT(H$6/$X65))-IF(SUM($B65:H65)&gt;0,I66,0))</f>
        <v>0</v>
      </c>
      <c r="J65" s="603">
        <f>IF($Y65=1,0,$X$7*(INT(J$6/$X65)-INT(I$6/$X65))-IF(SUM($B65:I65)&gt;0,J66,0))</f>
        <v>0</v>
      </c>
      <c r="K65" s="603">
        <f>IF($Y65=1,0,$X$7*(INT(K$6/$X65)-INT(J$6/$X65))-IF(SUM($B65:J65)&gt;0,K66,0))</f>
        <v>0</v>
      </c>
      <c r="L65" s="603">
        <f>IF($Y65=1,0,$X$7*(INT(L$6/$X65)-INT(K$6/$X65))-IF(SUM($B65:K65)&gt;0,L66,0))</f>
        <v>0</v>
      </c>
      <c r="M65" s="603">
        <f>IF($Y65=1,0,$X$7*(INT(M$6/$X65)-INT(L$6/$X65))-IF(SUM($B65:L65)&gt;0,M66,0))</f>
        <v>0</v>
      </c>
      <c r="N65" s="603">
        <f>IF($Y65=1,0,$X$7*(INT(N$6/$X65)-INT(M$6/$X65))-IF(SUM($B65:M65)&gt;0,N66,0))</f>
        <v>0</v>
      </c>
      <c r="O65" s="603">
        <f>IF($Y65=1,0,$X$7*(INT(O$6/$X65)-INT(N$6/$X65))-IF(SUM($B65:N65)&gt;0,O66,0))</f>
        <v>0</v>
      </c>
      <c r="P65" s="603">
        <f>IF($Y65=1,0,$X$7*(INT(P$6/$X65)-INT(O$6/$X65))-IF(SUM($B65:O65)&gt;0,P66,0))</f>
        <v>0</v>
      </c>
      <c r="Q65" s="603">
        <f>IF($Y65=1,0,$X$7*(INT(Q$6/$X65)-INT(P$6/$X65))-IF(SUM($B65:P65)&gt;0,Q66,0))</f>
        <v>0</v>
      </c>
      <c r="R65" s="603">
        <f>IF($Y65=1,0,$X$7*(INT(R$6/$X65)-INT(Q$6/$X65))-IF(SUM($B65:Q65)&gt;0,R66,0))</f>
        <v>0</v>
      </c>
      <c r="S65" s="603">
        <f>IF($Y65=1,0,$X$7*(INT(S$6/$X65)-INT(R$6/$X65))-IF(SUM($B65:R65)&gt;0,S66,0))</f>
        <v>0</v>
      </c>
      <c r="T65" s="603">
        <f>IF($Y65=1,0,$X$7*(INT(T$6/$X65)-INT(S$6/$X65))-IF(SUM($B65:S65)&gt;0,T66,0))</f>
        <v>0</v>
      </c>
      <c r="U65" s="603">
        <f>IF($Y65=1,0,$X$7*(INT(U$6/$X65)-INT(T$6/$X65))-IF(SUM($B65:T65)&gt;0,U66,0))</f>
        <v>0</v>
      </c>
      <c r="V65" s="603">
        <f>IF($Y65=1,0,$X$7*(INT(V$6/$X65)-INT(U$6/$X65))-IF(SUM($B65:U65)&gt;0,V66,0))</f>
        <v>0</v>
      </c>
      <c r="W65" s="683" t="str">
        <f>'GT schd cost(6B)'!A27</f>
        <v>3RD STAGE NOZZLES</v>
      </c>
      <c r="X65" s="678">
        <f>IF($AD$6=1,'GTDB(6B)'!B29,'GTDB(6B)'!H29)</f>
        <v>24000</v>
      </c>
      <c r="Y65" s="678">
        <f>IF($AD$6=1,'GTDB(6B)'!C29,'GTDB(6B)'!I29)</f>
        <v>3</v>
      </c>
      <c r="Z65" s="679">
        <v>1</v>
      </c>
      <c r="AA65" s="654">
        <f>'Initial_Spares(6B)'!$D$23</f>
        <v>0</v>
      </c>
      <c r="AB65" s="684">
        <f>'GT schd cost(6B)'!X27+'GT schd cost(6B)'!X50</f>
        <v>0</v>
      </c>
    </row>
    <row r="66" spans="1:28">
      <c r="A66" s="140" t="s">
        <v>936</v>
      </c>
      <c r="B66" s="603" t="s">
        <v>278</v>
      </c>
      <c r="C66" s="603">
        <f>IF(INT(C$6/$X65)*$X$7&gt;C63*($X$7+$Z65)*$Y65,C63*($X$7+$Z65)-SUM($B66:B66),INT(C$6/$X65)*$X$7-C63*($X$7+$Z65)*($Y65-1)-SUM($B66:B66))+IF($Y65&gt;1,IF(INT(C$6/$X65)&gt;0,$Z65-$AA65,0),-$AA65)</f>
        <v>0</v>
      </c>
      <c r="D66" s="603">
        <f>IF(INT(D$6/$X65)*$X$7&gt;D63*($X$7+$Z65)*$Y65,D63*($X$7+$Z65)-SUM($B66:C66),INT(D$6/$X65)*$X$7-D63*($X$7+$Z65)*($Y65-1)-SUM($B66:C66))+IF($Y65&gt;1,IF(INT(D$6/$X65)&gt;0,$Z65-$AA65,0),-$AA65)</f>
        <v>0</v>
      </c>
      <c r="E66" s="603">
        <f>IF(INT(E$6/$X65)*$X$7&gt;E63*($X$7+$Z65)*$Y65,E63*($X$7+$Z65)-SUM($B66:D66),INT(E$6/$X65)*$X$7-E63*($X$7+$Z65)*($Y65-1)-SUM($B66:D66))+IF($Y65&gt;1,IF(INT(E$6/$X65)&gt;0,$Z65-$AA65,0),-$AA65)</f>
        <v>1</v>
      </c>
      <c r="F66" s="603">
        <f>IF(INT(F$6/$X65)*$X$7&gt;F63*($X$7+$Z65)*$Y65,F63*($X$7+$Z65)-SUM($B66:E66),INT(F$6/$X65)*$X$7-F63*($X$7+$Z65)*($Y65-1)-SUM($B66:E66))+IF($Y65&gt;1,IF(INT(F$6/$X65)&gt;0,$Z65-$AA65,0),-$AA65)</f>
        <v>0</v>
      </c>
      <c r="G66" s="603">
        <f>IF(INT(G$6/$X65)*$X$7&gt;G63*($X$7+$Z65)*$Y65,G63*($X$7+$Z65)-SUM($B66:F66),INT(G$6/$X65)*$X$7-G63*($X$7+$Z65)*($Y65-1)-SUM($B66:F66))+IF($Y65&gt;1,IF(INT(G$6/$X65)&gt;0,$Z65-$AA65,0),-$AA65)</f>
        <v>0</v>
      </c>
      <c r="H66" s="603">
        <f>IF(INT(H$6/$X65)*$X$7&gt;H63*($X$7+$Z65)*$Y65,H63*($X$7+$Z65)-SUM($B66:G66),INT(H$6/$X65)*$X$7-H63*($X$7+$Z65)*($Y65-1)-SUM($B66:G66))+IF($Y65&gt;1,IF(INT(H$6/$X65)&gt;0,$Z65-$AA65,0),-$AA65)</f>
        <v>0</v>
      </c>
      <c r="I66" s="603">
        <f>IF(INT(I$6/$X65)*$X$7&gt;I63*($X$7+$Z65)*$Y65,I63*($X$7+$Z65)-SUM($B66:H66),INT(I$6/$X65)*$X$7-I63*($X$7+$Z65)*($Y65-1)-SUM($B66:H66))+IF($Y65&gt;1,IF(INT(I$6/$X65)&gt;0,$Z65-$AA65,0),-$AA65)</f>
        <v>0</v>
      </c>
      <c r="J66" s="603">
        <f>IF(INT(J$6/$X65)*$X$7&gt;J63*($X$7+$Z65)*$Y65,J63*($X$7+$Z65)-SUM($B66:I66),INT(J$6/$X65)*$X$7-J63*($X$7+$Z65)*($Y65-1)-SUM($B66:I66))+IF($Y65&gt;1,IF(INT(J$6/$X65)&gt;0,$Z65-$AA65,0),-$AA65)</f>
        <v>0</v>
      </c>
      <c r="K66" s="603">
        <f>IF(INT(K$6/$X65)*$X$7&gt;K63*($X$7+$Z65)*$Y65,K63*($X$7+$Z65)-SUM($B66:J66),INT(K$6/$X65)*$X$7-K63*($X$7+$Z65)*($Y65-1)-SUM($B66:J66))+IF($Y65&gt;1,IF(INT(K$6/$X65)&gt;0,$Z65-$AA65,0),-$AA65)</f>
        <v>0</v>
      </c>
      <c r="L66" s="603">
        <f>IF(INT(L$6/$X65)*$X$7&gt;L63*($X$7+$Z65)*$Y65,L63*($X$7+$Z65)-SUM($B66:K66),INT(L$6/$X65)*$X$7-L63*($X$7+$Z65)*($Y65-1)-SUM($B66:K66))+IF($Y65&gt;1,IF(INT(L$6/$X65)&gt;0,$Z65-$AA65,0),-$AA65)</f>
        <v>0</v>
      </c>
      <c r="M66" s="603">
        <f>IF(INT(M$6/$X65)*$X$7&gt;M63*($X$7+$Z65)*$Y65,M63*($X$7+$Z65)-SUM($B66:L66),INT(M$6/$X65)*$X$7-M63*($X$7+$Z65)*($Y65-1)-SUM($B66:L66))+IF($Y65&gt;1,IF(INT(M$6/$X65)&gt;0,$Z65-$AA65,0),-$AA65)</f>
        <v>0</v>
      </c>
      <c r="N66" s="603">
        <f>IF(INT(N$6/$X65)*$X$7&gt;N63*($X$7+$Z65)*$Y65,N63*($X$7+$Z65)-SUM($B66:M66),INT(N$6/$X65)*$X$7-N63*($X$7+$Z65)*($Y65-1)-SUM($B66:M66))+IF($Y65&gt;1,IF(INT(N$6/$X65)&gt;0,$Z65-$AA65,0),-$AA65)</f>
        <v>0</v>
      </c>
      <c r="O66" s="603">
        <f>IF(INT(O$6/$X65)*$X$7&gt;O63*($X$7+$Z65)*$Y65,O63*($X$7+$Z65)-SUM($B66:N66),INT(O$6/$X65)*$X$7-O63*($X$7+$Z65)*($Y65-1)-SUM($B66:N66))+IF($Y65&gt;1,IF(INT(O$6/$X65)&gt;0,$Z65-$AA65,0),-$AA65)</f>
        <v>0</v>
      </c>
      <c r="P66" s="603">
        <f>IF(INT(P$6/$X65)*$X$7&gt;P63*($X$7+$Z65)*$Y65,P63*($X$7+$Z65)-SUM($B66:O66),INT(P$6/$X65)*$X$7-P63*($X$7+$Z65)*($Y65-1)-SUM($B66:O66))+IF($Y65&gt;1,IF(INT(P$6/$X65)&gt;0,$Z65-$AA65,0),-$AA65)</f>
        <v>0</v>
      </c>
      <c r="Q66" s="603">
        <f>IF(INT(Q$6/$X65)*$X$7&gt;Q63*($X$7+$Z65)*$Y65,Q63*($X$7+$Z65)-SUM($B66:P66),INT(Q$6/$X65)*$X$7-Q63*($X$7+$Z65)*($Y65-1)-SUM($B66:P66))+IF($Y65&gt;1,IF(INT(Q$6/$X65)&gt;0,$Z65-$AA65,0),-$AA65)</f>
        <v>0</v>
      </c>
      <c r="R66" s="603">
        <f>IF(INT(R$6/$X65)*$X$7&gt;R63*($X$7+$Z65)*$Y65,R63*($X$7+$Z65)-SUM($B66:Q66),INT(R$6/$X65)*$X$7-R63*($X$7+$Z65)*($Y65-1)-SUM($B66:Q66))+IF($Y65&gt;1,IF(INT(R$6/$X65)&gt;0,$Z65-$AA65,0),-$AA65)</f>
        <v>0</v>
      </c>
      <c r="S66" s="603">
        <f>IF(INT(S$6/$X65)*$X$7&gt;S63*($X$7+$Z65)*$Y65,S63*($X$7+$Z65)-SUM($B66:R66),INT(S$6/$X65)*$X$7-S63*($X$7+$Z65)*($Y65-1)-SUM($B66:R66))+IF($Y65&gt;1,IF(INT(S$6/$X65)&gt;0,$Z65-$AA65,0),-$AA65)</f>
        <v>0</v>
      </c>
      <c r="T66" s="603">
        <f>IF(INT(T$6/$X65)*$X$7&gt;T63*($X$7+$Z65)*$Y65,T63*($X$7+$Z65)-SUM($B66:S66),INT(T$6/$X65)*$X$7-T63*($X$7+$Z65)*($Y65-1)-SUM($B66:S66))+IF($Y65&gt;1,IF(INT(T$6/$X65)&gt;0,$Z65-$AA65,0),-$AA65)</f>
        <v>0</v>
      </c>
      <c r="U66" s="603">
        <f>IF(INT(U$6/$X65)*$X$7&gt;U63*($X$7+$Z65)*$Y65,U63*($X$7+$Z65)-SUM($B66:T66),INT(U$6/$X65)*$X$7-U63*($X$7+$Z65)*($Y65-1)-SUM($B66:T66))+IF($Y65&gt;1,IF(INT(U$6/$X65)&gt;0,$Z65-$AA65,0),-$AA65)</f>
        <v>0</v>
      </c>
      <c r="V66" s="603">
        <f>IF(INT(V$6/$X65)*$X$7&gt;V63*($X$7+$Z65)*$Y65,V63*($X$7+$Z65)-SUM($B66:U66),INT(V$6/$X65)*$X$7-V63*($X$7+$Z65)*($Y65-1)-SUM($B66:U66))+IF($Y65&gt;1,IF(INT(V$6/$X65)&gt;0,$Z65-$AA65,0),-$AA65)</f>
        <v>0</v>
      </c>
      <c r="W66" s="681"/>
      <c r="AA66" s="102"/>
      <c r="AB66" s="102"/>
    </row>
  </sheetData>
  <pageMargins left="0.75" right="0.75" top="1" bottom="1" header="0.5" footer="0.5"/>
  <pageSetup scale="47" firstPageNumber="34" orientation="landscape" useFirstPageNumber="1" horizontalDpi="4294967292" r:id="rId1"/>
  <headerFooter alignWithMargins="0">
    <oddHeader>&amp;LHERMOSILLO</oddHeader>
    <oddFooter xml:space="preserve">&amp;Ldkwok&amp;C
&amp;R&amp;F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26</xdr:col>
                    <xdr:colOff>123825</xdr:colOff>
                    <xdr:row>4</xdr:row>
                    <xdr:rowOff>76200</xdr:rowOff>
                  </from>
                  <to>
                    <xdr:col>27</xdr:col>
                    <xdr:colOff>647700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26</xdr:col>
                    <xdr:colOff>142875</xdr:colOff>
                    <xdr:row>5</xdr:row>
                    <xdr:rowOff>161925</xdr:rowOff>
                  </from>
                  <to>
                    <xdr:col>27</xdr:col>
                    <xdr:colOff>523875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2"/>
  <dimension ref="A2:Q43"/>
  <sheetViews>
    <sheetView topLeftCell="A3" zoomScale="75" zoomScaleNormal="100" workbookViewId="0">
      <selection activeCell="D23" sqref="D23"/>
    </sheetView>
  </sheetViews>
  <sheetFormatPr defaultRowHeight="12.75"/>
  <cols>
    <col min="1" max="1" width="26" customWidth="1"/>
    <col min="2" max="2" width="10.140625" bestFit="1" customWidth="1"/>
    <col min="8" max="8" width="9.28515625" bestFit="1" customWidth="1"/>
  </cols>
  <sheetData>
    <row r="2" spans="1:14" ht="21" customHeight="1">
      <c r="A2" s="685" t="s">
        <v>937</v>
      </c>
      <c r="B2" s="102"/>
      <c r="C2" s="102"/>
      <c r="D2" s="102"/>
      <c r="E2" s="102"/>
      <c r="F2" s="102"/>
    </row>
    <row r="3" spans="1:14" ht="11.25" customHeight="1">
      <c r="A3" s="685"/>
      <c r="B3" s="102"/>
      <c r="C3" s="102"/>
      <c r="D3" s="102"/>
      <c r="E3" s="102"/>
      <c r="F3" s="102"/>
    </row>
    <row r="4" spans="1:14">
      <c r="A4" s="615" t="s">
        <v>938</v>
      </c>
      <c r="B4" s="686" t="s">
        <v>959</v>
      </c>
      <c r="C4" s="686"/>
      <c r="D4" s="102"/>
      <c r="E4" s="102"/>
      <c r="F4" s="102"/>
    </row>
    <row r="5" spans="1:14">
      <c r="A5" s="615" t="s">
        <v>939</v>
      </c>
      <c r="B5" s="686" t="s">
        <v>31</v>
      </c>
      <c r="C5" s="686"/>
      <c r="D5" s="102"/>
      <c r="E5" s="102" t="s">
        <v>278</v>
      </c>
      <c r="F5" s="102"/>
    </row>
    <row r="6" spans="1:14">
      <c r="A6" s="615" t="s">
        <v>940</v>
      </c>
      <c r="B6" s="720">
        <v>36600</v>
      </c>
      <c r="C6" s="102"/>
      <c r="D6" s="102"/>
      <c r="E6" s="102" t="s">
        <v>278</v>
      </c>
      <c r="F6" s="102"/>
    </row>
    <row r="7" spans="1:14">
      <c r="A7" s="615" t="s">
        <v>941</v>
      </c>
      <c r="B7" s="102" t="s">
        <v>1011</v>
      </c>
      <c r="C7" s="102"/>
      <c r="D7" s="102"/>
      <c r="E7" s="102"/>
      <c r="F7" s="102"/>
    </row>
    <row r="8" spans="1:14">
      <c r="A8" s="615" t="s">
        <v>278</v>
      </c>
      <c r="B8" s="102"/>
      <c r="C8" s="102"/>
      <c r="D8" s="102"/>
      <c r="E8" s="102"/>
      <c r="F8" s="102"/>
    </row>
    <row r="9" spans="1:14">
      <c r="A9" s="615" t="s">
        <v>278</v>
      </c>
      <c r="B9" s="102" t="s">
        <v>278</v>
      </c>
      <c r="C9" s="102"/>
      <c r="D9" s="102"/>
      <c r="E9" s="102"/>
      <c r="F9" s="102"/>
    </row>
    <row r="10" spans="1:14" s="687" customFormat="1"/>
    <row r="11" spans="1:14" s="687" customFormat="1" ht="26.25" thickBot="1">
      <c r="A11" s="688" t="s">
        <v>278</v>
      </c>
      <c r="B11" s="688" t="s">
        <v>942</v>
      </c>
      <c r="C11" s="688" t="s">
        <v>943</v>
      </c>
      <c r="D11" s="688" t="s">
        <v>944</v>
      </c>
      <c r="H11" s="688" t="s">
        <v>945</v>
      </c>
    </row>
    <row r="12" spans="1:14">
      <c r="A12" s="689" t="s">
        <v>946</v>
      </c>
      <c r="B12" s="690">
        <v>12000</v>
      </c>
      <c r="C12" s="694">
        <f t="shared" ref="C12:D14" si="0">F12/1000</f>
        <v>45.744</v>
      </c>
      <c r="D12" s="694">
        <f t="shared" si="0"/>
        <v>34</v>
      </c>
      <c r="F12">
        <v>45744</v>
      </c>
      <c r="G12">
        <v>34000</v>
      </c>
      <c r="H12" s="690">
        <v>1200</v>
      </c>
    </row>
    <row r="13" spans="1:14">
      <c r="A13" s="140" t="s">
        <v>947</v>
      </c>
      <c r="B13" s="691">
        <v>24000</v>
      </c>
      <c r="C13" s="694">
        <f t="shared" si="0"/>
        <v>84.123999999999995</v>
      </c>
      <c r="D13" s="694">
        <f t="shared" si="0"/>
        <v>44</v>
      </c>
      <c r="F13">
        <v>84124</v>
      </c>
      <c r="G13">
        <v>44000</v>
      </c>
      <c r="H13" s="691">
        <v>1200</v>
      </c>
    </row>
    <row r="14" spans="1:14">
      <c r="A14" s="140" t="s">
        <v>948</v>
      </c>
      <c r="B14" s="691">
        <v>48000</v>
      </c>
      <c r="C14" s="694">
        <f t="shared" si="0"/>
        <v>178.90799999999999</v>
      </c>
      <c r="D14" s="694">
        <f t="shared" si="0"/>
        <v>162</v>
      </c>
      <c r="F14">
        <v>178908</v>
      </c>
      <c r="G14">
        <v>162000</v>
      </c>
      <c r="H14" s="691">
        <v>2400</v>
      </c>
      <c r="N14" s="670"/>
    </row>
    <row r="16" spans="1:14" s="687" customFormat="1" ht="39" thickBot="1">
      <c r="A16" s="692" t="s">
        <v>949</v>
      </c>
      <c r="B16" s="692" t="s">
        <v>950</v>
      </c>
      <c r="C16" s="692" t="s">
        <v>951</v>
      </c>
      <c r="D16" s="692" t="s">
        <v>952</v>
      </c>
      <c r="E16" s="692" t="s">
        <v>953</v>
      </c>
      <c r="F16" s="693"/>
      <c r="G16" s="693"/>
      <c r="H16" s="688" t="s">
        <v>954</v>
      </c>
      <c r="I16" s="688" t="s">
        <v>955</v>
      </c>
    </row>
    <row r="17" spans="1:17">
      <c r="A17" s="729" t="s">
        <v>32</v>
      </c>
      <c r="B17" s="730">
        <v>12000</v>
      </c>
      <c r="C17" s="730">
        <v>3</v>
      </c>
      <c r="D17" s="729">
        <f t="shared" ref="D17:D29" si="1">F17/1000</f>
        <v>8</v>
      </c>
      <c r="E17" s="729">
        <f t="shared" ref="E17:E29" si="2">G17/1000</f>
        <v>13</v>
      </c>
      <c r="F17" s="805">
        <v>8000</v>
      </c>
      <c r="G17" s="686">
        <v>13000</v>
      </c>
      <c r="H17" s="699">
        <v>1200</v>
      </c>
      <c r="I17" s="731">
        <v>3</v>
      </c>
      <c r="M17" s="670"/>
    </row>
    <row r="18" spans="1:17">
      <c r="A18" s="697" t="s">
        <v>33</v>
      </c>
      <c r="B18" s="730">
        <v>12000</v>
      </c>
      <c r="C18" s="698">
        <v>3</v>
      </c>
      <c r="D18" s="729">
        <f t="shared" si="1"/>
        <v>2</v>
      </c>
      <c r="E18" s="729">
        <f t="shared" si="2"/>
        <v>10.5</v>
      </c>
      <c r="F18" s="805">
        <v>2000</v>
      </c>
      <c r="G18" s="686">
        <v>10500</v>
      </c>
      <c r="H18" s="699">
        <v>1200</v>
      </c>
      <c r="I18" s="700">
        <v>3</v>
      </c>
      <c r="Q18" s="670"/>
    </row>
    <row r="19" spans="1:17">
      <c r="A19" s="697" t="s">
        <v>34</v>
      </c>
      <c r="B19" s="730">
        <v>12000</v>
      </c>
      <c r="C19" s="698">
        <v>5</v>
      </c>
      <c r="D19" s="729">
        <f t="shared" si="1"/>
        <v>14.574999999999999</v>
      </c>
      <c r="E19" s="729">
        <f t="shared" si="2"/>
        <v>87</v>
      </c>
      <c r="F19" s="805">
        <v>14575</v>
      </c>
      <c r="G19" s="686">
        <v>87000</v>
      </c>
      <c r="H19" s="699">
        <v>1200</v>
      </c>
      <c r="I19" s="700">
        <v>5</v>
      </c>
    </row>
    <row r="20" spans="1:17">
      <c r="A20" s="697" t="s">
        <v>35</v>
      </c>
      <c r="B20" s="730">
        <v>12000</v>
      </c>
      <c r="C20" s="698">
        <v>6</v>
      </c>
      <c r="D20" s="729">
        <f t="shared" si="1"/>
        <v>20.399999999999999</v>
      </c>
      <c r="E20" s="729">
        <f t="shared" si="2"/>
        <v>127</v>
      </c>
      <c r="F20" s="805">
        <v>20400</v>
      </c>
      <c r="G20" s="686">
        <v>127000</v>
      </c>
      <c r="H20" s="699">
        <v>1200</v>
      </c>
      <c r="I20" s="700">
        <v>6</v>
      </c>
      <c r="L20" s="670"/>
    </row>
    <row r="21" spans="1:17">
      <c r="A21" s="650" t="s">
        <v>36</v>
      </c>
      <c r="B21" s="701">
        <v>24000</v>
      </c>
      <c r="C21" s="701">
        <v>2</v>
      </c>
      <c r="D21" s="806">
        <f t="shared" si="1"/>
        <v>86.4</v>
      </c>
      <c r="E21" s="806">
        <f t="shared" si="2"/>
        <v>375</v>
      </c>
      <c r="F21" s="807">
        <v>86400</v>
      </c>
      <c r="G21" s="808">
        <v>375000</v>
      </c>
      <c r="H21" s="699">
        <v>1200</v>
      </c>
      <c r="I21" s="700">
        <v>3</v>
      </c>
    </row>
    <row r="22" spans="1:17">
      <c r="A22" s="650" t="s">
        <v>37</v>
      </c>
      <c r="B22" s="701">
        <v>24000</v>
      </c>
      <c r="C22" s="701">
        <v>3</v>
      </c>
      <c r="D22" s="806">
        <f t="shared" si="1"/>
        <v>39.840000000000003</v>
      </c>
      <c r="E22" s="806">
        <f t="shared" si="2"/>
        <v>275</v>
      </c>
      <c r="F22" s="807">
        <v>39840</v>
      </c>
      <c r="G22" s="808">
        <v>275000</v>
      </c>
      <c r="H22" s="699">
        <v>1200</v>
      </c>
      <c r="I22" s="700">
        <v>4</v>
      </c>
    </row>
    <row r="23" spans="1:17">
      <c r="A23" s="650" t="s">
        <v>38</v>
      </c>
      <c r="B23" s="701">
        <v>24000</v>
      </c>
      <c r="C23" s="701">
        <v>3</v>
      </c>
      <c r="D23" s="806">
        <f t="shared" si="1"/>
        <v>42.13</v>
      </c>
      <c r="E23" s="806">
        <f t="shared" si="2"/>
        <v>270</v>
      </c>
      <c r="F23" s="807">
        <v>42130</v>
      </c>
      <c r="G23" s="808">
        <v>270000</v>
      </c>
      <c r="H23" s="699">
        <v>1200</v>
      </c>
      <c r="I23" s="700">
        <v>4</v>
      </c>
    </row>
    <row r="24" spans="1:17">
      <c r="A24" s="650" t="s">
        <v>39</v>
      </c>
      <c r="B24" s="701">
        <v>24000</v>
      </c>
      <c r="C24" s="701">
        <v>2</v>
      </c>
      <c r="D24" s="806">
        <f t="shared" si="1"/>
        <v>15.6</v>
      </c>
      <c r="E24" s="806">
        <f t="shared" si="2"/>
        <v>75</v>
      </c>
      <c r="F24" s="807">
        <v>15600</v>
      </c>
      <c r="G24" s="808">
        <v>75000</v>
      </c>
      <c r="H24" s="699">
        <v>1200</v>
      </c>
      <c r="I24" s="700">
        <v>2</v>
      </c>
    </row>
    <row r="25" spans="1:17">
      <c r="A25" s="650" t="s">
        <v>40</v>
      </c>
      <c r="B25" s="701">
        <v>24000</v>
      </c>
      <c r="C25" s="701">
        <v>3</v>
      </c>
      <c r="D25" s="806">
        <f t="shared" si="1"/>
        <v>11</v>
      </c>
      <c r="E25" s="806">
        <f t="shared" si="2"/>
        <v>65</v>
      </c>
      <c r="F25" s="807">
        <v>11000</v>
      </c>
      <c r="G25" s="808">
        <v>65000</v>
      </c>
      <c r="H25" s="699">
        <v>1200</v>
      </c>
      <c r="I25" s="700">
        <v>4</v>
      </c>
      <c r="L25" s="670"/>
    </row>
    <row r="26" spans="1:17">
      <c r="A26" s="650" t="s">
        <v>41</v>
      </c>
      <c r="B26" s="701">
        <v>24000</v>
      </c>
      <c r="C26" s="701">
        <v>3</v>
      </c>
      <c r="D26" s="806">
        <f t="shared" si="1"/>
        <v>12.9</v>
      </c>
      <c r="E26" s="806">
        <f t="shared" si="2"/>
        <v>40</v>
      </c>
      <c r="F26" s="807">
        <v>12900</v>
      </c>
      <c r="G26" s="808">
        <v>40000</v>
      </c>
      <c r="H26" s="699">
        <v>1200</v>
      </c>
      <c r="I26" s="700">
        <v>4</v>
      </c>
    </row>
    <row r="27" spans="1:17">
      <c r="A27" s="650" t="s">
        <v>42</v>
      </c>
      <c r="B27" s="701">
        <v>24000</v>
      </c>
      <c r="C27" s="701">
        <v>3</v>
      </c>
      <c r="D27" s="806">
        <f t="shared" si="1"/>
        <v>65.5</v>
      </c>
      <c r="E27" s="806">
        <f t="shared" si="2"/>
        <v>315</v>
      </c>
      <c r="F27" s="807">
        <v>65500</v>
      </c>
      <c r="G27" s="808">
        <v>315000</v>
      </c>
      <c r="H27" s="699">
        <v>1200</v>
      </c>
      <c r="I27" s="700">
        <v>3</v>
      </c>
    </row>
    <row r="28" spans="1:17">
      <c r="A28" s="650" t="s">
        <v>43</v>
      </c>
      <c r="B28" s="701">
        <v>24000</v>
      </c>
      <c r="C28" s="701">
        <v>3</v>
      </c>
      <c r="D28" s="806">
        <f t="shared" si="1"/>
        <v>33</v>
      </c>
      <c r="E28" s="806">
        <f t="shared" si="2"/>
        <v>370</v>
      </c>
      <c r="F28" s="807">
        <v>33000</v>
      </c>
      <c r="G28" s="809">
        <v>370000</v>
      </c>
      <c r="H28" s="699">
        <v>1200</v>
      </c>
      <c r="I28" s="700">
        <v>3</v>
      </c>
    </row>
    <row r="29" spans="1:17">
      <c r="A29" s="650" t="s">
        <v>44</v>
      </c>
      <c r="B29" s="701">
        <v>24000</v>
      </c>
      <c r="C29" s="701">
        <v>3</v>
      </c>
      <c r="D29" s="806">
        <f t="shared" si="1"/>
        <v>25.07</v>
      </c>
      <c r="E29" s="806">
        <f t="shared" si="2"/>
        <v>325</v>
      </c>
      <c r="F29" s="807">
        <v>25070</v>
      </c>
      <c r="G29" s="808">
        <v>325000</v>
      </c>
      <c r="H29" s="699">
        <v>1200</v>
      </c>
      <c r="I29" s="810">
        <v>3</v>
      </c>
    </row>
    <row r="30" spans="1:17" hidden="1">
      <c r="A30" s="650" t="s">
        <v>45</v>
      </c>
      <c r="B30" s="701"/>
      <c r="C30" s="701"/>
      <c r="D30" s="705"/>
      <c r="E30" s="694">
        <f>G30/1000</f>
        <v>34</v>
      </c>
      <c r="F30" s="811"/>
      <c r="G30" s="663">
        <v>34000</v>
      </c>
      <c r="H30" s="702">
        <v>1200</v>
      </c>
      <c r="I30" s="705"/>
    </row>
    <row r="31" spans="1:17" hidden="1">
      <c r="A31" s="650" t="s">
        <v>46</v>
      </c>
      <c r="B31" s="701"/>
      <c r="C31" s="701"/>
      <c r="D31" s="705"/>
      <c r="E31" s="694">
        <f>G31/1000</f>
        <v>44</v>
      </c>
      <c r="F31" s="811"/>
      <c r="G31" s="663">
        <v>44000</v>
      </c>
      <c r="H31" s="702">
        <v>1200</v>
      </c>
      <c r="I31" s="705"/>
    </row>
    <row r="32" spans="1:17" hidden="1">
      <c r="A32" s="712" t="s">
        <v>47</v>
      </c>
      <c r="B32" s="701"/>
      <c r="C32" s="701"/>
      <c r="D32" s="705"/>
      <c r="E32" s="694">
        <f>G32/1000</f>
        <v>162</v>
      </c>
      <c r="F32" s="811"/>
      <c r="G32" s="663">
        <v>162000</v>
      </c>
      <c r="H32" s="702">
        <v>1200</v>
      </c>
      <c r="I32" s="705"/>
    </row>
    <row r="33" spans="1:9" hidden="1">
      <c r="A33" s="712" t="s">
        <v>48</v>
      </c>
      <c r="B33" s="701"/>
      <c r="C33" s="701"/>
      <c r="D33" s="705"/>
      <c r="E33" s="694">
        <f>G33/1000</f>
        <v>11.07</v>
      </c>
      <c r="F33" s="811"/>
      <c r="G33" s="663">
        <v>11070</v>
      </c>
      <c r="H33" s="702">
        <v>1200</v>
      </c>
      <c r="I33" s="705"/>
    </row>
    <row r="34" spans="1:9">
      <c r="A34" s="812"/>
      <c r="B34" s="711"/>
      <c r="C34" s="711"/>
      <c r="D34" s="812"/>
      <c r="E34" s="812"/>
      <c r="F34" s="486"/>
      <c r="G34" s="486"/>
      <c r="H34" s="812"/>
      <c r="I34" s="812"/>
    </row>
    <row r="35" spans="1:9">
      <c r="A35" s="710"/>
      <c r="B35" s="711"/>
      <c r="C35" s="711"/>
      <c r="D35" s="710"/>
      <c r="E35" s="710"/>
      <c r="F35" s="813"/>
      <c r="G35" s="486"/>
      <c r="H35" s="812"/>
      <c r="I35" s="812"/>
    </row>
    <row r="36" spans="1:9">
      <c r="A36" s="710"/>
      <c r="B36" s="711"/>
      <c r="C36" s="711"/>
      <c r="D36" s="710"/>
      <c r="E36" s="710"/>
      <c r="F36" s="813"/>
      <c r="G36" s="486"/>
      <c r="H36" s="812"/>
      <c r="I36" s="812"/>
    </row>
    <row r="37" spans="1:9">
      <c r="A37" s="710"/>
      <c r="B37" s="711"/>
      <c r="C37" s="711"/>
      <c r="D37" s="710"/>
      <c r="E37" s="710"/>
      <c r="F37" s="813"/>
      <c r="G37" s="486"/>
      <c r="H37" s="812"/>
      <c r="I37" s="812"/>
    </row>
    <row r="39" spans="1:9">
      <c r="A39" s="706" t="s">
        <v>957</v>
      </c>
      <c r="B39" s="707"/>
      <c r="C39" s="707"/>
      <c r="D39" s="707"/>
      <c r="E39" s="708"/>
      <c r="F39" s="102"/>
    </row>
    <row r="40" spans="1:9">
      <c r="A40" s="152"/>
      <c r="B40" s="102"/>
      <c r="C40" s="102"/>
      <c r="D40" s="102"/>
      <c r="E40" s="80"/>
      <c r="F40" s="102"/>
    </row>
    <row r="41" spans="1:9">
      <c r="A41" s="152"/>
      <c r="B41" s="102"/>
      <c r="C41" s="102"/>
      <c r="D41" s="102"/>
      <c r="E41" s="80"/>
      <c r="F41" s="102"/>
    </row>
    <row r="42" spans="1:9">
      <c r="A42" s="152"/>
      <c r="B42" s="102"/>
      <c r="C42" s="102"/>
      <c r="D42" s="102"/>
      <c r="E42" s="80"/>
      <c r="F42" s="102"/>
    </row>
    <row r="43" spans="1:9">
      <c r="A43" s="709"/>
      <c r="B43" s="617"/>
      <c r="C43" s="617"/>
      <c r="D43" s="617"/>
      <c r="E43" s="618"/>
      <c r="F43" s="102"/>
    </row>
  </sheetData>
  <pageMargins left="0.75" right="0.75" top="1" bottom="1" header="0.5" footer="0.5"/>
  <pageSetup scale="92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1">
    <pageSetUpPr fitToPage="1"/>
  </sheetPr>
  <dimension ref="A2:X67"/>
  <sheetViews>
    <sheetView topLeftCell="F20" zoomScale="75" zoomScaleNormal="75" workbookViewId="0">
      <selection activeCell="F37" sqref="F37:G37"/>
    </sheetView>
  </sheetViews>
  <sheetFormatPr defaultRowHeight="12.75"/>
  <cols>
    <col min="1" max="1" width="18.28515625" style="640" customWidth="1"/>
    <col min="2" max="2" width="10.28515625" customWidth="1"/>
    <col min="3" max="4" width="9.28515625" bestFit="1" customWidth="1"/>
    <col min="24" max="24" width="9.85546875" style="635" bestFit="1" customWidth="1"/>
  </cols>
  <sheetData>
    <row r="2" spans="1:24" ht="18">
      <c r="A2" s="722" t="str">
        <f>CONCATENATE('rotation(7FA)'!$X$7,"x",'GTDB(7FA)'!$B$5," GT Scheduled Maintenance  Cost")</f>
        <v>2xGE-Frame 7FA GT Scheduled Maintenance  Cost</v>
      </c>
      <c r="B2" s="374"/>
    </row>
    <row r="4" spans="1:24">
      <c r="A4" s="636" t="s">
        <v>1220</v>
      </c>
      <c r="B4" s="140"/>
      <c r="C4" s="140"/>
      <c r="D4" s="140">
        <v>1</v>
      </c>
      <c r="E4" s="140">
        <v>2</v>
      </c>
      <c r="F4" s="140">
        <v>3</v>
      </c>
      <c r="G4" s="140">
        <v>4</v>
      </c>
      <c r="H4" s="140">
        <v>5</v>
      </c>
      <c r="I4" s="140">
        <v>6</v>
      </c>
      <c r="J4" s="140">
        <v>7</v>
      </c>
      <c r="K4" s="140">
        <v>8</v>
      </c>
      <c r="L4" s="140">
        <v>9</v>
      </c>
      <c r="M4" s="140">
        <v>10</v>
      </c>
      <c r="N4" s="140">
        <v>11</v>
      </c>
      <c r="O4" s="140">
        <v>12</v>
      </c>
      <c r="P4" s="140">
        <v>13</v>
      </c>
      <c r="Q4" s="140">
        <v>14</v>
      </c>
      <c r="R4" s="140">
        <v>15</v>
      </c>
      <c r="S4" s="140">
        <v>16</v>
      </c>
      <c r="T4" s="140">
        <v>17</v>
      </c>
      <c r="U4" s="140">
        <v>18</v>
      </c>
      <c r="V4" s="140">
        <v>19</v>
      </c>
      <c r="W4" s="140">
        <v>20</v>
      </c>
      <c r="X4" s="635" t="s">
        <v>898</v>
      </c>
    </row>
    <row r="5" spans="1:24">
      <c r="A5" s="636" t="s">
        <v>1226</v>
      </c>
      <c r="B5" s="140"/>
      <c r="C5" s="140"/>
      <c r="D5" s="637" t="str">
        <f>CONCATENATE('rotation(7FA)'!C$12,'rotation(7FA)'!C$13,'rotation(7FA)'!C$14)</f>
        <v xml:space="preserve">C  </v>
      </c>
      <c r="E5" s="637" t="str">
        <f>CONCATENATE('rotation(7FA)'!D$12,'rotation(7FA)'!D$13,'rotation(7FA)'!D$14)</f>
        <v xml:space="preserve">C  </v>
      </c>
      <c r="F5" s="637" t="str">
        <f>CONCATENATE('rotation(7FA)'!E$12,'rotation(7FA)'!E$13,'rotation(7FA)'!E$14)</f>
        <v xml:space="preserve"> H </v>
      </c>
      <c r="G5" s="637" t="str">
        <f>CONCATENATE('rotation(7FA)'!F$12,'rotation(7FA)'!F$13,'rotation(7FA)'!F$14)</f>
        <v xml:space="preserve">C  </v>
      </c>
      <c r="H5" s="637" t="str">
        <f>CONCATENATE('rotation(7FA)'!G$12,'rotation(7FA)'!G$13,'rotation(7FA)'!G$14)</f>
        <v xml:space="preserve">C  </v>
      </c>
      <c r="I5" s="637" t="str">
        <f>CONCATENATE('rotation(7FA)'!H$12,'rotation(7FA)'!H$13,'rotation(7FA)'!H$14)</f>
        <v xml:space="preserve">  M</v>
      </c>
      <c r="J5" s="637" t="str">
        <f>CONCATENATE('rotation(7FA)'!I$12,'rotation(7FA)'!I$13,'rotation(7FA)'!I$14)</f>
        <v xml:space="preserve">C  </v>
      </c>
      <c r="K5" s="637" t="str">
        <f>CONCATENATE('rotation(7FA)'!J$12,'rotation(7FA)'!J$13,'rotation(7FA)'!J$14)</f>
        <v xml:space="preserve">C  </v>
      </c>
      <c r="L5" s="637" t="str">
        <f>CONCATENATE('rotation(7FA)'!K$12,'rotation(7FA)'!K$13,'rotation(7FA)'!K$14)</f>
        <v xml:space="preserve"> H </v>
      </c>
      <c r="M5" s="637" t="str">
        <f>CONCATENATE('rotation(7FA)'!L$12,'rotation(7FA)'!L$13,'rotation(7FA)'!L$14)</f>
        <v xml:space="preserve">C  </v>
      </c>
      <c r="N5" s="637" t="str">
        <f>CONCATENATE('rotation(7FA)'!M$12,'rotation(7FA)'!M$13,'rotation(7FA)'!M$14)</f>
        <v xml:space="preserve">C  </v>
      </c>
      <c r="O5" s="637" t="str">
        <f>CONCATENATE('rotation(7FA)'!N$12,'rotation(7FA)'!N$13,'rotation(7FA)'!N$14)</f>
        <v xml:space="preserve">  M</v>
      </c>
      <c r="P5" s="637" t="str">
        <f>CONCATENATE('rotation(7FA)'!O$12,'rotation(7FA)'!O$13,'rotation(7FA)'!O$14)</f>
        <v xml:space="preserve">C  </v>
      </c>
      <c r="Q5" s="637" t="str">
        <f>CONCATENATE('rotation(7FA)'!P$12,'rotation(7FA)'!P$13,'rotation(7FA)'!P$14)</f>
        <v xml:space="preserve">C  </v>
      </c>
      <c r="R5" s="637" t="str">
        <f>CONCATENATE('rotation(7FA)'!Q$12,'rotation(7FA)'!Q$13,'rotation(7FA)'!Q$14)</f>
        <v xml:space="preserve"> H </v>
      </c>
      <c r="S5" s="637" t="str">
        <f>CONCATENATE('rotation(7FA)'!R$12,'rotation(7FA)'!R$13,'rotation(7FA)'!R$14)</f>
        <v xml:space="preserve">C  </v>
      </c>
      <c r="T5" s="637" t="str">
        <f>CONCATENATE('rotation(7FA)'!S$12,'rotation(7FA)'!S$13,'rotation(7FA)'!S$14)</f>
        <v xml:space="preserve">C  </v>
      </c>
      <c r="U5" s="637" t="str">
        <f>CONCATENATE('rotation(7FA)'!T$12,'rotation(7FA)'!T$13,'rotation(7FA)'!T$14)</f>
        <v xml:space="preserve">  M</v>
      </c>
      <c r="V5" s="637" t="str">
        <f>CONCATENATE('rotation(7FA)'!U$12,'rotation(7FA)'!U$13,'rotation(7FA)'!U$14)</f>
        <v xml:space="preserve">C  </v>
      </c>
      <c r="W5" s="637" t="str">
        <f>CONCATENATE('rotation(7FA)'!V$12,'rotation(7FA)'!V$13,'rotation(7FA)'!V$14)</f>
        <v xml:space="preserve">C  </v>
      </c>
    </row>
    <row r="6" spans="1:24">
      <c r="A6" s="636" t="s">
        <v>1227</v>
      </c>
      <c r="B6" s="140"/>
      <c r="C6" s="140"/>
      <c r="D6" s="637" t="str">
        <f>IF('rotation(7FA)'!$X$7&lt;2," ",CONCATENATE('rotation(7FA)'!C$12,'rotation(7FA)'!C$13,'rotation(7FA)'!C$14))</f>
        <v xml:space="preserve">C  </v>
      </c>
      <c r="E6" s="637" t="str">
        <f>IF('rotation(7FA)'!$X$7&lt;2," ",CONCATENATE('rotation(7FA)'!D$12,'rotation(7FA)'!D$13,'rotation(7FA)'!D$14))</f>
        <v xml:space="preserve">C  </v>
      </c>
      <c r="F6" s="637" t="str">
        <f>IF('rotation(7FA)'!$X$7&lt;2," ",CONCATENATE('rotation(7FA)'!E$12,'rotation(7FA)'!E$13,'rotation(7FA)'!E$14))</f>
        <v xml:space="preserve"> H </v>
      </c>
      <c r="G6" s="637" t="str">
        <f>IF('rotation(7FA)'!$X$7&lt;2," ",CONCATENATE('rotation(7FA)'!F$12,'rotation(7FA)'!F$13,'rotation(7FA)'!F$14))</f>
        <v xml:space="preserve">C  </v>
      </c>
      <c r="H6" s="637" t="str">
        <f>IF('rotation(7FA)'!$X$7&lt;2," ",CONCATENATE('rotation(7FA)'!G$12,'rotation(7FA)'!G$13,'rotation(7FA)'!G$14))</f>
        <v xml:space="preserve">C  </v>
      </c>
      <c r="I6" s="637" t="str">
        <f>IF('rotation(7FA)'!$X$7&lt;2," ",CONCATENATE('rotation(7FA)'!H$12,'rotation(7FA)'!H$13,'rotation(7FA)'!H$14))</f>
        <v xml:space="preserve">  M</v>
      </c>
      <c r="J6" s="637" t="str">
        <f>IF('rotation(7FA)'!$X$7&lt;2," ",CONCATENATE('rotation(7FA)'!I$12,'rotation(7FA)'!I$13,'rotation(7FA)'!I$14))</f>
        <v xml:space="preserve">C  </v>
      </c>
      <c r="K6" s="637" t="str">
        <f>IF('rotation(7FA)'!$X$7&lt;2," ",CONCATENATE('rotation(7FA)'!J$12,'rotation(7FA)'!J$13,'rotation(7FA)'!J$14))</f>
        <v xml:space="preserve">C  </v>
      </c>
      <c r="L6" s="637" t="str">
        <f>IF('rotation(7FA)'!$X$7&lt;2," ",CONCATENATE('rotation(7FA)'!K$12,'rotation(7FA)'!K$13,'rotation(7FA)'!K$14))</f>
        <v xml:space="preserve"> H </v>
      </c>
      <c r="M6" s="637" t="str">
        <f>IF('rotation(7FA)'!$X$7&lt;2," ",CONCATENATE('rotation(7FA)'!L$12,'rotation(7FA)'!L$13,'rotation(7FA)'!L$14))</f>
        <v xml:space="preserve">C  </v>
      </c>
      <c r="N6" s="637" t="str">
        <f>IF('rotation(7FA)'!$X$7&lt;2," ",CONCATENATE('rotation(7FA)'!M$12,'rotation(7FA)'!M$13,'rotation(7FA)'!M$14))</f>
        <v xml:space="preserve">C  </v>
      </c>
      <c r="O6" s="637" t="str">
        <f>IF('rotation(7FA)'!$X$7&lt;2," ",CONCATENATE('rotation(7FA)'!N$12,'rotation(7FA)'!N$13,'rotation(7FA)'!N$14))</f>
        <v xml:space="preserve">  M</v>
      </c>
      <c r="P6" s="637" t="str">
        <f>IF('rotation(7FA)'!$X$7&lt;2," ",CONCATENATE('rotation(7FA)'!O$12,'rotation(7FA)'!O$13,'rotation(7FA)'!O$14))</f>
        <v xml:space="preserve">C  </v>
      </c>
      <c r="Q6" s="637" t="str">
        <f>IF('rotation(7FA)'!$X$7&lt;2," ",CONCATENATE('rotation(7FA)'!P$12,'rotation(7FA)'!P$13,'rotation(7FA)'!P$14))</f>
        <v xml:space="preserve">C  </v>
      </c>
      <c r="R6" s="637" t="str">
        <f>IF('rotation(7FA)'!$X$7&lt;2," ",CONCATENATE('rotation(7FA)'!Q$12,'rotation(7FA)'!Q$13,'rotation(7FA)'!Q$14))</f>
        <v xml:space="preserve"> H </v>
      </c>
      <c r="S6" s="637" t="str">
        <f>IF('rotation(7FA)'!$X$7&lt;2," ",CONCATENATE('rotation(7FA)'!R$12,'rotation(7FA)'!R$13,'rotation(7FA)'!R$14))</f>
        <v xml:space="preserve">C  </v>
      </c>
      <c r="T6" s="637" t="str">
        <f>IF('rotation(7FA)'!$X$7&lt;2," ",CONCATENATE('rotation(7FA)'!S$12,'rotation(7FA)'!S$13,'rotation(7FA)'!S$14))</f>
        <v xml:space="preserve">C  </v>
      </c>
      <c r="U6" s="637" t="str">
        <f>IF('rotation(7FA)'!$X$7&lt;2," ",CONCATENATE('rotation(7FA)'!T$12,'rotation(7FA)'!T$13,'rotation(7FA)'!T$14))</f>
        <v xml:space="preserve">  M</v>
      </c>
      <c r="V6" s="637" t="str">
        <f>IF('rotation(7FA)'!$X$7&lt;2," ",CONCATENATE('rotation(7FA)'!U$12,'rotation(7FA)'!U$13,'rotation(7FA)'!U$14))</f>
        <v xml:space="preserve">C  </v>
      </c>
      <c r="W6" s="637" t="str">
        <f>IF('rotation(7FA)'!$X$7&lt;2," ",CONCATENATE('rotation(7FA)'!V$12,'rotation(7FA)'!V$13,'rotation(7FA)'!V$14))</f>
        <v xml:space="preserve">C  </v>
      </c>
    </row>
    <row r="7" spans="1:24">
      <c r="A7" s="636" t="s">
        <v>1228</v>
      </c>
      <c r="B7" s="140"/>
      <c r="C7" s="140"/>
      <c r="D7" s="637" t="str">
        <f>IF('rotation(7FA)'!$X$7&lt;3," ",CONCATENATE('rotation(7FA)'!C$12,'rotation(7FA)'!C$13,'rotation(7FA)'!C$14))</f>
        <v xml:space="preserve"> </v>
      </c>
      <c r="E7" s="637" t="str">
        <f>IF('rotation(7FA)'!$X$7&lt;3," ",CONCATENATE('rotation(7FA)'!D$12,'rotation(7FA)'!D$13,'rotation(7FA)'!D$14))</f>
        <v xml:space="preserve"> </v>
      </c>
      <c r="F7" s="637" t="str">
        <f>IF('rotation(7FA)'!$X$7&lt;3," ",CONCATENATE('rotation(7FA)'!E$12,'rotation(7FA)'!E$13,'rotation(7FA)'!E$14))</f>
        <v xml:space="preserve"> </v>
      </c>
      <c r="G7" s="637" t="str">
        <f>IF('rotation(7FA)'!$X$7&lt;3," ",CONCATENATE('rotation(7FA)'!F$12,'rotation(7FA)'!F$13,'rotation(7FA)'!F$14))</f>
        <v xml:space="preserve"> </v>
      </c>
      <c r="H7" s="637" t="str">
        <f>IF('rotation(7FA)'!$X$7&lt;3," ",CONCATENATE('rotation(7FA)'!G$12,'rotation(7FA)'!G$13,'rotation(7FA)'!G$14))</f>
        <v xml:space="preserve"> </v>
      </c>
      <c r="I7" s="637" t="str">
        <f>IF('rotation(7FA)'!$X$7&lt;3," ",CONCATENATE('rotation(7FA)'!H$12,'rotation(7FA)'!H$13,'rotation(7FA)'!H$14))</f>
        <v xml:space="preserve"> </v>
      </c>
      <c r="J7" s="637" t="str">
        <f>IF('rotation(7FA)'!$X$7&lt;3," ",CONCATENATE('rotation(7FA)'!I$12,'rotation(7FA)'!I$13,'rotation(7FA)'!I$14))</f>
        <v xml:space="preserve"> </v>
      </c>
      <c r="K7" s="637" t="str">
        <f>IF('rotation(7FA)'!$X$7&lt;3," ",CONCATENATE('rotation(7FA)'!J$12,'rotation(7FA)'!J$13,'rotation(7FA)'!J$14))</f>
        <v xml:space="preserve"> </v>
      </c>
      <c r="L7" s="637" t="str">
        <f>IF('rotation(7FA)'!$X$7&lt;3," ",CONCATENATE('rotation(7FA)'!K$12,'rotation(7FA)'!K$13,'rotation(7FA)'!K$14))</f>
        <v xml:space="preserve"> </v>
      </c>
      <c r="M7" s="637" t="str">
        <f>IF('rotation(7FA)'!$X$7&lt;3," ",CONCATENATE('rotation(7FA)'!L$12,'rotation(7FA)'!L$13,'rotation(7FA)'!L$14))</f>
        <v xml:space="preserve"> </v>
      </c>
      <c r="N7" s="637" t="str">
        <f>IF('rotation(7FA)'!$X$7&lt;3," ",CONCATENATE('rotation(7FA)'!M$12,'rotation(7FA)'!M$13,'rotation(7FA)'!M$14))</f>
        <v xml:space="preserve"> </v>
      </c>
      <c r="O7" s="637" t="str">
        <f>IF('rotation(7FA)'!$X$7&lt;3," ",CONCATENATE('rotation(7FA)'!N$12,'rotation(7FA)'!N$13,'rotation(7FA)'!N$14))</f>
        <v xml:space="preserve"> </v>
      </c>
      <c r="P7" s="637" t="str">
        <f>IF('rotation(7FA)'!$X$7&lt;3," ",CONCATENATE('rotation(7FA)'!O$12,'rotation(7FA)'!O$13,'rotation(7FA)'!O$14))</f>
        <v xml:space="preserve"> </v>
      </c>
      <c r="Q7" s="637" t="str">
        <f>IF('rotation(7FA)'!$X$7&lt;3," ",CONCATENATE('rotation(7FA)'!P$12,'rotation(7FA)'!P$13,'rotation(7FA)'!P$14))</f>
        <v xml:space="preserve"> </v>
      </c>
      <c r="R7" s="637" t="str">
        <f>IF('rotation(7FA)'!$X$7&lt;3," ",CONCATENATE('rotation(7FA)'!Q$12,'rotation(7FA)'!Q$13,'rotation(7FA)'!Q$14))</f>
        <v xml:space="preserve"> </v>
      </c>
      <c r="S7" s="637" t="str">
        <f>IF('rotation(7FA)'!$X$7&lt;3," ",CONCATENATE('rotation(7FA)'!R$12,'rotation(7FA)'!R$13,'rotation(7FA)'!R$14))</f>
        <v xml:space="preserve"> </v>
      </c>
      <c r="T7" s="637" t="str">
        <f>IF('rotation(7FA)'!$X$7&lt;3," ",CONCATENATE('rotation(7FA)'!S$12,'rotation(7FA)'!S$13,'rotation(7FA)'!S$14))</f>
        <v xml:space="preserve"> </v>
      </c>
      <c r="U7" s="637" t="str">
        <f>IF('rotation(7FA)'!$X$7&lt;3," ",CONCATENATE('rotation(7FA)'!T$12,'rotation(7FA)'!T$13,'rotation(7FA)'!T$14))</f>
        <v xml:space="preserve"> </v>
      </c>
      <c r="V7" s="637" t="str">
        <f>IF('rotation(7FA)'!$X$7&lt;3," ",CONCATENATE('rotation(7FA)'!U$12,'rotation(7FA)'!U$13,'rotation(7FA)'!U$14))</f>
        <v xml:space="preserve"> </v>
      </c>
      <c r="W7" s="637" t="str">
        <f>IF('rotation(7FA)'!$X$7&lt;3," ",CONCATENATE('rotation(7FA)'!V$12,'rotation(7FA)'!V$13,'rotation(7FA)'!V$14))</f>
        <v xml:space="preserve"> </v>
      </c>
    </row>
    <row r="8" spans="1:24">
      <c r="A8" s="636" t="s">
        <v>899</v>
      </c>
      <c r="B8" s="140"/>
      <c r="C8" s="140"/>
      <c r="D8" s="637" t="str">
        <f>IF('rotation(7FA)'!$X$7&lt;4," ",CONCATENATE('rotation(7FA)'!C$12,'rotation(7FA)'!C$13,'rotation(7FA)'!C$14))</f>
        <v xml:space="preserve"> </v>
      </c>
      <c r="E8" s="637" t="str">
        <f>IF('rotation(7FA)'!$X$7&lt;4," ",CONCATENATE('rotation(7FA)'!D$12,'rotation(7FA)'!D$13,'rotation(7FA)'!D$14))</f>
        <v xml:space="preserve"> </v>
      </c>
      <c r="F8" s="637" t="str">
        <f>IF('rotation(7FA)'!$X$7&lt;4," ",CONCATENATE('rotation(7FA)'!E$12,'rotation(7FA)'!E$13,'rotation(7FA)'!E$14))</f>
        <v xml:space="preserve"> </v>
      </c>
      <c r="G8" s="637" t="str">
        <f>IF('rotation(7FA)'!$X$7&lt;4," ",CONCATENATE('rotation(7FA)'!F$12,'rotation(7FA)'!F$13,'rotation(7FA)'!F$14))</f>
        <v xml:space="preserve"> </v>
      </c>
      <c r="H8" s="637" t="str">
        <f>IF('rotation(7FA)'!$X$7&lt;4," ",CONCATENATE('rotation(7FA)'!G$12,'rotation(7FA)'!G$13,'rotation(7FA)'!G$14))</f>
        <v xml:space="preserve"> </v>
      </c>
      <c r="I8" s="637" t="str">
        <f>IF('rotation(7FA)'!$X$7&lt;4," ",CONCATENATE('rotation(7FA)'!H$12,'rotation(7FA)'!H$13,'rotation(7FA)'!H$14))</f>
        <v xml:space="preserve"> </v>
      </c>
      <c r="J8" s="637" t="str">
        <f>IF('rotation(7FA)'!$X$7&lt;4," ",CONCATENATE('rotation(7FA)'!I$12,'rotation(7FA)'!I$13,'rotation(7FA)'!I$14))</f>
        <v xml:space="preserve"> </v>
      </c>
      <c r="K8" s="637" t="str">
        <f>IF('rotation(7FA)'!$X$7&lt;4," ",CONCATENATE('rotation(7FA)'!J$12,'rotation(7FA)'!J$13,'rotation(7FA)'!J$14))</f>
        <v xml:space="preserve"> </v>
      </c>
      <c r="L8" s="637" t="str">
        <f>IF('rotation(7FA)'!$X$7&lt;4," ",CONCATENATE('rotation(7FA)'!K$12,'rotation(7FA)'!K$13,'rotation(7FA)'!K$14))</f>
        <v xml:space="preserve"> </v>
      </c>
      <c r="M8" s="637" t="str">
        <f>IF('rotation(7FA)'!$X$7&lt;4," ",CONCATENATE('rotation(7FA)'!L$12,'rotation(7FA)'!L$13,'rotation(7FA)'!L$14))</f>
        <v xml:space="preserve"> </v>
      </c>
      <c r="N8" s="637" t="str">
        <f>IF('rotation(7FA)'!$X$7&lt;4," ",CONCATENATE('rotation(7FA)'!M$12,'rotation(7FA)'!M$13,'rotation(7FA)'!M$14))</f>
        <v xml:space="preserve"> </v>
      </c>
      <c r="O8" s="637" t="str">
        <f>IF('rotation(7FA)'!$X$7&lt;4," ",CONCATENATE('rotation(7FA)'!N$12,'rotation(7FA)'!N$13,'rotation(7FA)'!N$14))</f>
        <v xml:space="preserve"> </v>
      </c>
      <c r="P8" s="637" t="str">
        <f>IF('rotation(7FA)'!$X$7&lt;4," ",CONCATENATE('rotation(7FA)'!O$12,'rotation(7FA)'!O$13,'rotation(7FA)'!O$14))</f>
        <v xml:space="preserve"> </v>
      </c>
      <c r="Q8" s="637" t="str">
        <f>IF('rotation(7FA)'!$X$7&lt;4," ",CONCATENATE('rotation(7FA)'!P$12,'rotation(7FA)'!P$13,'rotation(7FA)'!P$14))</f>
        <v xml:space="preserve"> </v>
      </c>
      <c r="R8" s="637" t="str">
        <f>IF('rotation(7FA)'!$X$7&lt;4," ",CONCATENATE('rotation(7FA)'!Q$12,'rotation(7FA)'!Q$13,'rotation(7FA)'!Q$14))</f>
        <v xml:space="preserve"> </v>
      </c>
      <c r="S8" s="637" t="str">
        <f>IF('rotation(7FA)'!$X$7&lt;4," ",CONCATENATE('rotation(7FA)'!R$12,'rotation(7FA)'!R$13,'rotation(7FA)'!R$14))</f>
        <v xml:space="preserve"> </v>
      </c>
      <c r="T8" s="637" t="str">
        <f>IF('rotation(7FA)'!$X$7&lt;4," ",CONCATENATE('rotation(7FA)'!S$12,'rotation(7FA)'!S$13,'rotation(7FA)'!S$14))</f>
        <v xml:space="preserve"> </v>
      </c>
      <c r="U8" s="637" t="str">
        <f>IF('rotation(7FA)'!$X$7&lt;4," ",CONCATENATE('rotation(7FA)'!T$12,'rotation(7FA)'!T$13,'rotation(7FA)'!T$14))</f>
        <v xml:space="preserve"> </v>
      </c>
      <c r="V8" s="637" t="str">
        <f>IF('rotation(7FA)'!$X$7&lt;4," ",CONCATENATE('rotation(7FA)'!U$12,'rotation(7FA)'!U$13,'rotation(7FA)'!U$14))</f>
        <v xml:space="preserve"> </v>
      </c>
      <c r="W8" s="637" t="str">
        <f>IF('rotation(7FA)'!$X$7&lt;4," ",CONCATENATE('rotation(7FA)'!V$12,'rotation(7FA)'!V$13,'rotation(7FA)'!V$14))</f>
        <v xml:space="preserve"> </v>
      </c>
    </row>
    <row r="10" spans="1:24" s="635" customFormat="1">
      <c r="A10" s="636" t="s">
        <v>900</v>
      </c>
      <c r="B10" s="638"/>
      <c r="C10" s="638"/>
      <c r="D10" s="717">
        <f>'rotation(7FA)'!C8*'GTDB(7FA)'!$C12+'rotation(7FA)'!C9*'GTDB(7FA)'!$C13+'rotation(7FA)'!C10*'GTDB(7FA)'!$C14</f>
        <v>115.6</v>
      </c>
      <c r="E10" s="717">
        <f>'rotation(7FA)'!D8*'GTDB(7FA)'!$C12+'rotation(7FA)'!D9*'GTDB(7FA)'!$C13+'rotation(7FA)'!D10*'GTDB(7FA)'!$C14</f>
        <v>115.6</v>
      </c>
      <c r="F10" s="717">
        <f>'rotation(7FA)'!E8*'GTDB(7FA)'!$C12+'rotation(7FA)'!E9*'GTDB(7FA)'!$C13+'rotation(7FA)'!E10*'GTDB(7FA)'!$C14</f>
        <v>344.76</v>
      </c>
      <c r="G10" s="717">
        <f>'rotation(7FA)'!F8*'GTDB(7FA)'!$C12+'rotation(7FA)'!F9*'GTDB(7FA)'!$C13+'rotation(7FA)'!F10*'GTDB(7FA)'!$C14</f>
        <v>115.6</v>
      </c>
      <c r="H10" s="717">
        <f>'rotation(7FA)'!G8*'GTDB(7FA)'!$C12+'rotation(7FA)'!G9*'GTDB(7FA)'!$C13+'rotation(7FA)'!G10*'GTDB(7FA)'!$C14</f>
        <v>115.6</v>
      </c>
      <c r="I10" s="717">
        <f>'rotation(7FA)'!H8*'GTDB(7FA)'!$C12+'rotation(7FA)'!H9*'GTDB(7FA)'!$C13+'rotation(7FA)'!H10*'GTDB(7FA)'!$C14</f>
        <v>861.9</v>
      </c>
      <c r="J10" s="717">
        <f>'rotation(7FA)'!I8*'GTDB(7FA)'!$C12+'rotation(7FA)'!I9*'GTDB(7FA)'!$C13+'rotation(7FA)'!I10*'GTDB(7FA)'!$C14</f>
        <v>115.6</v>
      </c>
      <c r="K10" s="717">
        <f>'rotation(7FA)'!J8*'GTDB(7FA)'!$C12+'rotation(7FA)'!J9*'GTDB(7FA)'!$C13+'rotation(7FA)'!J10*'GTDB(7FA)'!$C14</f>
        <v>115.6</v>
      </c>
      <c r="L10" s="717">
        <f>'rotation(7FA)'!K8*'GTDB(7FA)'!$C12+'rotation(7FA)'!K9*'GTDB(7FA)'!$C13+'rotation(7FA)'!K10*'GTDB(7FA)'!$C14</f>
        <v>344.76</v>
      </c>
      <c r="M10" s="717">
        <f>'rotation(7FA)'!L8*'GTDB(7FA)'!$C12+'rotation(7FA)'!L9*'GTDB(7FA)'!$C13+'rotation(7FA)'!L10*'GTDB(7FA)'!$C14</f>
        <v>115.6</v>
      </c>
      <c r="N10" s="717">
        <f>'rotation(7FA)'!M8*'GTDB(7FA)'!$C12+'rotation(7FA)'!M9*'GTDB(7FA)'!$C13+'rotation(7FA)'!M10*'GTDB(7FA)'!$C14</f>
        <v>115.6</v>
      </c>
      <c r="O10" s="717">
        <f>'rotation(7FA)'!N8*'GTDB(7FA)'!$C12+'rotation(7FA)'!N9*'GTDB(7FA)'!$C13+'rotation(7FA)'!N10*'GTDB(7FA)'!$C14</f>
        <v>861.9</v>
      </c>
      <c r="P10" s="717">
        <f>'rotation(7FA)'!O8*'GTDB(7FA)'!$C12+'rotation(7FA)'!O9*'GTDB(7FA)'!$C13+'rotation(7FA)'!O10*'GTDB(7FA)'!$C14</f>
        <v>115.6</v>
      </c>
      <c r="Q10" s="717">
        <f>'rotation(7FA)'!P8*'GTDB(7FA)'!$C12+'rotation(7FA)'!P9*'GTDB(7FA)'!$C13+'rotation(7FA)'!P10*'GTDB(7FA)'!$C14</f>
        <v>115.6</v>
      </c>
      <c r="R10" s="717">
        <f>'rotation(7FA)'!Q8*'GTDB(7FA)'!$C12+'rotation(7FA)'!Q9*'GTDB(7FA)'!$C13+'rotation(7FA)'!Q10*'GTDB(7FA)'!$C14</f>
        <v>344.76</v>
      </c>
      <c r="S10" s="717">
        <f>'rotation(7FA)'!R8*'GTDB(7FA)'!$C12+'rotation(7FA)'!R9*'GTDB(7FA)'!$C13+'rotation(7FA)'!R10*'GTDB(7FA)'!$C14</f>
        <v>115.6</v>
      </c>
      <c r="T10" s="717">
        <f>'rotation(7FA)'!S8*'GTDB(7FA)'!$C12+'rotation(7FA)'!S9*'GTDB(7FA)'!$C13+'rotation(7FA)'!S10*'GTDB(7FA)'!$C14</f>
        <v>115.6</v>
      </c>
      <c r="U10" s="717">
        <f>'rotation(7FA)'!T8*'GTDB(7FA)'!$C12+'rotation(7FA)'!T9*'GTDB(7FA)'!$C13+'rotation(7FA)'!T10*'GTDB(7FA)'!$C14</f>
        <v>861.9</v>
      </c>
      <c r="V10" s="717">
        <f>'rotation(7FA)'!U8*'GTDB(7FA)'!$C12+'rotation(7FA)'!U9*'GTDB(7FA)'!$C13+'rotation(7FA)'!U10*'GTDB(7FA)'!$C14</f>
        <v>115.6</v>
      </c>
      <c r="W10" s="717">
        <f>'rotation(7FA)'!V8*'GTDB(7FA)'!$C12+'rotation(7FA)'!V9*'GTDB(7FA)'!$C13+'rotation(7FA)'!V10*'GTDB(7FA)'!$C14</f>
        <v>115.6</v>
      </c>
      <c r="X10" s="639">
        <f>SUM(D10:W10)</f>
        <v>5238.3799999999992</v>
      </c>
    </row>
    <row r="12" spans="1:24">
      <c r="A12" s="640" t="s">
        <v>1222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</row>
    <row r="13" spans="1:24">
      <c r="A13" s="636" t="s">
        <v>901</v>
      </c>
      <c r="B13" s="140" t="s">
        <v>902</v>
      </c>
      <c r="C13" s="140" t="s">
        <v>903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</row>
    <row r="14" spans="1:24" s="21" customFormat="1">
      <c r="A14" s="641" t="str">
        <f>'GTDB(7FA)'!A17</f>
        <v>Combustion Liners</v>
      </c>
      <c r="B14" s="641">
        <f>'GTDB(7FA)'!E17</f>
        <v>573.25599999999997</v>
      </c>
      <c r="C14" s="641">
        <f>IF('rotation(7FA)'!AA17=0," ",B14*'rotation(7FA)'!AA17)</f>
        <v>573.25599999999997</v>
      </c>
      <c r="D14" s="642" t="str">
        <f>IF('rotation(7FA)'!C18=0," ",$B14*'rotation(7FA)'!C18)</f>
        <v xml:space="preserve"> </v>
      </c>
      <c r="E14" s="642" t="str">
        <f>IF('rotation(7FA)'!D18=0," ",$B14*'rotation(7FA)'!D18)</f>
        <v xml:space="preserve"> </v>
      </c>
      <c r="F14" s="642" t="str">
        <f>IF('rotation(7FA)'!E18=0," ",$B14*'rotation(7FA)'!E18)</f>
        <v xml:space="preserve"> </v>
      </c>
      <c r="G14" s="642" t="str">
        <f>IF('rotation(7FA)'!F18=0," ",$B14*'rotation(7FA)'!F18)</f>
        <v xml:space="preserve"> </v>
      </c>
      <c r="H14" s="642" t="str">
        <f>IF('rotation(7FA)'!G18=0," ",$B14*'rotation(7FA)'!G18)</f>
        <v xml:space="preserve"> </v>
      </c>
      <c r="I14" s="642" t="str">
        <f>IF('rotation(7FA)'!H18=0," ",$B14*'rotation(7FA)'!H18)</f>
        <v xml:space="preserve"> </v>
      </c>
      <c r="J14" s="642">
        <f>IF('rotation(7FA)'!I18=0," ",$B14*'rotation(7FA)'!I18)</f>
        <v>1146.5119999999999</v>
      </c>
      <c r="K14" s="642">
        <f>IF('rotation(7FA)'!J18=0," ",$B14*'rotation(7FA)'!J18)</f>
        <v>573.25599999999997</v>
      </c>
      <c r="L14" s="642" t="str">
        <f>IF('rotation(7FA)'!K18=0," ",$B14*'rotation(7FA)'!K18)</f>
        <v xml:space="preserve"> </v>
      </c>
      <c r="M14" s="642" t="str">
        <f>IF('rotation(7FA)'!L18=0," ",$B14*'rotation(7FA)'!L18)</f>
        <v xml:space="preserve"> </v>
      </c>
      <c r="N14" s="642" t="str">
        <f>IF('rotation(7FA)'!M18=0," ",$B14*'rotation(7FA)'!M18)</f>
        <v xml:space="preserve"> </v>
      </c>
      <c r="O14" s="642" t="str">
        <f>IF('rotation(7FA)'!N18=0," ",$B14*'rotation(7FA)'!N18)</f>
        <v xml:space="preserve"> </v>
      </c>
      <c r="P14" s="642" t="str">
        <f>IF('rotation(7FA)'!O18=0," ",$B14*'rotation(7FA)'!O18)</f>
        <v xml:space="preserve"> </v>
      </c>
      <c r="Q14" s="642">
        <f>IF('rotation(7FA)'!P18=0," ",$B14*'rotation(7FA)'!P18)</f>
        <v>573.25599999999997</v>
      </c>
      <c r="R14" s="642">
        <f>IF('rotation(7FA)'!Q18=0," ",$B14*'rotation(7FA)'!Q18)</f>
        <v>1146.5119999999999</v>
      </c>
      <c r="S14" s="642" t="str">
        <f>IF('rotation(7FA)'!R18=0," ",$B14*'rotation(7FA)'!R18)</f>
        <v xml:space="preserve"> </v>
      </c>
      <c r="T14" s="642" t="str">
        <f>IF('rotation(7FA)'!S18=0," ",$B14*'rotation(7FA)'!S18)</f>
        <v xml:space="preserve"> </v>
      </c>
      <c r="U14" s="642" t="str">
        <f>IF('rotation(7FA)'!T18=0," ",$B14*'rotation(7FA)'!T18)</f>
        <v xml:space="preserve"> </v>
      </c>
      <c r="V14" s="642" t="str">
        <f>IF('rotation(7FA)'!U18=0," ",$B14*'rotation(7FA)'!U18)</f>
        <v xml:space="preserve"> </v>
      </c>
      <c r="W14" s="642" t="str">
        <f>IF('rotation(7FA)'!V18=0," ",$B14*'rotation(7FA)'!V18)</f>
        <v xml:space="preserve"> </v>
      </c>
      <c r="X14" s="21">
        <f t="shared" ref="X14:X32" si="0">SUM(D14:W14)</f>
        <v>3439.5360000000001</v>
      </c>
    </row>
    <row r="15" spans="1:24" s="21" customFormat="1">
      <c r="A15" s="641" t="str">
        <f>'GTDB(7FA)'!A18</f>
        <v>Transition Pieces</v>
      </c>
      <c r="B15" s="641">
        <f>'GTDB(7FA)'!E18</f>
        <v>1246.1310000000001</v>
      </c>
      <c r="C15" s="641">
        <f>IF('rotation(7FA)'!AA21=0," ",B15*'rotation(7FA)'!AA21)</f>
        <v>1246.1310000000001</v>
      </c>
      <c r="D15" s="642" t="str">
        <f>IF('rotation(7FA)'!C22=0," ",$B15*'rotation(7FA)'!C22)</f>
        <v xml:space="preserve"> </v>
      </c>
      <c r="E15" s="642" t="str">
        <f>IF('rotation(7FA)'!D22=0," ",$B15*'rotation(7FA)'!D22)</f>
        <v xml:space="preserve"> </v>
      </c>
      <c r="F15" s="642" t="str">
        <f>IF('rotation(7FA)'!E22=0," ",$B15*'rotation(7FA)'!E22)</f>
        <v xml:space="preserve"> </v>
      </c>
      <c r="G15" s="642" t="str">
        <f>IF('rotation(7FA)'!F22=0," ",$B15*'rotation(7FA)'!F22)</f>
        <v xml:space="preserve"> </v>
      </c>
      <c r="H15" s="642" t="str">
        <f>IF('rotation(7FA)'!G22=0," ",$B15*'rotation(7FA)'!G22)</f>
        <v xml:space="preserve"> </v>
      </c>
      <c r="I15" s="642" t="str">
        <f>IF('rotation(7FA)'!H22=0," ",$B15*'rotation(7FA)'!H22)</f>
        <v xml:space="preserve"> </v>
      </c>
      <c r="J15" s="642">
        <f>IF('rotation(7FA)'!I22=0," ",$B15*'rotation(7FA)'!I22)</f>
        <v>2492.2620000000002</v>
      </c>
      <c r="K15" s="642">
        <f>IF('rotation(7FA)'!J22=0," ",$B15*'rotation(7FA)'!J22)</f>
        <v>1246.1310000000001</v>
      </c>
      <c r="L15" s="642" t="str">
        <f>IF('rotation(7FA)'!K22=0," ",$B15*'rotation(7FA)'!K22)</f>
        <v xml:space="preserve"> </v>
      </c>
      <c r="M15" s="642" t="str">
        <f>IF('rotation(7FA)'!L22=0," ",$B15*'rotation(7FA)'!L22)</f>
        <v xml:space="preserve"> </v>
      </c>
      <c r="N15" s="642" t="str">
        <f>IF('rotation(7FA)'!M22=0," ",$B15*'rotation(7FA)'!M22)</f>
        <v xml:space="preserve"> </v>
      </c>
      <c r="O15" s="642" t="str">
        <f>IF('rotation(7FA)'!N22=0," ",$B15*'rotation(7FA)'!N22)</f>
        <v xml:space="preserve"> </v>
      </c>
      <c r="P15" s="642" t="str">
        <f>IF('rotation(7FA)'!O22=0," ",$B15*'rotation(7FA)'!O22)</f>
        <v xml:space="preserve"> </v>
      </c>
      <c r="Q15" s="642">
        <f>IF('rotation(7FA)'!P22=0," ",$B15*'rotation(7FA)'!P22)</f>
        <v>1246.1310000000001</v>
      </c>
      <c r="R15" s="642">
        <f>IF('rotation(7FA)'!Q22=0," ",$B15*'rotation(7FA)'!Q22)</f>
        <v>2492.2620000000002</v>
      </c>
      <c r="S15" s="642" t="str">
        <f>IF('rotation(7FA)'!R22=0," ",$B15*'rotation(7FA)'!R22)</f>
        <v xml:space="preserve"> </v>
      </c>
      <c r="T15" s="642" t="str">
        <f>IF('rotation(7FA)'!S22=0," ",$B15*'rotation(7FA)'!S22)</f>
        <v xml:space="preserve"> </v>
      </c>
      <c r="U15" s="642" t="str">
        <f>IF('rotation(7FA)'!T22=0," ",$B15*'rotation(7FA)'!T22)</f>
        <v xml:space="preserve"> </v>
      </c>
      <c r="V15" s="642" t="str">
        <f>IF('rotation(7FA)'!U22=0," ",$B15*'rotation(7FA)'!U22)</f>
        <v xml:space="preserve"> </v>
      </c>
      <c r="W15" s="642" t="str">
        <f>IF('rotation(7FA)'!V22=0," ",$B15*'rotation(7FA)'!V22)</f>
        <v xml:space="preserve"> </v>
      </c>
      <c r="X15" s="21">
        <f t="shared" si="0"/>
        <v>7476.7860000000001</v>
      </c>
    </row>
    <row r="16" spans="1:24" s="21" customFormat="1">
      <c r="A16" s="641" t="str">
        <f>'GTDB(7FA)'!A19</f>
        <v>Fuel Nozzles</v>
      </c>
      <c r="B16" s="641">
        <f>'GTDB(7FA)'!E19</f>
        <v>1297.423</v>
      </c>
      <c r="C16" s="641">
        <f>IF('rotation(7FA)'!AA29=0," ",B16*'rotation(7FA)'!AA29)</f>
        <v>1297.423</v>
      </c>
      <c r="D16" s="642" t="str">
        <f>IF('rotation(7FA)'!C30=0," ",$B16*'rotation(7FA)'!C30)</f>
        <v xml:space="preserve"> </v>
      </c>
      <c r="E16" s="642" t="str">
        <f>IF('rotation(7FA)'!D30=0," ",$B16*'rotation(7FA)'!D30)</f>
        <v xml:space="preserve"> </v>
      </c>
      <c r="F16" s="642" t="str">
        <f>IF('rotation(7FA)'!E30=0," ",$B16*'rotation(7FA)'!E30)</f>
        <v xml:space="preserve"> </v>
      </c>
      <c r="G16" s="642">
        <f>IF('rotation(7FA)'!F30=0," ",$B16*'rotation(7FA)'!F30)</f>
        <v>2594.846</v>
      </c>
      <c r="H16" s="642">
        <f>IF('rotation(7FA)'!G30=0," ",$B16*'rotation(7FA)'!G30)</f>
        <v>1297.423</v>
      </c>
      <c r="I16" s="642" t="str">
        <f>IF('rotation(7FA)'!H30=0," ",$B16*'rotation(7FA)'!H30)</f>
        <v xml:space="preserve"> </v>
      </c>
      <c r="J16" s="642" t="str">
        <f>IF('rotation(7FA)'!I30=0," ",$B16*'rotation(7FA)'!I30)</f>
        <v xml:space="preserve"> </v>
      </c>
      <c r="K16" s="642">
        <f>IF('rotation(7FA)'!J30=0," ",$B16*'rotation(7FA)'!J30)</f>
        <v>1297.423</v>
      </c>
      <c r="L16" s="642">
        <f>IF('rotation(7FA)'!K30=0," ",$B16*'rotation(7FA)'!K30)</f>
        <v>2594.846</v>
      </c>
      <c r="M16" s="642" t="str">
        <f>IF('rotation(7FA)'!L30=0," ",$B16*'rotation(7FA)'!L30)</f>
        <v xml:space="preserve"> </v>
      </c>
      <c r="N16" s="642" t="str">
        <f>IF('rotation(7FA)'!M30=0," ",$B16*'rotation(7FA)'!M30)</f>
        <v xml:space="preserve"> </v>
      </c>
      <c r="O16" s="642" t="str">
        <f>IF('rotation(7FA)'!N30=0," ",$B16*'rotation(7FA)'!N30)</f>
        <v xml:space="preserve"> </v>
      </c>
      <c r="P16" s="642">
        <f>IF('rotation(7FA)'!O30=0," ",$B16*'rotation(7FA)'!O30)</f>
        <v>2594.846</v>
      </c>
      <c r="Q16" s="642">
        <f>IF('rotation(7FA)'!P30=0," ",$B16*'rotation(7FA)'!P30)</f>
        <v>1297.423</v>
      </c>
      <c r="R16" s="642" t="str">
        <f>IF('rotation(7FA)'!Q30=0," ",$B16*'rotation(7FA)'!Q30)</f>
        <v xml:space="preserve"> </v>
      </c>
      <c r="S16" s="642" t="str">
        <f>IF('rotation(7FA)'!R30=0," ",$B16*'rotation(7FA)'!R30)</f>
        <v xml:space="preserve"> </v>
      </c>
      <c r="T16" s="642">
        <f>IF('rotation(7FA)'!S30=0," ",$B16*'rotation(7FA)'!S30)</f>
        <v>1297.423</v>
      </c>
      <c r="U16" s="642">
        <f>IF('rotation(7FA)'!T30=0," ",$B16*'rotation(7FA)'!T30)</f>
        <v>2594.846</v>
      </c>
      <c r="V16" s="642" t="str">
        <f>IF('rotation(7FA)'!U30=0," ",$B16*'rotation(7FA)'!U30)</f>
        <v xml:space="preserve"> </v>
      </c>
      <c r="W16" s="642" t="str">
        <f>IF('rotation(7FA)'!V30=0," ",$B16*'rotation(7FA)'!V30)</f>
        <v xml:space="preserve"> </v>
      </c>
      <c r="X16" s="21">
        <f t="shared" si="0"/>
        <v>15569.076000000001</v>
      </c>
    </row>
    <row r="17" spans="1:24" s="21" customFormat="1">
      <c r="A17" s="641" t="str">
        <f>'GTDB(7FA)'!A20</f>
        <v>Stage 1 Nozzles</v>
      </c>
      <c r="B17" s="641">
        <f>'GTDB(7FA)'!E20</f>
        <v>1604.924</v>
      </c>
      <c r="C17" s="641">
        <f>IF('rotation(7FA)'!AA33=0," ",B17*'rotation(7FA)'!AA33)</f>
        <v>1604.924</v>
      </c>
      <c r="D17" s="642" t="str">
        <f>IF('rotation(7FA)'!C34=0," ",$B17*'rotation(7FA)'!C34)</f>
        <v xml:space="preserve"> </v>
      </c>
      <c r="E17" s="642" t="str">
        <f>IF('rotation(7FA)'!D34=0," ",$B17*'rotation(7FA)'!D34)</f>
        <v xml:space="preserve"> </v>
      </c>
      <c r="F17" s="642" t="str">
        <f>IF('rotation(7FA)'!E34=0," ",$B17*'rotation(7FA)'!E34)</f>
        <v xml:space="preserve"> </v>
      </c>
      <c r="G17" s="642" t="str">
        <f>IF('rotation(7FA)'!F34=0," ",$B17*'rotation(7FA)'!F34)</f>
        <v xml:space="preserve"> </v>
      </c>
      <c r="H17" s="642" t="str">
        <f>IF('rotation(7FA)'!G34=0," ",$B17*'rotation(7FA)'!G34)</f>
        <v xml:space="preserve"> </v>
      </c>
      <c r="I17" s="642">
        <f>IF('rotation(7FA)'!H34=0," ",$B17*'rotation(7FA)'!H34)</f>
        <v>1604.924</v>
      </c>
      <c r="J17" s="642" t="str">
        <f>IF('rotation(7FA)'!I34=0," ",$B17*'rotation(7FA)'!I34)</f>
        <v xml:space="preserve"> </v>
      </c>
      <c r="K17" s="642" t="str">
        <f>IF('rotation(7FA)'!J34=0," ",$B17*'rotation(7FA)'!J34)</f>
        <v xml:space="preserve"> </v>
      </c>
      <c r="L17" s="642">
        <f>IF('rotation(7FA)'!K34=0," ",$B17*'rotation(7FA)'!K34)</f>
        <v>3209.848</v>
      </c>
      <c r="M17" s="642" t="str">
        <f>IF('rotation(7FA)'!L34=0," ",$B17*'rotation(7FA)'!L34)</f>
        <v xml:space="preserve"> </v>
      </c>
      <c r="N17" s="642" t="str">
        <f>IF('rotation(7FA)'!M34=0," ",$B17*'rotation(7FA)'!M34)</f>
        <v xml:space="preserve"> </v>
      </c>
      <c r="O17" s="642" t="str">
        <f>IF('rotation(7FA)'!N34=0," ",$B17*'rotation(7FA)'!N34)</f>
        <v xml:space="preserve"> </v>
      </c>
      <c r="P17" s="642" t="str">
        <f>IF('rotation(7FA)'!O34=0," ",$B17*'rotation(7FA)'!O34)</f>
        <v xml:space="preserve"> </v>
      </c>
      <c r="Q17" s="642" t="str">
        <f>IF('rotation(7FA)'!P34=0," ",$B17*'rotation(7FA)'!P34)</f>
        <v xml:space="preserve"> </v>
      </c>
      <c r="R17" s="642">
        <f>IF('rotation(7FA)'!Q34=0," ",$B17*'rotation(7FA)'!Q34)</f>
        <v>1604.924</v>
      </c>
      <c r="S17" s="642" t="str">
        <f>IF('rotation(7FA)'!R34=0," ",$B17*'rotation(7FA)'!R34)</f>
        <v xml:space="preserve"> </v>
      </c>
      <c r="T17" s="642" t="str">
        <f>IF('rotation(7FA)'!S34=0," ",$B17*'rotation(7FA)'!S34)</f>
        <v xml:space="preserve"> </v>
      </c>
      <c r="U17" s="642">
        <f>IF('rotation(7FA)'!T34=0," ",$B17*'rotation(7FA)'!T34)</f>
        <v>3209.848</v>
      </c>
      <c r="V17" s="642" t="str">
        <f>IF('rotation(7FA)'!U34=0," ",$B17*'rotation(7FA)'!U34)</f>
        <v xml:space="preserve"> </v>
      </c>
      <c r="W17" s="642" t="str">
        <f>IF('rotation(7FA)'!V34=0," ",$B17*'rotation(7FA)'!V34)</f>
        <v xml:space="preserve"> </v>
      </c>
      <c r="X17" s="21">
        <f t="shared" si="0"/>
        <v>9629.5439999999999</v>
      </c>
    </row>
    <row r="18" spans="1:24" s="21" customFormat="1">
      <c r="A18" s="641" t="str">
        <f>'GTDB(7FA)'!A21</f>
        <v>Stage 2 Nozzles</v>
      </c>
      <c r="B18" s="641">
        <f>'GTDB(7FA)'!E21</f>
        <v>1540.7270000000001</v>
      </c>
      <c r="C18" s="641" t="str">
        <f>IF('rotation(7FA)'!AA37=0," ",B18*'rotation(7FA)'!AA37)</f>
        <v xml:space="preserve"> </v>
      </c>
      <c r="D18" s="642" t="str">
        <f>IF('rotation(7FA)'!C38=0," ",$B18*'rotation(7FA)'!C38)</f>
        <v xml:space="preserve"> </v>
      </c>
      <c r="E18" s="642" t="str">
        <f>IF('rotation(7FA)'!D38=0," ",$B18*'rotation(7FA)'!D38)</f>
        <v xml:space="preserve"> </v>
      </c>
      <c r="F18" s="642">
        <f>IF('rotation(7FA)'!E38=0," ",$B18*'rotation(7FA)'!E38)</f>
        <v>1540.7270000000001</v>
      </c>
      <c r="G18" s="642" t="str">
        <f>IF('rotation(7FA)'!F38=0," ",$B18*'rotation(7FA)'!F38)</f>
        <v xml:space="preserve"> </v>
      </c>
      <c r="H18" s="642" t="str">
        <f>IF('rotation(7FA)'!G38=0," ",$B18*'rotation(7FA)'!G38)</f>
        <v xml:space="preserve"> </v>
      </c>
      <c r="I18" s="642" t="str">
        <f>IF('rotation(7FA)'!H38=0," ",$B18*'rotation(7FA)'!H38)</f>
        <v xml:space="preserve"> </v>
      </c>
      <c r="J18" s="642" t="str">
        <f>IF('rotation(7FA)'!I38=0," ",$B18*'rotation(7FA)'!I38)</f>
        <v xml:space="preserve"> </v>
      </c>
      <c r="K18" s="642" t="str">
        <f>IF('rotation(7FA)'!J38=0," ",$B18*'rotation(7FA)'!J38)</f>
        <v xml:space="preserve"> </v>
      </c>
      <c r="L18" s="642" t="str">
        <f>IF('rotation(7FA)'!K38=0," ",$B18*'rotation(7FA)'!K38)</f>
        <v xml:space="preserve"> </v>
      </c>
      <c r="M18" s="642" t="str">
        <f>IF('rotation(7FA)'!L38=0," ",$B18*'rotation(7FA)'!L38)</f>
        <v xml:space="preserve"> </v>
      </c>
      <c r="N18" s="642" t="str">
        <f>IF('rotation(7FA)'!M38=0," ",$B18*'rotation(7FA)'!M38)</f>
        <v xml:space="preserve"> </v>
      </c>
      <c r="O18" s="642">
        <f>IF('rotation(7FA)'!N38=0," ",$B18*'rotation(7FA)'!N38)</f>
        <v>3081.4540000000002</v>
      </c>
      <c r="P18" s="642" t="str">
        <f>IF('rotation(7FA)'!O38=0," ",$B18*'rotation(7FA)'!O38)</f>
        <v xml:space="preserve"> </v>
      </c>
      <c r="Q18" s="642" t="str">
        <f>IF('rotation(7FA)'!P38=0," ",$B18*'rotation(7FA)'!P38)</f>
        <v xml:space="preserve"> </v>
      </c>
      <c r="R18" s="642">
        <f>IF('rotation(7FA)'!Q38=0," ",$B18*'rotation(7FA)'!Q38)</f>
        <v>1540.7270000000001</v>
      </c>
      <c r="S18" s="642" t="str">
        <f>IF('rotation(7FA)'!R38=0," ",$B18*'rotation(7FA)'!R38)</f>
        <v xml:space="preserve"> </v>
      </c>
      <c r="T18" s="642" t="str">
        <f>IF('rotation(7FA)'!S38=0," ",$B18*'rotation(7FA)'!S38)</f>
        <v xml:space="preserve"> </v>
      </c>
      <c r="U18" s="642" t="str">
        <f>IF('rotation(7FA)'!T38=0," ",$B18*'rotation(7FA)'!T38)</f>
        <v xml:space="preserve"> </v>
      </c>
      <c r="V18" s="642" t="str">
        <f>IF('rotation(7FA)'!U38=0," ",$B18*'rotation(7FA)'!U38)</f>
        <v xml:space="preserve"> </v>
      </c>
      <c r="W18" s="642" t="str">
        <f>IF('rotation(7FA)'!V38=0," ",$B18*'rotation(7FA)'!V38)</f>
        <v xml:space="preserve"> </v>
      </c>
      <c r="X18" s="21">
        <f t="shared" si="0"/>
        <v>6162.9080000000004</v>
      </c>
    </row>
    <row r="19" spans="1:24" s="21" customFormat="1">
      <c r="A19" s="641" t="str">
        <f>'GTDB(7FA)'!A22</f>
        <v>Stage 3 Nozzles</v>
      </c>
      <c r="B19" s="641">
        <f>'GTDB(7FA)'!E22</f>
        <v>1467.1679999999999</v>
      </c>
      <c r="C19" s="641" t="str">
        <f>IF('rotation(7FA)'!AA41=0," ",B19*'rotation(7FA)'!AA41)</f>
        <v xml:space="preserve"> </v>
      </c>
      <c r="D19" s="642" t="str">
        <f>IF('rotation(7FA)'!C42=0," ",$B19*'rotation(7FA)'!C42)</f>
        <v xml:space="preserve"> </v>
      </c>
      <c r="E19" s="642" t="str">
        <f>IF('rotation(7FA)'!D42=0," ",$B19*'rotation(7FA)'!D42)</f>
        <v xml:space="preserve"> </v>
      </c>
      <c r="F19" s="642">
        <f>IF('rotation(7FA)'!E42=0," ",$B19*'rotation(7FA)'!E42)</f>
        <v>1467.1679999999999</v>
      </c>
      <c r="G19" s="642" t="str">
        <f>IF('rotation(7FA)'!F42=0," ",$B19*'rotation(7FA)'!F42)</f>
        <v xml:space="preserve"> </v>
      </c>
      <c r="H19" s="642" t="str">
        <f>IF('rotation(7FA)'!G42=0," ",$B19*'rotation(7FA)'!G42)</f>
        <v xml:space="preserve"> </v>
      </c>
      <c r="I19" s="642" t="str">
        <f>IF('rotation(7FA)'!H42=0," ",$B19*'rotation(7FA)'!H42)</f>
        <v xml:space="preserve"> </v>
      </c>
      <c r="J19" s="642" t="str">
        <f>IF('rotation(7FA)'!I42=0," ",$B19*'rotation(7FA)'!I42)</f>
        <v xml:space="preserve"> </v>
      </c>
      <c r="K19" s="642" t="str">
        <f>IF('rotation(7FA)'!J42=0," ",$B19*'rotation(7FA)'!J42)</f>
        <v xml:space="preserve"> </v>
      </c>
      <c r="L19" s="642" t="str">
        <f>IF('rotation(7FA)'!K42=0," ",$B19*'rotation(7FA)'!K42)</f>
        <v xml:space="preserve"> </v>
      </c>
      <c r="M19" s="642" t="str">
        <f>IF('rotation(7FA)'!L42=0," ",$B19*'rotation(7FA)'!L42)</f>
        <v xml:space="preserve"> </v>
      </c>
      <c r="N19" s="642" t="str">
        <f>IF('rotation(7FA)'!M42=0," ",$B19*'rotation(7FA)'!M42)</f>
        <v xml:space="preserve"> </v>
      </c>
      <c r="O19" s="642">
        <f>IF('rotation(7FA)'!N42=0," ",$B19*'rotation(7FA)'!N42)</f>
        <v>2934.3359999999998</v>
      </c>
      <c r="P19" s="642" t="str">
        <f>IF('rotation(7FA)'!O42=0," ",$B19*'rotation(7FA)'!O42)</f>
        <v xml:space="preserve"> </v>
      </c>
      <c r="Q19" s="642" t="str">
        <f>IF('rotation(7FA)'!P42=0," ",$B19*'rotation(7FA)'!P42)</f>
        <v xml:space="preserve"> </v>
      </c>
      <c r="R19" s="642">
        <f>IF('rotation(7FA)'!Q42=0," ",$B19*'rotation(7FA)'!Q42)</f>
        <v>1467.1679999999999</v>
      </c>
      <c r="S19" s="642" t="str">
        <f>IF('rotation(7FA)'!R42=0," ",$B19*'rotation(7FA)'!R42)</f>
        <v xml:space="preserve"> </v>
      </c>
      <c r="T19" s="642" t="str">
        <f>IF('rotation(7FA)'!S42=0," ",$B19*'rotation(7FA)'!S42)</f>
        <v xml:space="preserve"> </v>
      </c>
      <c r="U19" s="642" t="str">
        <f>IF('rotation(7FA)'!T42=0," ",$B19*'rotation(7FA)'!T42)</f>
        <v xml:space="preserve"> </v>
      </c>
      <c r="V19" s="642" t="str">
        <f>IF('rotation(7FA)'!U42=0," ",$B19*'rotation(7FA)'!U42)</f>
        <v xml:space="preserve"> </v>
      </c>
      <c r="W19" s="642" t="str">
        <f>IF('rotation(7FA)'!V42=0," ",$B19*'rotation(7FA)'!V42)</f>
        <v xml:space="preserve"> </v>
      </c>
      <c r="X19" s="21">
        <f t="shared" si="0"/>
        <v>5868.6719999999996</v>
      </c>
    </row>
    <row r="20" spans="1:24" s="21" customFormat="1">
      <c r="A20" s="641" t="str">
        <f>'GTDB(7FA)'!A23</f>
        <v>Stage 1 Buckets</v>
      </c>
      <c r="B20" s="641">
        <f>'GTDB(7FA)'!E23</f>
        <v>3214.9920000000002</v>
      </c>
      <c r="C20" s="641">
        <f>IF('rotation(7FA)'!AA45=0," ",B20*'rotation(7FA)'!AA45)</f>
        <v>3214.9920000000002</v>
      </c>
      <c r="D20" s="642" t="str">
        <f>IF('rotation(7FA)'!C46=0," ",$B20*'rotation(7FA)'!C46)</f>
        <v xml:space="preserve"> </v>
      </c>
      <c r="E20" s="642" t="str">
        <f>IF('rotation(7FA)'!D46=0," ",$B20*'rotation(7FA)'!D46)</f>
        <v xml:space="preserve"> </v>
      </c>
      <c r="F20" s="642" t="str">
        <f>IF('rotation(7FA)'!E46=0," ",$B20*'rotation(7FA)'!E46)</f>
        <v xml:space="preserve"> </v>
      </c>
      <c r="G20" s="642" t="str">
        <f>IF('rotation(7FA)'!F46=0," ",$B20*'rotation(7FA)'!F46)</f>
        <v xml:space="preserve"> </v>
      </c>
      <c r="H20" s="642" t="str">
        <f>IF('rotation(7FA)'!G46=0," ",$B20*'rotation(7FA)'!G46)</f>
        <v xml:space="preserve"> </v>
      </c>
      <c r="I20" s="642" t="str">
        <f>IF('rotation(7FA)'!H46=0," ",$B20*'rotation(7FA)'!H46)</f>
        <v xml:space="preserve"> </v>
      </c>
      <c r="J20" s="642" t="str">
        <f>IF('rotation(7FA)'!I46=0," ",$B20*'rotation(7FA)'!I46)</f>
        <v xml:space="preserve"> </v>
      </c>
      <c r="K20" s="642" t="str">
        <f>IF('rotation(7FA)'!J46=0," ",$B20*'rotation(7FA)'!J46)</f>
        <v xml:space="preserve"> </v>
      </c>
      <c r="L20" s="642" t="str">
        <f>IF('rotation(7FA)'!K46=0," ",$B20*'rotation(7FA)'!K46)</f>
        <v xml:space="preserve"> </v>
      </c>
      <c r="M20" s="642" t="str">
        <f>IF('rotation(7FA)'!L46=0," ",$B20*'rotation(7FA)'!L46)</f>
        <v xml:space="preserve"> </v>
      </c>
      <c r="N20" s="642" t="str">
        <f>IF('rotation(7FA)'!M46=0," ",$B20*'rotation(7FA)'!M46)</f>
        <v xml:space="preserve"> </v>
      </c>
      <c r="O20" s="642">
        <f>IF('rotation(7FA)'!N46=0," ",$B20*'rotation(7FA)'!N46)</f>
        <v>6429.9840000000004</v>
      </c>
      <c r="P20" s="642" t="str">
        <f>IF('rotation(7FA)'!O46=0," ",$B20*'rotation(7FA)'!O46)</f>
        <v xml:space="preserve"> </v>
      </c>
      <c r="Q20" s="642" t="str">
        <f>IF('rotation(7FA)'!P46=0," ",$B20*'rotation(7FA)'!P46)</f>
        <v xml:space="preserve"> </v>
      </c>
      <c r="R20" s="642">
        <f>IF('rotation(7FA)'!Q46=0," ",$B20*'rotation(7FA)'!Q46)</f>
        <v>3214.9920000000002</v>
      </c>
      <c r="S20" s="642" t="str">
        <f>IF('rotation(7FA)'!R46=0," ",$B20*'rotation(7FA)'!R46)</f>
        <v xml:space="preserve"> </v>
      </c>
      <c r="T20" s="642" t="str">
        <f>IF('rotation(7FA)'!S46=0," ",$B20*'rotation(7FA)'!S46)</f>
        <v xml:space="preserve"> </v>
      </c>
      <c r="U20" s="642" t="str">
        <f>IF('rotation(7FA)'!T46=0," ",$B20*'rotation(7FA)'!T46)</f>
        <v xml:space="preserve"> </v>
      </c>
      <c r="V20" s="642" t="str">
        <f>IF('rotation(7FA)'!U46=0," ",$B20*'rotation(7FA)'!U46)</f>
        <v xml:space="preserve"> </v>
      </c>
      <c r="W20" s="642" t="str">
        <f>IF('rotation(7FA)'!V46=0," ",$B20*'rotation(7FA)'!V46)</f>
        <v xml:space="preserve"> </v>
      </c>
      <c r="X20" s="21">
        <f t="shared" si="0"/>
        <v>9644.9760000000006</v>
      </c>
    </row>
    <row r="21" spans="1:24" s="21" customFormat="1">
      <c r="A21" s="641" t="str">
        <f>'GTDB(7FA)'!A24</f>
        <v>Stage 2 Buckets</v>
      </c>
      <c r="B21" s="641">
        <f>'GTDB(7FA)'!E24</f>
        <v>1977.5930000000001</v>
      </c>
      <c r="C21" s="641" t="str">
        <f>IF('rotation(7FA)'!AA49=0," ",B21*'rotation(7FA)'!AA49)</f>
        <v xml:space="preserve"> </v>
      </c>
      <c r="D21" s="642" t="str">
        <f>IF('rotation(7FA)'!C50=0," ",$B21*'rotation(7FA)'!C50)</f>
        <v xml:space="preserve"> </v>
      </c>
      <c r="E21" s="642" t="str">
        <f>IF('rotation(7FA)'!D50=0," ",$B21*'rotation(7FA)'!D50)</f>
        <v xml:space="preserve"> </v>
      </c>
      <c r="F21" s="642">
        <f>IF('rotation(7FA)'!E50=0," ",$B21*'rotation(7FA)'!E50)</f>
        <v>1977.5930000000001</v>
      </c>
      <c r="G21" s="642" t="str">
        <f>IF('rotation(7FA)'!F50=0," ",$B21*'rotation(7FA)'!F50)</f>
        <v xml:space="preserve"> </v>
      </c>
      <c r="H21" s="642" t="str">
        <f>IF('rotation(7FA)'!G50=0," ",$B21*'rotation(7FA)'!G50)</f>
        <v xml:space="preserve"> </v>
      </c>
      <c r="I21" s="642">
        <f>IF('rotation(7FA)'!H50=0," ",$B21*'rotation(7FA)'!H50)</f>
        <v>1977.5930000000001</v>
      </c>
      <c r="J21" s="642" t="str">
        <f>IF('rotation(7FA)'!I50=0," ",$B21*'rotation(7FA)'!I50)</f>
        <v xml:space="preserve"> </v>
      </c>
      <c r="K21" s="642" t="str">
        <f>IF('rotation(7FA)'!J50=0," ",$B21*'rotation(7FA)'!J50)</f>
        <v xml:space="preserve"> </v>
      </c>
      <c r="L21" s="642">
        <f>IF('rotation(7FA)'!K50=0," ",$B21*'rotation(7FA)'!K50)</f>
        <v>3955.1860000000001</v>
      </c>
      <c r="M21" s="642" t="str">
        <f>IF('rotation(7FA)'!L50=0," ",$B21*'rotation(7FA)'!L50)</f>
        <v xml:space="preserve"> </v>
      </c>
      <c r="N21" s="642" t="str">
        <f>IF('rotation(7FA)'!M50=0," ",$B21*'rotation(7FA)'!M50)</f>
        <v xml:space="preserve"> </v>
      </c>
      <c r="O21" s="642" t="str">
        <f>IF('rotation(7FA)'!N50=0," ",$B21*'rotation(7FA)'!N50)</f>
        <v xml:space="preserve"> </v>
      </c>
      <c r="P21" s="642" t="str">
        <f>IF('rotation(7FA)'!O50=0," ",$B21*'rotation(7FA)'!O50)</f>
        <v xml:space="preserve"> </v>
      </c>
      <c r="Q21" s="642" t="str">
        <f>IF('rotation(7FA)'!P50=0," ",$B21*'rotation(7FA)'!P50)</f>
        <v xml:space="preserve"> </v>
      </c>
      <c r="R21" s="642">
        <f>IF('rotation(7FA)'!Q50=0," ",$B21*'rotation(7FA)'!Q50)</f>
        <v>1977.5930000000001</v>
      </c>
      <c r="S21" s="642" t="str">
        <f>IF('rotation(7FA)'!R50=0," ",$B21*'rotation(7FA)'!R50)</f>
        <v xml:space="preserve"> </v>
      </c>
      <c r="T21" s="642" t="str">
        <f>IF('rotation(7FA)'!S50=0," ",$B21*'rotation(7FA)'!S50)</f>
        <v xml:space="preserve"> </v>
      </c>
      <c r="U21" s="642">
        <f>IF('rotation(7FA)'!T50=0," ",$B21*'rotation(7FA)'!T50)</f>
        <v>3955.1860000000001</v>
      </c>
      <c r="V21" s="642" t="str">
        <f>IF('rotation(7FA)'!U50=0," ",$B21*'rotation(7FA)'!U50)</f>
        <v xml:space="preserve"> </v>
      </c>
      <c r="W21" s="642" t="str">
        <f>IF('rotation(7FA)'!V50=0," ",$B21*'rotation(7FA)'!V50)</f>
        <v xml:space="preserve"> </v>
      </c>
      <c r="X21" s="21">
        <f t="shared" si="0"/>
        <v>13843.151</v>
      </c>
    </row>
    <row r="22" spans="1:24" s="21" customFormat="1">
      <c r="A22" s="641" t="str">
        <f>'GTDB(7FA)'!A25</f>
        <v>Stage 3 Buckets</v>
      </c>
      <c r="B22" s="641">
        <f>'GTDB(7FA)'!E25</f>
        <v>2251.7800000000002</v>
      </c>
      <c r="C22" s="641" t="str">
        <f>IF('rotation(7FA)'!AA53=0," ",B22*'rotation(7FA)'!AA53)</f>
        <v xml:space="preserve"> </v>
      </c>
      <c r="D22" s="642" t="str">
        <f>IF('rotation(7FA)'!C54=0," ",$B22*'rotation(7FA)'!C54)</f>
        <v xml:space="preserve"> </v>
      </c>
      <c r="E22" s="642" t="str">
        <f>IF('rotation(7FA)'!D54=0," ",$B22*'rotation(7FA)'!D54)</f>
        <v xml:space="preserve"> </v>
      </c>
      <c r="F22" s="642">
        <f>IF('rotation(7FA)'!E54=0," ",$B22*'rotation(7FA)'!E54)</f>
        <v>4503.5600000000004</v>
      </c>
      <c r="G22" s="642" t="str">
        <f>IF('rotation(7FA)'!F54=0," ",$B22*'rotation(7FA)'!F54)</f>
        <v xml:space="preserve"> </v>
      </c>
      <c r="H22" s="642" t="str">
        <f>IF('rotation(7FA)'!G54=0," ",$B22*'rotation(7FA)'!G54)</f>
        <v xml:space="preserve"> </v>
      </c>
      <c r="I22" s="642">
        <f>IF('rotation(7FA)'!H54=0," ",$B22*'rotation(7FA)'!H54)</f>
        <v>4503.5600000000004</v>
      </c>
      <c r="J22" s="642" t="str">
        <f>IF('rotation(7FA)'!I54=0," ",$B22*'rotation(7FA)'!I54)</f>
        <v xml:space="preserve"> </v>
      </c>
      <c r="K22" s="642" t="str">
        <f>IF('rotation(7FA)'!J54=0," ",$B22*'rotation(7FA)'!J54)</f>
        <v xml:space="preserve"> </v>
      </c>
      <c r="L22" s="642">
        <f>IF('rotation(7FA)'!K54=0," ",$B22*'rotation(7FA)'!K54)</f>
        <v>4503.5600000000004</v>
      </c>
      <c r="M22" s="642" t="str">
        <f>IF('rotation(7FA)'!L54=0," ",$B22*'rotation(7FA)'!L54)</f>
        <v xml:space="preserve"> </v>
      </c>
      <c r="N22" s="642" t="str">
        <f>IF('rotation(7FA)'!M54=0," ",$B22*'rotation(7FA)'!M54)</f>
        <v xml:space="preserve"> </v>
      </c>
      <c r="O22" s="642">
        <f>IF('rotation(7FA)'!N54=0," ",$B22*'rotation(7FA)'!N54)</f>
        <v>4503.5600000000004</v>
      </c>
      <c r="P22" s="642" t="str">
        <f>IF('rotation(7FA)'!O54=0," ",$B22*'rotation(7FA)'!O54)</f>
        <v xml:space="preserve"> </v>
      </c>
      <c r="Q22" s="642" t="str">
        <f>IF('rotation(7FA)'!P54=0," ",$B22*'rotation(7FA)'!P54)</f>
        <v xml:space="preserve"> </v>
      </c>
      <c r="R22" s="642">
        <f>IF('rotation(7FA)'!Q54=0," ",$B22*'rotation(7FA)'!Q54)</f>
        <v>4503.5600000000004</v>
      </c>
      <c r="S22" s="642" t="str">
        <f>IF('rotation(7FA)'!R54=0," ",$B22*'rotation(7FA)'!R54)</f>
        <v xml:space="preserve"> </v>
      </c>
      <c r="T22" s="642" t="str">
        <f>IF('rotation(7FA)'!S54=0," ",$B22*'rotation(7FA)'!S54)</f>
        <v xml:space="preserve"> </v>
      </c>
      <c r="U22" s="642">
        <f>IF('rotation(7FA)'!T54=0," ",$B22*'rotation(7FA)'!T54)</f>
        <v>4503.5600000000004</v>
      </c>
      <c r="V22" s="642" t="str">
        <f>IF('rotation(7FA)'!U54=0," ",$B22*'rotation(7FA)'!U54)</f>
        <v xml:space="preserve"> </v>
      </c>
      <c r="W22" s="642" t="str">
        <f>IF('rotation(7FA)'!V54=0," ",$B22*'rotation(7FA)'!V54)</f>
        <v xml:space="preserve"> </v>
      </c>
      <c r="X22" s="21">
        <f t="shared" si="0"/>
        <v>27021.360000000004</v>
      </c>
    </row>
    <row r="23" spans="1:24" s="21" customFormat="1">
      <c r="A23" s="641" t="str">
        <f>'GTDB(7FA)'!A26</f>
        <v>Row 1 Support Ring</v>
      </c>
      <c r="B23" s="641">
        <f>'GTDB(7FA)'!E26</f>
        <v>44.515999999999998</v>
      </c>
      <c r="C23" s="641" t="str">
        <f>IF('rotation(7FA)'!AA57=0," ",B23*'rotation(7FA)'!AA57)</f>
        <v xml:space="preserve"> </v>
      </c>
      <c r="D23" s="642" t="str">
        <f>IF('rotation(7FA)'!C58=0," ",$B23*'rotation(7FA)'!C58)</f>
        <v xml:space="preserve"> </v>
      </c>
      <c r="E23" s="642" t="str">
        <f>IF('rotation(7FA)'!D58=0," ",$B23*'rotation(7FA)'!D58)</f>
        <v xml:space="preserve"> </v>
      </c>
      <c r="F23" s="642">
        <f>IF('rotation(7FA)'!E58=0," ",$B23*'rotation(7FA)'!E58)</f>
        <v>44.515999999999998</v>
      </c>
      <c r="G23" s="642" t="str">
        <f>IF('rotation(7FA)'!F58=0," ",$B23*'rotation(7FA)'!F58)</f>
        <v xml:space="preserve"> </v>
      </c>
      <c r="H23" s="642" t="str">
        <f>IF('rotation(7FA)'!G58=0," ",$B23*'rotation(7FA)'!G58)</f>
        <v xml:space="preserve"> </v>
      </c>
      <c r="I23" s="642">
        <f>IF('rotation(7FA)'!H58=0," ",$B23*'rotation(7FA)'!H58)</f>
        <v>44.515999999999998</v>
      </c>
      <c r="J23" s="642" t="str">
        <f>IF('rotation(7FA)'!I58=0," ",$B23*'rotation(7FA)'!I58)</f>
        <v xml:space="preserve"> </v>
      </c>
      <c r="K23" s="642" t="str">
        <f>IF('rotation(7FA)'!J58=0," ",$B23*'rotation(7FA)'!J58)</f>
        <v xml:space="preserve"> </v>
      </c>
      <c r="L23" s="642">
        <f>IF('rotation(7FA)'!K58=0," ",$B23*'rotation(7FA)'!K58)</f>
        <v>89.031999999999996</v>
      </c>
      <c r="M23" s="642" t="str">
        <f>IF('rotation(7FA)'!L58=0," ",$B23*'rotation(7FA)'!L58)</f>
        <v xml:space="preserve"> </v>
      </c>
      <c r="N23" s="642" t="str">
        <f>IF('rotation(7FA)'!M58=0," ",$B23*'rotation(7FA)'!M58)</f>
        <v xml:space="preserve"> </v>
      </c>
      <c r="O23" s="642" t="str">
        <f>IF('rotation(7FA)'!N58=0," ",$B23*'rotation(7FA)'!N58)</f>
        <v xml:space="preserve"> </v>
      </c>
      <c r="P23" s="642" t="str">
        <f>IF('rotation(7FA)'!O58=0," ",$B23*'rotation(7FA)'!O58)</f>
        <v xml:space="preserve"> </v>
      </c>
      <c r="Q23" s="642" t="str">
        <f>IF('rotation(7FA)'!P58=0," ",$B23*'rotation(7FA)'!P58)</f>
        <v xml:space="preserve"> </v>
      </c>
      <c r="R23" s="642">
        <f>IF('rotation(7FA)'!Q58=0," ",$B23*'rotation(7FA)'!Q58)</f>
        <v>44.515999999999998</v>
      </c>
      <c r="S23" s="642" t="str">
        <f>IF('rotation(7FA)'!R58=0," ",$B23*'rotation(7FA)'!R58)</f>
        <v xml:space="preserve"> </v>
      </c>
      <c r="T23" s="642" t="str">
        <f>IF('rotation(7FA)'!S58=0," ",$B23*'rotation(7FA)'!S58)</f>
        <v xml:space="preserve"> </v>
      </c>
      <c r="U23" s="642">
        <f>IF('rotation(7FA)'!T58=0," ",$B23*'rotation(7FA)'!T58)</f>
        <v>89.031999999999996</v>
      </c>
      <c r="V23" s="642" t="str">
        <f>IF('rotation(7FA)'!U58=0," ",$B23*'rotation(7FA)'!U58)</f>
        <v xml:space="preserve"> </v>
      </c>
      <c r="W23" s="642" t="str">
        <f>IF('rotation(7FA)'!V58=0," ",$B23*'rotation(7FA)'!V58)</f>
        <v xml:space="preserve"> </v>
      </c>
      <c r="X23" s="21">
        <f t="shared" si="0"/>
        <v>311.61199999999997</v>
      </c>
    </row>
    <row r="24" spans="1:24" s="21" customFormat="1">
      <c r="A24" s="641" t="str">
        <f>'GTDB(7FA)'!A27</f>
        <v xml:space="preserve">1st Stage Shroud Blocks </v>
      </c>
      <c r="B24" s="641">
        <f>'GTDB(7FA)'!E27</f>
        <v>721.44299999999998</v>
      </c>
      <c r="C24" s="641">
        <f>IF('rotation(7FA)'!AA61=0," ",B24*'rotation(7FA)'!AA61)</f>
        <v>721.44299999999998</v>
      </c>
      <c r="D24" s="642" t="str">
        <f>IF('rotation(7FA)'!C62=0," ",$B24*'rotation(7FA)'!C62)</f>
        <v xml:space="preserve"> </v>
      </c>
      <c r="E24" s="642" t="str">
        <f>IF('rotation(7FA)'!D62=0," ",$B24*'rotation(7FA)'!D62)</f>
        <v xml:space="preserve"> </v>
      </c>
      <c r="F24" s="642" t="str">
        <f>IF('rotation(7FA)'!E62=0," ",$B24*'rotation(7FA)'!E62)</f>
        <v xml:space="preserve"> </v>
      </c>
      <c r="G24" s="642" t="str">
        <f>IF('rotation(7FA)'!F62=0," ",$B24*'rotation(7FA)'!F62)</f>
        <v xml:space="preserve"> </v>
      </c>
      <c r="H24" s="642" t="str">
        <f>IF('rotation(7FA)'!G62=0," ",$B24*'rotation(7FA)'!G62)</f>
        <v xml:space="preserve"> </v>
      </c>
      <c r="I24" s="642" t="str">
        <f>IF('rotation(7FA)'!H62=0," ",$B24*'rotation(7FA)'!H62)</f>
        <v xml:space="preserve"> </v>
      </c>
      <c r="J24" s="642" t="str">
        <f>IF('rotation(7FA)'!I62=0," ",$B24*'rotation(7FA)'!I62)</f>
        <v xml:space="preserve"> </v>
      </c>
      <c r="K24" s="642" t="str">
        <f>IF('rotation(7FA)'!J62=0," ",$B24*'rotation(7FA)'!J62)</f>
        <v xml:space="preserve"> </v>
      </c>
      <c r="L24" s="642" t="str">
        <f>IF('rotation(7FA)'!K62=0," ",$B24*'rotation(7FA)'!K62)</f>
        <v xml:space="preserve"> </v>
      </c>
      <c r="M24" s="642" t="str">
        <f>IF('rotation(7FA)'!L62=0," ",$B24*'rotation(7FA)'!L62)</f>
        <v xml:space="preserve"> </v>
      </c>
      <c r="N24" s="642" t="str">
        <f>IF('rotation(7FA)'!M62=0," ",$B24*'rotation(7FA)'!M62)</f>
        <v xml:space="preserve"> </v>
      </c>
      <c r="O24" s="642">
        <f>IF('rotation(7FA)'!N62=0," ",$B24*'rotation(7FA)'!N62)</f>
        <v>1442.886</v>
      </c>
      <c r="P24" s="642" t="str">
        <f>IF('rotation(7FA)'!O62=0," ",$B24*'rotation(7FA)'!O62)</f>
        <v xml:space="preserve"> </v>
      </c>
      <c r="Q24" s="642" t="str">
        <f>IF('rotation(7FA)'!P62=0," ",$B24*'rotation(7FA)'!P62)</f>
        <v xml:space="preserve"> </v>
      </c>
      <c r="R24" s="642">
        <f>IF('rotation(7FA)'!Q62=0," ",$B24*'rotation(7FA)'!Q62)</f>
        <v>721.44299999999998</v>
      </c>
      <c r="S24" s="642" t="str">
        <f>IF('rotation(7FA)'!R62=0," ",$B24*'rotation(7FA)'!R62)</f>
        <v xml:space="preserve"> </v>
      </c>
      <c r="T24" s="642" t="str">
        <f>IF('rotation(7FA)'!S62=0," ",$B24*'rotation(7FA)'!S62)</f>
        <v xml:space="preserve"> </v>
      </c>
      <c r="U24" s="642" t="str">
        <f>IF('rotation(7FA)'!T62=0," ",$B24*'rotation(7FA)'!T62)</f>
        <v xml:space="preserve"> </v>
      </c>
      <c r="V24" s="642" t="str">
        <f>IF('rotation(7FA)'!U62=0," ",$B24*'rotation(7FA)'!U62)</f>
        <v xml:space="preserve"> </v>
      </c>
      <c r="W24" s="642" t="str">
        <f>IF('rotation(7FA)'!V62=0," ",$B24*'rotation(7FA)'!V62)</f>
        <v xml:space="preserve"> </v>
      </c>
      <c r="X24" s="21">
        <f t="shared" si="0"/>
        <v>2164.3289999999997</v>
      </c>
    </row>
    <row r="25" spans="1:24" s="21" customFormat="1">
      <c r="A25" s="641" t="str">
        <f>'GTDB(7FA)'!A28</f>
        <v>2nd Stage Shroud Blocks</v>
      </c>
      <c r="B25" s="641">
        <f>'GTDB(7FA)'!E28</f>
        <v>487.95800000000003</v>
      </c>
      <c r="C25" s="641" t="str">
        <f>IF('rotation(7FA)'!AA65=0," ",B25*'rotation(7FA)'!AA65)</f>
        <v xml:space="preserve"> </v>
      </c>
      <c r="D25" s="642" t="str">
        <f>IF('rotation(7FA)'!C66=0," ",$B25*'rotation(7FA)'!C66)</f>
        <v xml:space="preserve"> </v>
      </c>
      <c r="E25" s="642" t="str">
        <f>IF('rotation(7FA)'!D66=0," ",$B25*'rotation(7FA)'!D66)</f>
        <v xml:space="preserve"> </v>
      </c>
      <c r="F25" s="642">
        <f>IF('rotation(7FA)'!E66=0," ",$B25*'rotation(7FA)'!E66)</f>
        <v>487.95800000000003</v>
      </c>
      <c r="G25" s="642" t="str">
        <f>IF('rotation(7FA)'!F66=0," ",$B25*'rotation(7FA)'!F66)</f>
        <v xml:space="preserve"> </v>
      </c>
      <c r="H25" s="642" t="str">
        <f>IF('rotation(7FA)'!G66=0," ",$B25*'rotation(7FA)'!G66)</f>
        <v xml:space="preserve"> </v>
      </c>
      <c r="I25" s="642" t="str">
        <f>IF('rotation(7FA)'!H66=0," ",$B25*'rotation(7FA)'!H66)</f>
        <v xml:space="preserve"> </v>
      </c>
      <c r="J25" s="642" t="str">
        <f>IF('rotation(7FA)'!I66=0," ",$B25*'rotation(7FA)'!I66)</f>
        <v xml:space="preserve"> </v>
      </c>
      <c r="K25" s="642" t="str">
        <f>IF('rotation(7FA)'!J66=0," ",$B25*'rotation(7FA)'!J66)</f>
        <v xml:space="preserve"> </v>
      </c>
      <c r="L25" s="642" t="str">
        <f>IF('rotation(7FA)'!K66=0," ",$B25*'rotation(7FA)'!K66)</f>
        <v xml:space="preserve"> </v>
      </c>
      <c r="M25" s="642" t="str">
        <f>IF('rotation(7FA)'!L66=0," ",$B25*'rotation(7FA)'!L66)</f>
        <v xml:space="preserve"> </v>
      </c>
      <c r="N25" s="642" t="str">
        <f>IF('rotation(7FA)'!M66=0," ",$B25*'rotation(7FA)'!M66)</f>
        <v xml:space="preserve"> </v>
      </c>
      <c r="O25" s="642">
        <f>IF('rotation(7FA)'!N66=0," ",$B25*'rotation(7FA)'!N66)</f>
        <v>975.91600000000005</v>
      </c>
      <c r="P25" s="642" t="str">
        <f>IF('rotation(7FA)'!O66=0," ",$B25*'rotation(7FA)'!O66)</f>
        <v xml:space="preserve"> </v>
      </c>
      <c r="Q25" s="642" t="str">
        <f>IF('rotation(7FA)'!P66=0," ",$B25*'rotation(7FA)'!P66)</f>
        <v xml:space="preserve"> </v>
      </c>
      <c r="R25" s="642">
        <f>IF('rotation(7FA)'!Q66=0," ",$B25*'rotation(7FA)'!Q66)</f>
        <v>487.95800000000003</v>
      </c>
      <c r="S25" s="642" t="str">
        <f>IF('rotation(7FA)'!R66=0," ",$B25*'rotation(7FA)'!R66)</f>
        <v xml:space="preserve"> </v>
      </c>
      <c r="T25" s="642" t="str">
        <f>IF('rotation(7FA)'!S66=0," ",$B25*'rotation(7FA)'!S66)</f>
        <v xml:space="preserve"> </v>
      </c>
      <c r="U25" s="642" t="str">
        <f>IF('rotation(7FA)'!T66=0," ",$B25*'rotation(7FA)'!T66)</f>
        <v xml:space="preserve"> </v>
      </c>
      <c r="V25" s="642" t="str">
        <f>IF('rotation(7FA)'!U66=0," ",$B25*'rotation(7FA)'!U66)</f>
        <v xml:space="preserve"> </v>
      </c>
      <c r="W25" s="642" t="str">
        <f>IF('rotation(7FA)'!V66=0," ",$B25*'rotation(7FA)'!V66)</f>
        <v xml:space="preserve"> </v>
      </c>
      <c r="X25" s="21">
        <f t="shared" si="0"/>
        <v>1951.8320000000001</v>
      </c>
    </row>
    <row r="26" spans="1:24" s="21" customFormat="1">
      <c r="A26" s="641" t="str">
        <f>'GTDB(7FA)'!A29</f>
        <v>3rd Stage Shroud Blocks</v>
      </c>
      <c r="B26" s="641">
        <f>'GTDB(7FA)'!E29</f>
        <v>417.47899999999998</v>
      </c>
      <c r="C26" s="641" t="str">
        <f>IF('rotation(7FA)'!AA69=0," ",B26*'rotation(7FA)'!AA69)</f>
        <v xml:space="preserve"> </v>
      </c>
      <c r="D26" s="642" t="str">
        <f>IF('rotation(7FA)'!C70=0," ",$B26*'rotation(7FA)'!C70)</f>
        <v xml:space="preserve"> </v>
      </c>
      <c r="E26" s="642" t="str">
        <f>IF('rotation(7FA)'!D70=0," ",$B26*'rotation(7FA)'!D70)</f>
        <v xml:space="preserve"> </v>
      </c>
      <c r="F26" s="642">
        <f>IF('rotation(7FA)'!E70=0," ",$B26*'rotation(7FA)'!E70)</f>
        <v>417.47899999999998</v>
      </c>
      <c r="G26" s="642" t="str">
        <f>IF('rotation(7FA)'!F70=0," ",$B26*'rotation(7FA)'!F70)</f>
        <v xml:space="preserve"> </v>
      </c>
      <c r="H26" s="642" t="str">
        <f>IF('rotation(7FA)'!G70=0," ",$B26*'rotation(7FA)'!G70)</f>
        <v xml:space="preserve"> </v>
      </c>
      <c r="I26" s="642" t="str">
        <f>IF('rotation(7FA)'!H70=0," ",$B26*'rotation(7FA)'!H70)</f>
        <v xml:space="preserve"> </v>
      </c>
      <c r="J26" s="642" t="str">
        <f>IF('rotation(7FA)'!I70=0," ",$B26*'rotation(7FA)'!I70)</f>
        <v xml:space="preserve"> </v>
      </c>
      <c r="K26" s="642" t="str">
        <f>IF('rotation(7FA)'!J70=0," ",$B26*'rotation(7FA)'!J70)</f>
        <v xml:space="preserve"> </v>
      </c>
      <c r="L26" s="642" t="str">
        <f>IF('rotation(7FA)'!K70=0," ",$B26*'rotation(7FA)'!K70)</f>
        <v xml:space="preserve"> </v>
      </c>
      <c r="M26" s="642" t="str">
        <f>IF('rotation(7FA)'!L70=0," ",$B26*'rotation(7FA)'!L70)</f>
        <v xml:space="preserve"> </v>
      </c>
      <c r="N26" s="642" t="str">
        <f>IF('rotation(7FA)'!M70=0," ",$B26*'rotation(7FA)'!M70)</f>
        <v xml:space="preserve"> </v>
      </c>
      <c r="O26" s="642">
        <f>IF('rotation(7FA)'!N70=0," ",$B26*'rotation(7FA)'!N70)</f>
        <v>834.95799999999997</v>
      </c>
      <c r="P26" s="642" t="str">
        <f>IF('rotation(7FA)'!O70=0," ",$B26*'rotation(7FA)'!O70)</f>
        <v xml:space="preserve"> </v>
      </c>
      <c r="Q26" s="642" t="str">
        <f>IF('rotation(7FA)'!P70=0," ",$B26*'rotation(7FA)'!P70)</f>
        <v xml:space="preserve"> </v>
      </c>
      <c r="R26" s="642">
        <f>IF('rotation(7FA)'!Q70=0," ",$B26*'rotation(7FA)'!Q70)</f>
        <v>417.47899999999998</v>
      </c>
      <c r="S26" s="642" t="str">
        <f>IF('rotation(7FA)'!R70=0," ",$B26*'rotation(7FA)'!R70)</f>
        <v xml:space="preserve"> </v>
      </c>
      <c r="T26" s="642" t="str">
        <f>IF('rotation(7FA)'!S70=0," ",$B26*'rotation(7FA)'!S70)</f>
        <v xml:space="preserve"> </v>
      </c>
      <c r="U26" s="642" t="str">
        <f>IF('rotation(7FA)'!T70=0," ",$B26*'rotation(7FA)'!T70)</f>
        <v xml:space="preserve"> </v>
      </c>
      <c r="V26" s="642" t="str">
        <f>IF('rotation(7FA)'!U70=0," ",$B26*'rotation(7FA)'!U70)</f>
        <v xml:space="preserve"> </v>
      </c>
      <c r="W26" s="642" t="str">
        <f>IF('rotation(7FA)'!V70=0," ",$B26*'rotation(7FA)'!V70)</f>
        <v xml:space="preserve"> </v>
      </c>
      <c r="X26" s="21">
        <f t="shared" si="0"/>
        <v>1669.9159999999999</v>
      </c>
    </row>
    <row r="27" spans="1:24" s="21" customFormat="1">
      <c r="A27" s="636" t="s">
        <v>904</v>
      </c>
      <c r="B27" s="641">
        <f>'GTDB(7FA)'!D12</f>
        <v>54.253999999999998</v>
      </c>
      <c r="C27" s="641"/>
      <c r="D27" s="642">
        <f>IF('rotation(7FA)'!C8=0," ",$B27*'rotation(7FA)'!C8)</f>
        <v>108.508</v>
      </c>
      <c r="E27" s="642">
        <f>IF('rotation(7FA)'!D8=0," ",$B27*'rotation(7FA)'!D8)</f>
        <v>108.508</v>
      </c>
      <c r="F27" s="642" t="str">
        <f>IF('rotation(7FA)'!E8=0," ",$B27*'rotation(7FA)'!E8)</f>
        <v xml:space="preserve"> </v>
      </c>
      <c r="G27" s="642">
        <f>IF('rotation(7FA)'!F8=0," ",$B27*'rotation(7FA)'!F8)</f>
        <v>108.508</v>
      </c>
      <c r="H27" s="642">
        <f>IF('rotation(7FA)'!G8=0," ",$B27*'rotation(7FA)'!G8)</f>
        <v>108.508</v>
      </c>
      <c r="I27" s="642" t="str">
        <f>IF('rotation(7FA)'!H8=0," ",$B27*'rotation(7FA)'!H8)</f>
        <v xml:space="preserve"> </v>
      </c>
      <c r="J27" s="642">
        <f>IF('rotation(7FA)'!I8=0," ",$B27*'rotation(7FA)'!I8)</f>
        <v>108.508</v>
      </c>
      <c r="K27" s="642">
        <f>IF('rotation(7FA)'!J8=0," ",$B27*'rotation(7FA)'!J8)</f>
        <v>108.508</v>
      </c>
      <c r="L27" s="642" t="str">
        <f>IF('rotation(7FA)'!K8=0," ",$B27*'rotation(7FA)'!K8)</f>
        <v xml:space="preserve"> </v>
      </c>
      <c r="M27" s="642">
        <f>IF('rotation(7FA)'!L8=0," ",$B27*'rotation(7FA)'!L8)</f>
        <v>108.508</v>
      </c>
      <c r="N27" s="642">
        <f>IF('rotation(7FA)'!M8=0," ",$B27*'rotation(7FA)'!M8)</f>
        <v>108.508</v>
      </c>
      <c r="O27" s="642" t="str">
        <f>IF('rotation(7FA)'!N8=0," ",$B27*'rotation(7FA)'!N8)</f>
        <v xml:space="preserve"> </v>
      </c>
      <c r="P27" s="642">
        <f>IF('rotation(7FA)'!O8=0," ",$B27*'rotation(7FA)'!O8)</f>
        <v>108.508</v>
      </c>
      <c r="Q27" s="642">
        <f>IF('rotation(7FA)'!P8=0," ",$B27*'rotation(7FA)'!P8)</f>
        <v>108.508</v>
      </c>
      <c r="R27" s="642" t="str">
        <f>IF('rotation(7FA)'!Q8=0," ",$B27*'rotation(7FA)'!Q8)</f>
        <v xml:space="preserve"> </v>
      </c>
      <c r="S27" s="642">
        <f>IF('rotation(7FA)'!R8=0," ",$B27*'rotation(7FA)'!R8)</f>
        <v>108.508</v>
      </c>
      <c r="T27" s="642">
        <f>IF('rotation(7FA)'!S8=0," ",$B27*'rotation(7FA)'!S8)</f>
        <v>108.508</v>
      </c>
      <c r="U27" s="642" t="str">
        <f>IF('rotation(7FA)'!T8=0," ",$B27*'rotation(7FA)'!T8)</f>
        <v xml:space="preserve"> </v>
      </c>
      <c r="V27" s="642">
        <f>IF('rotation(7FA)'!U8=0," ",$B27*'rotation(7FA)'!U8)</f>
        <v>108.508</v>
      </c>
      <c r="W27" s="642">
        <f>IF('rotation(7FA)'!V8=0," ",$B27*'rotation(7FA)'!V8)</f>
        <v>108.508</v>
      </c>
      <c r="X27" s="21">
        <f t="shared" si="0"/>
        <v>1519.1120000000003</v>
      </c>
    </row>
    <row r="28" spans="1:24" s="21" customFormat="1">
      <c r="A28" s="636" t="s">
        <v>905</v>
      </c>
      <c r="B28" s="641">
        <f>'GTDB(7FA)'!D13</f>
        <v>62.031999999999996</v>
      </c>
      <c r="C28" s="641"/>
      <c r="D28" s="642" t="str">
        <f>IF('rotation(7FA)'!C9=0," ",$B28*'rotation(7FA)'!C9)</f>
        <v xml:space="preserve"> </v>
      </c>
      <c r="E28" s="642" t="str">
        <f>IF('rotation(7FA)'!D9=0," ",$B28*'rotation(7FA)'!D9)</f>
        <v xml:space="preserve"> </v>
      </c>
      <c r="F28" s="642">
        <f>IF('rotation(7FA)'!E9=0," ",$B28*'rotation(7FA)'!E9)</f>
        <v>124.06399999999999</v>
      </c>
      <c r="G28" s="642" t="str">
        <f>IF('rotation(7FA)'!F9=0," ",$B28*'rotation(7FA)'!F9)</f>
        <v xml:space="preserve"> </v>
      </c>
      <c r="H28" s="642" t="str">
        <f>IF('rotation(7FA)'!G9=0," ",$B28*'rotation(7FA)'!G9)</f>
        <v xml:space="preserve"> </v>
      </c>
      <c r="I28" s="642" t="str">
        <f>IF('rotation(7FA)'!H9=0," ",$B28*'rotation(7FA)'!H9)</f>
        <v xml:space="preserve"> </v>
      </c>
      <c r="J28" s="642" t="str">
        <f>IF('rotation(7FA)'!I9=0," ",$B28*'rotation(7FA)'!I9)</f>
        <v xml:space="preserve"> </v>
      </c>
      <c r="K28" s="642" t="str">
        <f>IF('rotation(7FA)'!J9=0," ",$B28*'rotation(7FA)'!J9)</f>
        <v xml:space="preserve"> </v>
      </c>
      <c r="L28" s="642">
        <f>IF('rotation(7FA)'!K9=0," ",$B28*'rotation(7FA)'!K9)</f>
        <v>124.06399999999999</v>
      </c>
      <c r="M28" s="642" t="str">
        <f>IF('rotation(7FA)'!L9=0," ",$B28*'rotation(7FA)'!L9)</f>
        <v xml:space="preserve"> </v>
      </c>
      <c r="N28" s="642" t="str">
        <f>IF('rotation(7FA)'!M9=0," ",$B28*'rotation(7FA)'!M9)</f>
        <v xml:space="preserve"> </v>
      </c>
      <c r="O28" s="642" t="str">
        <f>IF('rotation(7FA)'!N9=0," ",$B28*'rotation(7FA)'!N9)</f>
        <v xml:space="preserve"> </v>
      </c>
      <c r="P28" s="642" t="str">
        <f>IF('rotation(7FA)'!O9=0," ",$B28*'rotation(7FA)'!O9)</f>
        <v xml:space="preserve"> </v>
      </c>
      <c r="Q28" s="642" t="str">
        <f>IF('rotation(7FA)'!P9=0," ",$B28*'rotation(7FA)'!P9)</f>
        <v xml:space="preserve"> </v>
      </c>
      <c r="R28" s="642">
        <f>IF('rotation(7FA)'!Q9=0," ",$B28*'rotation(7FA)'!Q9)</f>
        <v>124.06399999999999</v>
      </c>
      <c r="S28" s="642" t="str">
        <f>IF('rotation(7FA)'!R9=0," ",$B28*'rotation(7FA)'!R9)</f>
        <v xml:space="preserve"> </v>
      </c>
      <c r="T28" s="642" t="str">
        <f>IF('rotation(7FA)'!S9=0," ",$B28*'rotation(7FA)'!S9)</f>
        <v xml:space="preserve"> </v>
      </c>
      <c r="U28" s="642" t="str">
        <f>IF('rotation(7FA)'!T9=0," ",$B28*'rotation(7FA)'!T9)</f>
        <v xml:space="preserve"> </v>
      </c>
      <c r="V28" s="642" t="str">
        <f>IF('rotation(7FA)'!U9=0," ",$B28*'rotation(7FA)'!U9)</f>
        <v xml:space="preserve"> </v>
      </c>
      <c r="W28" s="642" t="str">
        <f>IF('rotation(7FA)'!V9=0," ",$B28*'rotation(7FA)'!V9)</f>
        <v xml:space="preserve"> </v>
      </c>
      <c r="X28" s="21">
        <f t="shared" si="0"/>
        <v>372.19200000000001</v>
      </c>
    </row>
    <row r="29" spans="1:24" s="21" customFormat="1">
      <c r="A29" s="636" t="s">
        <v>906</v>
      </c>
      <c r="B29" s="641">
        <f>'GTDB(7FA)'!D14</f>
        <v>209.215</v>
      </c>
      <c r="C29" s="641"/>
      <c r="D29" s="642" t="str">
        <f>IF('rotation(7FA)'!C10=0," ",$B29*'rotation(7FA)'!C10)</f>
        <v xml:space="preserve"> </v>
      </c>
      <c r="E29" s="642" t="str">
        <f>IF('rotation(7FA)'!D10=0," ",$B29*'rotation(7FA)'!D10)</f>
        <v xml:space="preserve"> </v>
      </c>
      <c r="F29" s="642" t="str">
        <f>IF('rotation(7FA)'!E10=0," ",$B29*'rotation(7FA)'!E10)</f>
        <v xml:space="preserve"> </v>
      </c>
      <c r="G29" s="642" t="str">
        <f>IF('rotation(7FA)'!F10=0," ",$B29*'rotation(7FA)'!F10)</f>
        <v xml:space="preserve"> </v>
      </c>
      <c r="H29" s="642" t="str">
        <f>IF('rotation(7FA)'!G10=0," ",$B29*'rotation(7FA)'!G10)</f>
        <v xml:space="preserve"> </v>
      </c>
      <c r="I29" s="642">
        <f>IF('rotation(7FA)'!H10=0," ",$B29*'rotation(7FA)'!H10)</f>
        <v>418.43</v>
      </c>
      <c r="J29" s="642" t="str">
        <f>IF('rotation(7FA)'!I10=0," ",$B29*'rotation(7FA)'!I10)</f>
        <v xml:space="preserve"> </v>
      </c>
      <c r="K29" s="642" t="str">
        <f>IF('rotation(7FA)'!J10=0," ",$B29*'rotation(7FA)'!J10)</f>
        <v xml:space="preserve"> </v>
      </c>
      <c r="L29" s="642" t="str">
        <f>IF('rotation(7FA)'!K10=0," ",$B29*'rotation(7FA)'!K10)</f>
        <v xml:space="preserve"> </v>
      </c>
      <c r="M29" s="642" t="str">
        <f>IF('rotation(7FA)'!L10=0," ",$B29*'rotation(7FA)'!L10)</f>
        <v xml:space="preserve"> </v>
      </c>
      <c r="N29" s="642" t="str">
        <f>IF('rotation(7FA)'!M10=0," ",$B29*'rotation(7FA)'!M10)</f>
        <v xml:space="preserve"> </v>
      </c>
      <c r="O29" s="642">
        <f>IF('rotation(7FA)'!N10=0," ",$B29*'rotation(7FA)'!N10)</f>
        <v>418.43</v>
      </c>
      <c r="P29" s="642" t="str">
        <f>IF('rotation(7FA)'!O10=0," ",$B29*'rotation(7FA)'!O10)</f>
        <v xml:space="preserve"> </v>
      </c>
      <c r="Q29" s="642" t="str">
        <f>IF('rotation(7FA)'!P10=0," ",$B29*'rotation(7FA)'!P10)</f>
        <v xml:space="preserve"> </v>
      </c>
      <c r="R29" s="642" t="str">
        <f>IF('rotation(7FA)'!Q10=0," ",$B29*'rotation(7FA)'!Q10)</f>
        <v xml:space="preserve"> </v>
      </c>
      <c r="S29" s="642" t="str">
        <f>IF('rotation(7FA)'!R10=0," ",$B29*'rotation(7FA)'!R10)</f>
        <v xml:space="preserve"> </v>
      </c>
      <c r="T29" s="642" t="str">
        <f>IF('rotation(7FA)'!S10=0," ",$B29*'rotation(7FA)'!S10)</f>
        <v xml:space="preserve"> </v>
      </c>
      <c r="U29" s="642">
        <f>IF('rotation(7FA)'!T10=0," ",$B29*'rotation(7FA)'!T10)</f>
        <v>418.43</v>
      </c>
      <c r="V29" s="642" t="str">
        <f>IF('rotation(7FA)'!U10=0," ",$B29*'rotation(7FA)'!U10)</f>
        <v xml:space="preserve"> </v>
      </c>
      <c r="W29" s="642" t="str">
        <f>IF('rotation(7FA)'!V10=0," ",$B29*'rotation(7FA)'!V10)</f>
        <v xml:space="preserve"> </v>
      </c>
      <c r="X29" s="21">
        <f t="shared" si="0"/>
        <v>1255.29</v>
      </c>
    </row>
    <row r="30" spans="1:24" s="21" customFormat="1" ht="15.75" customHeight="1">
      <c r="A30" s="640" t="s">
        <v>907</v>
      </c>
      <c r="C30" s="21">
        <f t="shared" ref="C30:W30" si="1">SUM(C14:C29)</f>
        <v>8658.1689999999999</v>
      </c>
      <c r="D30" s="21">
        <f t="shared" si="1"/>
        <v>108.508</v>
      </c>
      <c r="E30" s="21">
        <f t="shared" si="1"/>
        <v>108.508</v>
      </c>
      <c r="F30" s="21">
        <f t="shared" si="1"/>
        <v>10563.065000000001</v>
      </c>
      <c r="G30" s="21">
        <f t="shared" si="1"/>
        <v>2703.3539999999998</v>
      </c>
      <c r="H30" s="21">
        <f t="shared" si="1"/>
        <v>1405.931</v>
      </c>
      <c r="I30" s="21">
        <f t="shared" si="1"/>
        <v>8549.0229999999992</v>
      </c>
      <c r="J30" s="21">
        <f t="shared" si="1"/>
        <v>3747.2820000000002</v>
      </c>
      <c r="K30" s="21">
        <f t="shared" si="1"/>
        <v>3225.3180000000002</v>
      </c>
      <c r="L30" s="21">
        <f t="shared" si="1"/>
        <v>14476.535999999998</v>
      </c>
      <c r="M30" s="21">
        <f t="shared" si="1"/>
        <v>108.508</v>
      </c>
      <c r="N30" s="21">
        <f t="shared" si="1"/>
        <v>108.508</v>
      </c>
      <c r="O30" s="21">
        <f t="shared" si="1"/>
        <v>20621.524000000001</v>
      </c>
      <c r="P30" s="21">
        <f t="shared" si="1"/>
        <v>2703.3539999999998</v>
      </c>
      <c r="Q30" s="21">
        <f t="shared" si="1"/>
        <v>3225.3180000000002</v>
      </c>
      <c r="R30" s="21">
        <f t="shared" si="1"/>
        <v>19743.197999999997</v>
      </c>
      <c r="S30" s="21">
        <f t="shared" si="1"/>
        <v>108.508</v>
      </c>
      <c r="T30" s="21">
        <f t="shared" si="1"/>
        <v>1405.931</v>
      </c>
      <c r="U30" s="21">
        <f t="shared" si="1"/>
        <v>14770.901999999998</v>
      </c>
      <c r="V30" s="21">
        <f t="shared" si="1"/>
        <v>108.508</v>
      </c>
      <c r="W30" s="21">
        <f t="shared" si="1"/>
        <v>108.508</v>
      </c>
      <c r="X30" s="21">
        <f t="shared" si="0"/>
        <v>107900.292</v>
      </c>
    </row>
    <row r="31" spans="1:24" s="21" customFormat="1" ht="16.5" customHeight="1">
      <c r="A31" s="640" t="s">
        <v>960</v>
      </c>
      <c r="B31" s="643">
        <v>0.1</v>
      </c>
      <c r="C31" s="21">
        <f t="shared" ref="C31:W31" si="2">C30*(1-$B31)</f>
        <v>7792.3521000000001</v>
      </c>
      <c r="D31" s="21">
        <f t="shared" si="2"/>
        <v>97.657200000000003</v>
      </c>
      <c r="E31" s="21">
        <f t="shared" si="2"/>
        <v>97.657200000000003</v>
      </c>
      <c r="F31" s="21">
        <f t="shared" si="2"/>
        <v>9506.7584999999999</v>
      </c>
      <c r="G31" s="21">
        <f t="shared" si="2"/>
        <v>2433.0185999999999</v>
      </c>
      <c r="H31" s="21">
        <f t="shared" si="2"/>
        <v>1265.3379</v>
      </c>
      <c r="I31" s="21">
        <f t="shared" si="2"/>
        <v>7694.1206999999995</v>
      </c>
      <c r="J31" s="21">
        <f t="shared" si="2"/>
        <v>3372.5538000000001</v>
      </c>
      <c r="K31" s="21">
        <f t="shared" si="2"/>
        <v>2902.7862000000005</v>
      </c>
      <c r="L31" s="21">
        <f t="shared" si="2"/>
        <v>13028.882399999999</v>
      </c>
      <c r="M31" s="21">
        <f t="shared" si="2"/>
        <v>97.657200000000003</v>
      </c>
      <c r="N31" s="21">
        <f t="shared" si="2"/>
        <v>97.657200000000003</v>
      </c>
      <c r="O31" s="21">
        <f t="shared" si="2"/>
        <v>18559.371600000002</v>
      </c>
      <c r="P31" s="21">
        <f t="shared" si="2"/>
        <v>2433.0185999999999</v>
      </c>
      <c r="Q31" s="21">
        <f t="shared" si="2"/>
        <v>2902.7862000000005</v>
      </c>
      <c r="R31" s="21">
        <f t="shared" si="2"/>
        <v>17768.878199999999</v>
      </c>
      <c r="S31" s="21">
        <f t="shared" si="2"/>
        <v>97.657200000000003</v>
      </c>
      <c r="T31" s="21">
        <f t="shared" si="2"/>
        <v>1265.3379</v>
      </c>
      <c r="U31" s="21">
        <f t="shared" si="2"/>
        <v>13293.811799999999</v>
      </c>
      <c r="V31" s="21">
        <f t="shared" si="2"/>
        <v>97.657200000000003</v>
      </c>
      <c r="W31" s="21">
        <f t="shared" si="2"/>
        <v>97.657200000000003</v>
      </c>
      <c r="X31" s="21">
        <f t="shared" si="0"/>
        <v>97110.262800000011</v>
      </c>
    </row>
    <row r="32" spans="1:24" s="21" customFormat="1" ht="12.75" customHeight="1">
      <c r="A32" s="640" t="s">
        <v>908</v>
      </c>
      <c r="B32" s="643">
        <v>0.03</v>
      </c>
      <c r="C32" s="21">
        <f t="shared" ref="C32:W32" si="3">C31*(1+$B32)</f>
        <v>8026.1226630000001</v>
      </c>
      <c r="D32" s="21">
        <f t="shared" si="3"/>
        <v>100.586916</v>
      </c>
      <c r="E32" s="21">
        <f t="shared" si="3"/>
        <v>100.586916</v>
      </c>
      <c r="F32" s="21">
        <f t="shared" si="3"/>
        <v>9791.9612550000002</v>
      </c>
      <c r="G32" s="21">
        <f t="shared" si="3"/>
        <v>2506.0091579999998</v>
      </c>
      <c r="H32" s="21">
        <f t="shared" si="3"/>
        <v>1303.298037</v>
      </c>
      <c r="I32" s="21">
        <f t="shared" si="3"/>
        <v>7924.9443209999999</v>
      </c>
      <c r="J32" s="21">
        <f t="shared" si="3"/>
        <v>3473.7304140000001</v>
      </c>
      <c r="K32" s="21">
        <f t="shared" si="3"/>
        <v>2989.8697860000007</v>
      </c>
      <c r="L32" s="21">
        <f t="shared" si="3"/>
        <v>13419.748871999998</v>
      </c>
      <c r="M32" s="21">
        <f t="shared" si="3"/>
        <v>100.586916</v>
      </c>
      <c r="N32" s="21">
        <f t="shared" si="3"/>
        <v>100.586916</v>
      </c>
      <c r="O32" s="21">
        <f t="shared" si="3"/>
        <v>19116.152748000004</v>
      </c>
      <c r="P32" s="21">
        <f t="shared" si="3"/>
        <v>2506.0091579999998</v>
      </c>
      <c r="Q32" s="21">
        <f t="shared" si="3"/>
        <v>2989.8697860000007</v>
      </c>
      <c r="R32" s="21">
        <f t="shared" si="3"/>
        <v>18301.944545999999</v>
      </c>
      <c r="S32" s="21">
        <f t="shared" si="3"/>
        <v>100.586916</v>
      </c>
      <c r="T32" s="21">
        <f t="shared" si="3"/>
        <v>1303.298037</v>
      </c>
      <c r="U32" s="21">
        <f t="shared" si="3"/>
        <v>13692.626154</v>
      </c>
      <c r="V32" s="21">
        <f t="shared" si="3"/>
        <v>100.586916</v>
      </c>
      <c r="W32" s="21">
        <f t="shared" si="3"/>
        <v>100.586916</v>
      </c>
      <c r="X32" s="644">
        <f t="shared" si="0"/>
        <v>100023.57068399999</v>
      </c>
    </row>
    <row r="33" spans="1:24" s="21" customFormat="1">
      <c r="A33" s="640"/>
    </row>
    <row r="34" spans="1:24" s="21" customFormat="1">
      <c r="A34" s="640"/>
    </row>
    <row r="35" spans="1:24" s="21" customFormat="1">
      <c r="A35" s="645" t="s">
        <v>909</v>
      </c>
      <c r="D35" s="21">
        <v>1</v>
      </c>
      <c r="E35" s="21">
        <v>2</v>
      </c>
      <c r="F35" s="21">
        <v>3</v>
      </c>
      <c r="G35" s="21">
        <v>4</v>
      </c>
      <c r="H35" s="21">
        <v>5</v>
      </c>
      <c r="I35" s="21">
        <v>6</v>
      </c>
      <c r="J35" s="21">
        <v>7</v>
      </c>
      <c r="K35" s="21">
        <v>8</v>
      </c>
      <c r="L35" s="21">
        <v>9</v>
      </c>
      <c r="M35" s="21">
        <v>10</v>
      </c>
      <c r="N35" s="21">
        <v>11</v>
      </c>
      <c r="O35" s="21">
        <v>12</v>
      </c>
      <c r="P35" s="21">
        <v>13</v>
      </c>
      <c r="Q35" s="21">
        <v>14</v>
      </c>
      <c r="R35" s="21">
        <v>15</v>
      </c>
      <c r="S35" s="21">
        <v>16</v>
      </c>
      <c r="T35" s="21">
        <v>17</v>
      </c>
      <c r="U35" s="21">
        <v>18</v>
      </c>
      <c r="V35" s="21">
        <v>19</v>
      </c>
      <c r="W35" s="21">
        <v>20</v>
      </c>
    </row>
    <row r="36" spans="1:24" s="21" customFormat="1">
      <c r="A36" s="646" t="s">
        <v>901</v>
      </c>
      <c r="B36" s="647" t="s">
        <v>910</v>
      </c>
      <c r="C36" s="642"/>
      <c r="D36" s="642"/>
      <c r="E36" s="642"/>
      <c r="F36" s="642"/>
      <c r="G36" s="642"/>
      <c r="H36" s="642"/>
      <c r="I36" s="642"/>
      <c r="J36" s="642"/>
      <c r="K36" s="642"/>
      <c r="L36" s="642"/>
      <c r="M36" s="642"/>
      <c r="N36" s="642"/>
      <c r="O36" s="642"/>
      <c r="P36" s="642"/>
      <c r="Q36" s="642"/>
      <c r="R36" s="642"/>
      <c r="S36" s="642"/>
      <c r="T36" s="642"/>
      <c r="U36" s="642"/>
      <c r="V36" s="642"/>
      <c r="W36" s="642"/>
    </row>
    <row r="37" spans="1:24" s="21" customFormat="1">
      <c r="A37" s="648" t="str">
        <f>'GTDB(7FA)'!A17</f>
        <v>Combustion Liners</v>
      </c>
      <c r="B37" s="641">
        <f>'GTDB(7FA)'!D17</f>
        <v>191.58</v>
      </c>
      <c r="C37" s="642">
        <v>0</v>
      </c>
      <c r="D37" s="642">
        <f>IF('rotation(7FA)'!C17=0," ",$B37*'rotation(7FA)'!C17)</f>
        <v>383.16</v>
      </c>
      <c r="E37" s="642">
        <f>IF('rotation(7FA)'!D17=0," ",$B37*'rotation(7FA)'!D17)</f>
        <v>383.16</v>
      </c>
      <c r="F37" s="642">
        <f>IF('rotation(7FA)'!E17=0," ",$B37*'rotation(7FA)'!E17)</f>
        <v>383.16</v>
      </c>
      <c r="G37" s="642">
        <f>IF('rotation(7FA)'!F17=0," ",$B37*'rotation(7FA)'!F17)</f>
        <v>383.16</v>
      </c>
      <c r="H37" s="642">
        <f>IF('rotation(7FA)'!G17=0," ",$B37*'rotation(7FA)'!G17)</f>
        <v>383.16</v>
      </c>
      <c r="I37" s="642">
        <f>IF('rotation(7FA)'!H17=0," ",$B37*'rotation(7FA)'!H17)</f>
        <v>383.16</v>
      </c>
      <c r="J37" s="642" t="str">
        <f>IF('rotation(7FA)'!I17=0," ",$B37*'rotation(7FA)'!I17)</f>
        <v xml:space="preserve"> </v>
      </c>
      <c r="K37" s="642">
        <f>IF('rotation(7FA)'!J17=0," ",$B37*'rotation(7FA)'!J17)</f>
        <v>191.58</v>
      </c>
      <c r="L37" s="642">
        <f>IF('rotation(7FA)'!K17=0," ",$B37*'rotation(7FA)'!K17)</f>
        <v>383.16</v>
      </c>
      <c r="M37" s="642">
        <f>IF('rotation(7FA)'!L17=0," ",$B37*'rotation(7FA)'!L17)</f>
        <v>383.16</v>
      </c>
      <c r="N37" s="642">
        <f>IF('rotation(7FA)'!M17=0," ",$B37*'rotation(7FA)'!M17)</f>
        <v>383.16</v>
      </c>
      <c r="O37" s="642">
        <f>IF('rotation(7FA)'!N17=0," ",$B37*'rotation(7FA)'!N17)</f>
        <v>383.16</v>
      </c>
      <c r="P37" s="642">
        <f>IF('rotation(7FA)'!O17=0," ",$B37*'rotation(7FA)'!O17)</f>
        <v>383.16</v>
      </c>
      <c r="Q37" s="642">
        <f>IF('rotation(7FA)'!P17=0," ",$B37*'rotation(7FA)'!P17)</f>
        <v>191.58</v>
      </c>
      <c r="R37" s="642" t="str">
        <f>IF('rotation(7FA)'!Q17=0," ",$B37*'rotation(7FA)'!Q17)</f>
        <v xml:space="preserve"> </v>
      </c>
      <c r="S37" s="642">
        <f>IF('rotation(7FA)'!R17=0," ",$B37*'rotation(7FA)'!R17)</f>
        <v>383.16</v>
      </c>
      <c r="T37" s="642">
        <f>IF('rotation(7FA)'!S17=0," ",$B37*'rotation(7FA)'!S17)</f>
        <v>383.16</v>
      </c>
      <c r="U37" s="642">
        <f>IF('rotation(7FA)'!T17=0," ",$B37*'rotation(7FA)'!T17)</f>
        <v>383.16</v>
      </c>
      <c r="V37" s="642">
        <f>IF('rotation(7FA)'!U17=0," ",$B37*'rotation(7FA)'!U17)</f>
        <v>383.16</v>
      </c>
      <c r="W37" s="642">
        <f>IF('rotation(7FA)'!V17=0," ",$B37*'rotation(7FA)'!V17)</f>
        <v>383.16</v>
      </c>
      <c r="X37" s="21">
        <f t="shared" ref="X37:X49" si="4">SUM(D37:W37)</f>
        <v>6513.7199999999984</v>
      </c>
    </row>
    <row r="38" spans="1:24" s="21" customFormat="1">
      <c r="A38" s="648" t="str">
        <f>'GTDB(7FA)'!A18</f>
        <v>Transition Pieces</v>
      </c>
      <c r="B38" s="641">
        <f>'GTDB(7FA)'!D18</f>
        <v>196.73</v>
      </c>
      <c r="C38" s="642"/>
      <c r="D38" s="642">
        <f>IF('rotation(7FA)'!C21=0," ",$B38*'rotation(7FA)'!C21)</f>
        <v>393.46</v>
      </c>
      <c r="E38" s="642">
        <f>IF('rotation(7FA)'!D21=0," ",$B38*'rotation(7FA)'!D21)</f>
        <v>393.46</v>
      </c>
      <c r="F38" s="642">
        <f>IF('rotation(7FA)'!E21=0," ",$B38*'rotation(7FA)'!E21)</f>
        <v>393.46</v>
      </c>
      <c r="G38" s="642">
        <f>IF('rotation(7FA)'!F21=0," ",$B38*'rotation(7FA)'!F21)</f>
        <v>393.46</v>
      </c>
      <c r="H38" s="642">
        <f>IF('rotation(7FA)'!G21=0," ",$B38*'rotation(7FA)'!G21)</f>
        <v>393.46</v>
      </c>
      <c r="I38" s="642">
        <f>IF('rotation(7FA)'!H21=0," ",$B38*'rotation(7FA)'!H21)</f>
        <v>393.46</v>
      </c>
      <c r="J38" s="642" t="str">
        <f>IF('rotation(7FA)'!I21=0," ",$B38*'rotation(7FA)'!I21)</f>
        <v xml:space="preserve"> </v>
      </c>
      <c r="K38" s="642">
        <f>IF('rotation(7FA)'!J21=0," ",$B38*'rotation(7FA)'!J21)</f>
        <v>196.73</v>
      </c>
      <c r="L38" s="642">
        <f>IF('rotation(7FA)'!K21=0," ",$B38*'rotation(7FA)'!K21)</f>
        <v>393.46</v>
      </c>
      <c r="M38" s="642">
        <f>IF('rotation(7FA)'!L21=0," ",$B38*'rotation(7FA)'!L21)</f>
        <v>393.46</v>
      </c>
      <c r="N38" s="642">
        <f>IF('rotation(7FA)'!M21=0," ",$B38*'rotation(7FA)'!M21)</f>
        <v>393.46</v>
      </c>
      <c r="O38" s="642">
        <f>IF('rotation(7FA)'!N21=0," ",$B38*'rotation(7FA)'!N21)</f>
        <v>393.46</v>
      </c>
      <c r="P38" s="642">
        <f>IF('rotation(7FA)'!O21=0," ",$B38*'rotation(7FA)'!O21)</f>
        <v>393.46</v>
      </c>
      <c r="Q38" s="642">
        <f>IF('rotation(7FA)'!P21=0," ",$B38*'rotation(7FA)'!P21)</f>
        <v>196.73</v>
      </c>
      <c r="R38" s="642" t="str">
        <f>IF('rotation(7FA)'!Q21=0," ",$B38*'rotation(7FA)'!Q21)</f>
        <v xml:space="preserve"> </v>
      </c>
      <c r="S38" s="642">
        <f>IF('rotation(7FA)'!R21=0," ",$B38*'rotation(7FA)'!R21)</f>
        <v>393.46</v>
      </c>
      <c r="T38" s="642">
        <f>IF('rotation(7FA)'!S21=0," ",$B38*'rotation(7FA)'!S21)</f>
        <v>393.46</v>
      </c>
      <c r="U38" s="642">
        <f>IF('rotation(7FA)'!T21=0," ",$B38*'rotation(7FA)'!T21)</f>
        <v>393.46</v>
      </c>
      <c r="V38" s="642">
        <f>IF('rotation(7FA)'!U21=0," ",$B38*'rotation(7FA)'!U21)</f>
        <v>393.46</v>
      </c>
      <c r="W38" s="642">
        <f>IF('rotation(7FA)'!V21=0," ",$B38*'rotation(7FA)'!V21)</f>
        <v>393.46</v>
      </c>
      <c r="X38" s="21">
        <f t="shared" si="4"/>
        <v>6688.82</v>
      </c>
    </row>
    <row r="39" spans="1:24" s="21" customFormat="1">
      <c r="A39" s="648" t="str">
        <f>'GTDB(7FA)'!A19</f>
        <v>Fuel Nozzles</v>
      </c>
      <c r="B39" s="641">
        <f>'GTDB(7FA)'!D19</f>
        <v>73.13</v>
      </c>
      <c r="C39" s="642"/>
      <c r="D39" s="642">
        <f>IF('rotation(7FA)'!C29=0," ",$B39*'rotation(7FA)'!C29)</f>
        <v>146.26</v>
      </c>
      <c r="E39" s="642">
        <f>IF('rotation(7FA)'!D29=0," ",$B39*'rotation(7FA)'!D29)</f>
        <v>146.26</v>
      </c>
      <c r="F39" s="642">
        <f>IF('rotation(7FA)'!E29=0," ",$B39*'rotation(7FA)'!E29)</f>
        <v>146.26</v>
      </c>
      <c r="G39" s="642" t="str">
        <f>IF('rotation(7FA)'!F29=0," ",$B39*'rotation(7FA)'!F29)</f>
        <v xml:space="preserve"> </v>
      </c>
      <c r="H39" s="642">
        <f>IF('rotation(7FA)'!G29=0," ",$B39*'rotation(7FA)'!G29)</f>
        <v>73.13</v>
      </c>
      <c r="I39" s="642">
        <f>IF('rotation(7FA)'!H29=0," ",$B39*'rotation(7FA)'!H29)</f>
        <v>146.26</v>
      </c>
      <c r="J39" s="642">
        <f>IF('rotation(7FA)'!I29=0," ",$B39*'rotation(7FA)'!I29)</f>
        <v>146.26</v>
      </c>
      <c r="K39" s="642">
        <f>IF('rotation(7FA)'!J29=0," ",$B39*'rotation(7FA)'!J29)</f>
        <v>73.13</v>
      </c>
      <c r="L39" s="642" t="str">
        <f>IF('rotation(7FA)'!K29=0," ",$B39*'rotation(7FA)'!K29)</f>
        <v xml:space="preserve"> </v>
      </c>
      <c r="M39" s="642">
        <f>IF('rotation(7FA)'!L29=0," ",$B39*'rotation(7FA)'!L29)</f>
        <v>146.26</v>
      </c>
      <c r="N39" s="642">
        <f>IF('rotation(7FA)'!M29=0," ",$B39*'rotation(7FA)'!M29)</f>
        <v>146.26</v>
      </c>
      <c r="O39" s="642">
        <f>IF('rotation(7FA)'!N29=0," ",$B39*'rotation(7FA)'!N29)</f>
        <v>146.26</v>
      </c>
      <c r="P39" s="642" t="str">
        <f>IF('rotation(7FA)'!O29=0," ",$B39*'rotation(7FA)'!O29)</f>
        <v xml:space="preserve"> </v>
      </c>
      <c r="Q39" s="642">
        <f>IF('rotation(7FA)'!P29=0," ",$B39*'rotation(7FA)'!P29)</f>
        <v>73.13</v>
      </c>
      <c r="R39" s="642">
        <f>IF('rotation(7FA)'!Q29=0," ",$B39*'rotation(7FA)'!Q29)</f>
        <v>146.26</v>
      </c>
      <c r="S39" s="642">
        <f>IF('rotation(7FA)'!R29=0," ",$B39*'rotation(7FA)'!R29)</f>
        <v>146.26</v>
      </c>
      <c r="T39" s="642">
        <f>IF('rotation(7FA)'!S29=0," ",$B39*'rotation(7FA)'!S29)</f>
        <v>73.13</v>
      </c>
      <c r="U39" s="642" t="str">
        <f>IF('rotation(7FA)'!T29=0," ",$B39*'rotation(7FA)'!T29)</f>
        <v xml:space="preserve"> </v>
      </c>
      <c r="V39" s="642">
        <f>IF('rotation(7FA)'!U29=0," ",$B39*'rotation(7FA)'!U29)</f>
        <v>146.26</v>
      </c>
      <c r="W39" s="642">
        <f>IF('rotation(7FA)'!V29=0," ",$B39*'rotation(7FA)'!V29)</f>
        <v>146.26</v>
      </c>
      <c r="X39" s="21">
        <f t="shared" si="4"/>
        <v>2047.6399999999999</v>
      </c>
    </row>
    <row r="40" spans="1:24" s="21" customFormat="1">
      <c r="A40" s="648" t="str">
        <f>'GTDB(7FA)'!A20</f>
        <v>Stage 1 Nozzles</v>
      </c>
      <c r="B40" s="641">
        <f>'GTDB(7FA)'!D20</f>
        <v>400.67</v>
      </c>
      <c r="C40" s="642"/>
      <c r="D40" s="642" t="str">
        <f>IF('rotation(7FA)'!C33=0," ",$B40*'rotation(7FA)'!C33)</f>
        <v xml:space="preserve"> </v>
      </c>
      <c r="E40" s="642" t="str">
        <f>IF('rotation(7FA)'!D33=0," ",$B40*'rotation(7FA)'!D33)</f>
        <v xml:space="preserve"> </v>
      </c>
      <c r="F40" s="642">
        <f>IF('rotation(7FA)'!E33=0," ",$B40*'rotation(7FA)'!E33)</f>
        <v>801.34</v>
      </c>
      <c r="G40" s="642" t="str">
        <f>IF('rotation(7FA)'!F33=0," ",$B40*'rotation(7FA)'!F33)</f>
        <v xml:space="preserve"> </v>
      </c>
      <c r="H40" s="642" t="str">
        <f>IF('rotation(7FA)'!G33=0," ",$B40*'rotation(7FA)'!G33)</f>
        <v xml:space="preserve"> </v>
      </c>
      <c r="I40" s="642">
        <f>IF('rotation(7FA)'!H33=0," ",$B40*'rotation(7FA)'!H33)</f>
        <v>400.67</v>
      </c>
      <c r="J40" s="642" t="str">
        <f>IF('rotation(7FA)'!I33=0," ",$B40*'rotation(7FA)'!I33)</f>
        <v xml:space="preserve"> </v>
      </c>
      <c r="K40" s="642" t="str">
        <f>IF('rotation(7FA)'!J33=0," ",$B40*'rotation(7FA)'!J33)</f>
        <v xml:space="preserve"> </v>
      </c>
      <c r="L40" s="642" t="str">
        <f>IF('rotation(7FA)'!K33=0," ",$B40*'rotation(7FA)'!K33)</f>
        <v xml:space="preserve"> </v>
      </c>
      <c r="M40" s="642" t="str">
        <f>IF('rotation(7FA)'!L33=0," ",$B40*'rotation(7FA)'!L33)</f>
        <v xml:space="preserve"> </v>
      </c>
      <c r="N40" s="642" t="str">
        <f>IF('rotation(7FA)'!M33=0," ",$B40*'rotation(7FA)'!M33)</f>
        <v xml:space="preserve"> </v>
      </c>
      <c r="O40" s="642">
        <f>IF('rotation(7FA)'!N33=0," ",$B40*'rotation(7FA)'!N33)</f>
        <v>801.34</v>
      </c>
      <c r="P40" s="642" t="str">
        <f>IF('rotation(7FA)'!O33=0," ",$B40*'rotation(7FA)'!O33)</f>
        <v xml:space="preserve"> </v>
      </c>
      <c r="Q40" s="642" t="str">
        <f>IF('rotation(7FA)'!P33=0," ",$B40*'rotation(7FA)'!P33)</f>
        <v xml:space="preserve"> </v>
      </c>
      <c r="R40" s="642">
        <f>IF('rotation(7FA)'!Q33=0," ",$B40*'rotation(7FA)'!Q33)</f>
        <v>400.67</v>
      </c>
      <c r="S40" s="642" t="str">
        <f>IF('rotation(7FA)'!R33=0," ",$B40*'rotation(7FA)'!R33)</f>
        <v xml:space="preserve"> </v>
      </c>
      <c r="T40" s="642" t="str">
        <f>IF('rotation(7FA)'!S33=0," ",$B40*'rotation(7FA)'!S33)</f>
        <v xml:space="preserve"> </v>
      </c>
      <c r="U40" s="642" t="str">
        <f>IF('rotation(7FA)'!T33=0," ",$B40*'rotation(7FA)'!T33)</f>
        <v xml:space="preserve"> </v>
      </c>
      <c r="V40" s="642" t="str">
        <f>IF('rotation(7FA)'!U33=0," ",$B40*'rotation(7FA)'!U33)</f>
        <v xml:space="preserve"> </v>
      </c>
      <c r="W40" s="642" t="str">
        <f>IF('rotation(7FA)'!V33=0," ",$B40*'rotation(7FA)'!V33)</f>
        <v xml:space="preserve"> </v>
      </c>
      <c r="X40" s="21">
        <f t="shared" si="4"/>
        <v>2404.02</v>
      </c>
    </row>
    <row r="41" spans="1:24" s="21" customFormat="1">
      <c r="A41" s="648" t="str">
        <f>'GTDB(7FA)'!A21</f>
        <v>Stage 2 Nozzles</v>
      </c>
      <c r="B41" s="641">
        <f>'GTDB(7FA)'!D21</f>
        <v>306.94</v>
      </c>
      <c r="C41" s="642"/>
      <c r="D41" s="642" t="str">
        <f>IF('rotation(7FA)'!C37=0," ",$B41*'rotation(7FA)'!C37)</f>
        <v xml:space="preserve"> </v>
      </c>
      <c r="E41" s="642" t="str">
        <f>IF('rotation(7FA)'!D37=0," ",$B41*'rotation(7FA)'!D37)</f>
        <v xml:space="preserve"> </v>
      </c>
      <c r="F41" s="642">
        <f>IF('rotation(7FA)'!E37=0," ",$B41*'rotation(7FA)'!E37)</f>
        <v>613.88</v>
      </c>
      <c r="G41" s="642" t="str">
        <f>IF('rotation(7FA)'!F37=0," ",$B41*'rotation(7FA)'!F37)</f>
        <v xml:space="preserve"> </v>
      </c>
      <c r="H41" s="642" t="str">
        <f>IF('rotation(7FA)'!G37=0," ",$B41*'rotation(7FA)'!G37)</f>
        <v xml:space="preserve"> </v>
      </c>
      <c r="I41" s="642">
        <f>IF('rotation(7FA)'!H37=0," ",$B41*'rotation(7FA)'!H37)</f>
        <v>613.88</v>
      </c>
      <c r="J41" s="642" t="str">
        <f>IF('rotation(7FA)'!I37=0," ",$B41*'rotation(7FA)'!I37)</f>
        <v xml:space="preserve"> </v>
      </c>
      <c r="K41" s="642" t="str">
        <f>IF('rotation(7FA)'!J37=0," ",$B41*'rotation(7FA)'!J37)</f>
        <v xml:space="preserve"> </v>
      </c>
      <c r="L41" s="642">
        <f>IF('rotation(7FA)'!K37=0," ",$B41*'rotation(7FA)'!K37)</f>
        <v>613.88</v>
      </c>
      <c r="M41" s="642" t="str">
        <f>IF('rotation(7FA)'!L37=0," ",$B41*'rotation(7FA)'!L37)</f>
        <v xml:space="preserve"> </v>
      </c>
      <c r="N41" s="642" t="str">
        <f>IF('rotation(7FA)'!M37=0," ",$B41*'rotation(7FA)'!M37)</f>
        <v xml:space="preserve"> </v>
      </c>
      <c r="O41" s="642" t="str">
        <f>IF('rotation(7FA)'!N37=0," ",$B41*'rotation(7FA)'!N37)</f>
        <v xml:space="preserve"> </v>
      </c>
      <c r="P41" s="642" t="str">
        <f>IF('rotation(7FA)'!O37=0," ",$B41*'rotation(7FA)'!O37)</f>
        <v xml:space="preserve"> </v>
      </c>
      <c r="Q41" s="642" t="str">
        <f>IF('rotation(7FA)'!P37=0," ",$B41*'rotation(7FA)'!P37)</f>
        <v xml:space="preserve"> </v>
      </c>
      <c r="R41" s="642">
        <f>IF('rotation(7FA)'!Q37=0," ",$B41*'rotation(7FA)'!Q37)</f>
        <v>306.94</v>
      </c>
      <c r="S41" s="642" t="str">
        <f>IF('rotation(7FA)'!R37=0," ",$B41*'rotation(7FA)'!R37)</f>
        <v xml:space="preserve"> </v>
      </c>
      <c r="T41" s="642" t="str">
        <f>IF('rotation(7FA)'!S37=0," ",$B41*'rotation(7FA)'!S37)</f>
        <v xml:space="preserve"> </v>
      </c>
      <c r="U41" s="642">
        <f>IF('rotation(7FA)'!T37=0," ",$B41*'rotation(7FA)'!T37)</f>
        <v>613.88</v>
      </c>
      <c r="V41" s="642" t="str">
        <f>IF('rotation(7FA)'!U37=0," ",$B41*'rotation(7FA)'!U37)</f>
        <v xml:space="preserve"> </v>
      </c>
      <c r="W41" s="642" t="str">
        <f>IF('rotation(7FA)'!V37=0," ",$B41*'rotation(7FA)'!V37)</f>
        <v xml:space="preserve"> </v>
      </c>
      <c r="X41" s="21">
        <f t="shared" si="4"/>
        <v>2762.46</v>
      </c>
    </row>
    <row r="42" spans="1:24" s="21" customFormat="1">
      <c r="A42" s="648" t="str">
        <f>'GTDB(7FA)'!A22</f>
        <v>Stage 3 Nozzles</v>
      </c>
      <c r="B42" s="641">
        <f>'GTDB(7FA)'!D22</f>
        <v>144.19999999999999</v>
      </c>
      <c r="C42" s="642"/>
      <c r="D42" s="642" t="str">
        <f>IF('rotation(7FA)'!C41=0," ",$B42*'rotation(7FA)'!C41)</f>
        <v xml:space="preserve"> </v>
      </c>
      <c r="E42" s="642" t="str">
        <f>IF('rotation(7FA)'!D41=0," ",$B42*'rotation(7FA)'!D41)</f>
        <v xml:space="preserve"> </v>
      </c>
      <c r="F42" s="642">
        <f>IF('rotation(7FA)'!E41=0," ",$B42*'rotation(7FA)'!E41)</f>
        <v>288.39999999999998</v>
      </c>
      <c r="G42" s="642" t="str">
        <f>IF('rotation(7FA)'!F41=0," ",$B42*'rotation(7FA)'!F41)</f>
        <v xml:space="preserve"> </v>
      </c>
      <c r="H42" s="642" t="str">
        <f>IF('rotation(7FA)'!G41=0," ",$B42*'rotation(7FA)'!G41)</f>
        <v xml:space="preserve"> </v>
      </c>
      <c r="I42" s="642">
        <f>IF('rotation(7FA)'!H41=0," ",$B42*'rotation(7FA)'!H41)</f>
        <v>288.39999999999998</v>
      </c>
      <c r="J42" s="642" t="str">
        <f>IF('rotation(7FA)'!I41=0," ",$B42*'rotation(7FA)'!I41)</f>
        <v xml:space="preserve"> </v>
      </c>
      <c r="K42" s="642" t="str">
        <f>IF('rotation(7FA)'!J41=0," ",$B42*'rotation(7FA)'!J41)</f>
        <v xml:space="preserve"> </v>
      </c>
      <c r="L42" s="642">
        <f>IF('rotation(7FA)'!K41=0," ",$B42*'rotation(7FA)'!K41)</f>
        <v>288.39999999999998</v>
      </c>
      <c r="M42" s="642" t="str">
        <f>IF('rotation(7FA)'!L41=0," ",$B42*'rotation(7FA)'!L41)</f>
        <v xml:space="preserve"> </v>
      </c>
      <c r="N42" s="642" t="str">
        <f>IF('rotation(7FA)'!M41=0," ",$B42*'rotation(7FA)'!M41)</f>
        <v xml:space="preserve"> </v>
      </c>
      <c r="O42" s="642" t="str">
        <f>IF('rotation(7FA)'!N41=0," ",$B42*'rotation(7FA)'!N41)</f>
        <v xml:space="preserve"> </v>
      </c>
      <c r="P42" s="642" t="str">
        <f>IF('rotation(7FA)'!O41=0," ",$B42*'rotation(7FA)'!O41)</f>
        <v xml:space="preserve"> </v>
      </c>
      <c r="Q42" s="642" t="str">
        <f>IF('rotation(7FA)'!P41=0," ",$B42*'rotation(7FA)'!P41)</f>
        <v xml:space="preserve"> </v>
      </c>
      <c r="R42" s="642">
        <f>IF('rotation(7FA)'!Q41=0," ",$B42*'rotation(7FA)'!Q41)</f>
        <v>144.19999999999999</v>
      </c>
      <c r="S42" s="642" t="str">
        <f>IF('rotation(7FA)'!R41=0," ",$B42*'rotation(7FA)'!R41)</f>
        <v xml:space="preserve"> </v>
      </c>
      <c r="T42" s="642" t="str">
        <f>IF('rotation(7FA)'!S41=0," ",$B42*'rotation(7FA)'!S41)</f>
        <v xml:space="preserve"> </v>
      </c>
      <c r="U42" s="642">
        <f>IF('rotation(7FA)'!T41=0," ",$B42*'rotation(7FA)'!T41)</f>
        <v>288.39999999999998</v>
      </c>
      <c r="V42" s="642" t="str">
        <f>IF('rotation(7FA)'!U41=0," ",$B42*'rotation(7FA)'!U41)</f>
        <v xml:space="preserve"> </v>
      </c>
      <c r="W42" s="642" t="str">
        <f>IF('rotation(7FA)'!V41=0," ",$B42*'rotation(7FA)'!V41)</f>
        <v xml:space="preserve"> </v>
      </c>
      <c r="X42" s="21">
        <f t="shared" si="4"/>
        <v>1297.7999999999997</v>
      </c>
    </row>
    <row r="43" spans="1:24" s="21" customFormat="1">
      <c r="A43" s="648" t="str">
        <f>'GTDB(7FA)'!A23</f>
        <v>Stage 1 Buckets</v>
      </c>
      <c r="B43" s="641">
        <f>'GTDB(7FA)'!D23</f>
        <v>973.76200000000006</v>
      </c>
      <c r="C43" s="642"/>
      <c r="D43" s="642" t="str">
        <f>IF('rotation(7FA)'!C45=0," ",$B43*'rotation(7FA)'!C45)</f>
        <v xml:space="preserve"> </v>
      </c>
      <c r="E43" s="642" t="str">
        <f>IF('rotation(7FA)'!D45=0," ",$B43*'rotation(7FA)'!D45)</f>
        <v xml:space="preserve"> </v>
      </c>
      <c r="F43" s="642">
        <f>IF('rotation(7FA)'!E45=0," ",$B43*'rotation(7FA)'!E45)</f>
        <v>1947.5240000000001</v>
      </c>
      <c r="G43" s="642" t="str">
        <f>IF('rotation(7FA)'!F45=0," ",$B43*'rotation(7FA)'!F45)</f>
        <v xml:space="preserve"> </v>
      </c>
      <c r="H43" s="642" t="str">
        <f>IF('rotation(7FA)'!G45=0," ",$B43*'rotation(7FA)'!G45)</f>
        <v xml:space="preserve"> </v>
      </c>
      <c r="I43" s="642">
        <f>IF('rotation(7FA)'!H45=0," ",$B43*'rotation(7FA)'!H45)</f>
        <v>1947.5240000000001</v>
      </c>
      <c r="J43" s="642" t="str">
        <f>IF('rotation(7FA)'!I45=0," ",$B43*'rotation(7FA)'!I45)</f>
        <v xml:space="preserve"> </v>
      </c>
      <c r="K43" s="642" t="str">
        <f>IF('rotation(7FA)'!J45=0," ",$B43*'rotation(7FA)'!J45)</f>
        <v xml:space="preserve"> </v>
      </c>
      <c r="L43" s="642">
        <f>IF('rotation(7FA)'!K45=0," ",$B43*'rotation(7FA)'!K45)</f>
        <v>1947.5240000000001</v>
      </c>
      <c r="M43" s="642" t="str">
        <f>IF('rotation(7FA)'!L45=0," ",$B43*'rotation(7FA)'!L45)</f>
        <v xml:space="preserve"> </v>
      </c>
      <c r="N43" s="642" t="str">
        <f>IF('rotation(7FA)'!M45=0," ",$B43*'rotation(7FA)'!M45)</f>
        <v xml:space="preserve"> </v>
      </c>
      <c r="O43" s="642" t="str">
        <f>IF('rotation(7FA)'!N45=0," ",$B43*'rotation(7FA)'!N45)</f>
        <v xml:space="preserve"> </v>
      </c>
      <c r="P43" s="642" t="str">
        <f>IF('rotation(7FA)'!O45=0," ",$B43*'rotation(7FA)'!O45)</f>
        <v xml:space="preserve"> </v>
      </c>
      <c r="Q43" s="642" t="str">
        <f>IF('rotation(7FA)'!P45=0," ",$B43*'rotation(7FA)'!P45)</f>
        <v xml:space="preserve"> </v>
      </c>
      <c r="R43" s="642">
        <f>IF('rotation(7FA)'!Q45=0," ",$B43*'rotation(7FA)'!Q45)</f>
        <v>973.76200000000006</v>
      </c>
      <c r="S43" s="642" t="str">
        <f>IF('rotation(7FA)'!R45=0," ",$B43*'rotation(7FA)'!R45)</f>
        <v xml:space="preserve"> </v>
      </c>
      <c r="T43" s="642" t="str">
        <f>IF('rotation(7FA)'!S45=0," ",$B43*'rotation(7FA)'!S45)</f>
        <v xml:space="preserve"> </v>
      </c>
      <c r="U43" s="642">
        <f>IF('rotation(7FA)'!T45=0," ",$B43*'rotation(7FA)'!T45)</f>
        <v>1947.5240000000001</v>
      </c>
      <c r="V43" s="642" t="str">
        <f>IF('rotation(7FA)'!U45=0," ",$B43*'rotation(7FA)'!U45)</f>
        <v xml:space="preserve"> </v>
      </c>
      <c r="W43" s="642" t="str">
        <f>IF('rotation(7FA)'!V45=0," ",$B43*'rotation(7FA)'!V45)</f>
        <v xml:space="preserve"> </v>
      </c>
      <c r="X43" s="21">
        <f t="shared" si="4"/>
        <v>8763.8580000000002</v>
      </c>
    </row>
    <row r="44" spans="1:24" s="21" customFormat="1">
      <c r="A44" s="648" t="str">
        <f>'GTDB(7FA)'!A24</f>
        <v>Stage 2 Buckets</v>
      </c>
      <c r="B44" s="641">
        <f>'GTDB(7FA)'!D24</f>
        <v>370.8</v>
      </c>
      <c r="C44" s="642"/>
      <c r="D44" s="642" t="str">
        <f>IF('rotation(7FA)'!C49=0," ",$B44*'rotation(7FA)'!C49)</f>
        <v xml:space="preserve"> </v>
      </c>
      <c r="E44" s="642" t="str">
        <f>IF('rotation(7FA)'!D49=0," ",$B44*'rotation(7FA)'!D49)</f>
        <v xml:space="preserve"> </v>
      </c>
      <c r="F44" s="642">
        <f>IF('rotation(7FA)'!E49=0," ",$B44*'rotation(7FA)'!E49)</f>
        <v>741.6</v>
      </c>
      <c r="G44" s="642" t="str">
        <f>IF('rotation(7FA)'!F49=0," ",$B44*'rotation(7FA)'!F49)</f>
        <v xml:space="preserve"> </v>
      </c>
      <c r="H44" s="642" t="str">
        <f>IF('rotation(7FA)'!G49=0," ",$B44*'rotation(7FA)'!G49)</f>
        <v xml:space="preserve"> </v>
      </c>
      <c r="I44" s="642">
        <f>IF('rotation(7FA)'!H49=0," ",$B44*'rotation(7FA)'!H49)</f>
        <v>370.8</v>
      </c>
      <c r="J44" s="642" t="str">
        <f>IF('rotation(7FA)'!I49=0," ",$B44*'rotation(7FA)'!I49)</f>
        <v xml:space="preserve"> </v>
      </c>
      <c r="K44" s="642" t="str">
        <f>IF('rotation(7FA)'!J49=0," ",$B44*'rotation(7FA)'!J49)</f>
        <v xml:space="preserve"> </v>
      </c>
      <c r="L44" s="642" t="str">
        <f>IF('rotation(7FA)'!K49=0," ",$B44*'rotation(7FA)'!K49)</f>
        <v xml:space="preserve"> </v>
      </c>
      <c r="M44" s="642" t="str">
        <f>IF('rotation(7FA)'!L49=0," ",$B44*'rotation(7FA)'!L49)</f>
        <v xml:space="preserve"> </v>
      </c>
      <c r="N44" s="642" t="str">
        <f>IF('rotation(7FA)'!M49=0," ",$B44*'rotation(7FA)'!M49)</f>
        <v xml:space="preserve"> </v>
      </c>
      <c r="O44" s="642">
        <f>IF('rotation(7FA)'!N49=0," ",$B44*'rotation(7FA)'!N49)</f>
        <v>741.6</v>
      </c>
      <c r="P44" s="642" t="str">
        <f>IF('rotation(7FA)'!O49=0," ",$B44*'rotation(7FA)'!O49)</f>
        <v xml:space="preserve"> </v>
      </c>
      <c r="Q44" s="642" t="str">
        <f>IF('rotation(7FA)'!P49=0," ",$B44*'rotation(7FA)'!P49)</f>
        <v xml:space="preserve"> </v>
      </c>
      <c r="R44" s="642">
        <f>IF('rotation(7FA)'!Q49=0," ",$B44*'rotation(7FA)'!Q49)</f>
        <v>370.8</v>
      </c>
      <c r="S44" s="642" t="str">
        <f>IF('rotation(7FA)'!R49=0," ",$B44*'rotation(7FA)'!R49)</f>
        <v xml:space="preserve"> </v>
      </c>
      <c r="T44" s="642" t="str">
        <f>IF('rotation(7FA)'!S49=0," ",$B44*'rotation(7FA)'!S49)</f>
        <v xml:space="preserve"> </v>
      </c>
      <c r="U44" s="642" t="str">
        <f>IF('rotation(7FA)'!T49=0," ",$B44*'rotation(7FA)'!T49)</f>
        <v xml:space="preserve"> </v>
      </c>
      <c r="V44" s="642" t="str">
        <f>IF('rotation(7FA)'!U49=0," ",$B44*'rotation(7FA)'!U49)</f>
        <v xml:space="preserve"> </v>
      </c>
      <c r="W44" s="642" t="str">
        <f>IF('rotation(7FA)'!V49=0," ",$B44*'rotation(7FA)'!V49)</f>
        <v xml:space="preserve"> </v>
      </c>
      <c r="X44" s="21">
        <f t="shared" si="4"/>
        <v>2224.8000000000002</v>
      </c>
    </row>
    <row r="45" spans="1:24" s="21" customFormat="1">
      <c r="A45" s="648" t="str">
        <f>'GTDB(7FA)'!A25</f>
        <v>Stage 3 Buckets</v>
      </c>
      <c r="B45" s="641">
        <f>'GTDB(7FA)'!D25</f>
        <v>422.16461071789689</v>
      </c>
      <c r="C45" s="642"/>
      <c r="D45" s="642" t="str">
        <f>IF('rotation(7FA)'!C53=0," ",$B45*'rotation(7FA)'!C53)</f>
        <v xml:space="preserve"> </v>
      </c>
      <c r="E45" s="642" t="str">
        <f>IF('rotation(7FA)'!D53=0," ",$B45*'rotation(7FA)'!D53)</f>
        <v xml:space="preserve"> </v>
      </c>
      <c r="F45" s="642" t="str">
        <f>IF('rotation(7FA)'!E53=0," ",$B45*'rotation(7FA)'!E53)</f>
        <v xml:space="preserve"> </v>
      </c>
      <c r="G45" s="642" t="str">
        <f>IF('rotation(7FA)'!F53=0," ",$B45*'rotation(7FA)'!F53)</f>
        <v xml:space="preserve"> </v>
      </c>
      <c r="H45" s="642" t="str">
        <f>IF('rotation(7FA)'!G53=0," ",$B45*'rotation(7FA)'!G53)</f>
        <v xml:space="preserve"> </v>
      </c>
      <c r="I45" s="642" t="str">
        <f>IF('rotation(7FA)'!H53=0," ",$B45*'rotation(7FA)'!H53)</f>
        <v xml:space="preserve"> </v>
      </c>
      <c r="J45" s="642" t="str">
        <f>IF('rotation(7FA)'!I53=0," ",$B45*'rotation(7FA)'!I53)</f>
        <v xml:space="preserve"> </v>
      </c>
      <c r="K45" s="642" t="str">
        <f>IF('rotation(7FA)'!J53=0," ",$B45*'rotation(7FA)'!J53)</f>
        <v xml:space="preserve"> </v>
      </c>
      <c r="L45" s="642" t="str">
        <f>IF('rotation(7FA)'!K53=0," ",$B45*'rotation(7FA)'!K53)</f>
        <v xml:space="preserve"> </v>
      </c>
      <c r="M45" s="642" t="str">
        <f>IF('rotation(7FA)'!L53=0," ",$B45*'rotation(7FA)'!L53)</f>
        <v xml:space="preserve"> </v>
      </c>
      <c r="N45" s="642" t="str">
        <f>IF('rotation(7FA)'!M53=0," ",$B45*'rotation(7FA)'!M53)</f>
        <v xml:space="preserve"> </v>
      </c>
      <c r="O45" s="642" t="str">
        <f>IF('rotation(7FA)'!N53=0," ",$B45*'rotation(7FA)'!N53)</f>
        <v xml:space="preserve"> </v>
      </c>
      <c r="P45" s="642" t="str">
        <f>IF('rotation(7FA)'!O53=0," ",$B45*'rotation(7FA)'!O53)</f>
        <v xml:space="preserve"> </v>
      </c>
      <c r="Q45" s="642" t="str">
        <f>IF('rotation(7FA)'!P53=0," ",$B45*'rotation(7FA)'!P53)</f>
        <v xml:space="preserve"> </v>
      </c>
      <c r="R45" s="642" t="str">
        <f>IF('rotation(7FA)'!Q53=0," ",$B45*'rotation(7FA)'!Q53)</f>
        <v xml:space="preserve"> </v>
      </c>
      <c r="S45" s="642" t="str">
        <f>IF('rotation(7FA)'!R53=0," ",$B45*'rotation(7FA)'!R53)</f>
        <v xml:space="preserve"> </v>
      </c>
      <c r="T45" s="642" t="str">
        <f>IF('rotation(7FA)'!S53=0," ",$B45*'rotation(7FA)'!S53)</f>
        <v xml:space="preserve"> </v>
      </c>
      <c r="U45" s="642" t="str">
        <f>IF('rotation(7FA)'!T53=0," ",$B45*'rotation(7FA)'!T53)</f>
        <v xml:space="preserve"> </v>
      </c>
      <c r="V45" s="642" t="str">
        <f>IF('rotation(7FA)'!U53=0," ",$B45*'rotation(7FA)'!U53)</f>
        <v xml:space="preserve"> </v>
      </c>
      <c r="W45" s="642" t="str">
        <f>IF('rotation(7FA)'!V53=0," ",$B45*'rotation(7FA)'!V53)</f>
        <v xml:space="preserve"> </v>
      </c>
      <c r="X45" s="21">
        <f t="shared" si="4"/>
        <v>0</v>
      </c>
    </row>
    <row r="46" spans="1:24" s="21" customFormat="1">
      <c r="A46" s="648" t="str">
        <f>'GTDB(7FA)'!A26</f>
        <v>Row 1 Support Ring</v>
      </c>
      <c r="B46" s="641">
        <f>'GTDB(7FA)'!D26</f>
        <v>23.175000000000001</v>
      </c>
      <c r="C46" s="642"/>
      <c r="D46" s="642" t="str">
        <f>IF('rotation(7FA)'!C57=0," ",$B46*'rotation(7FA)'!C57)</f>
        <v xml:space="preserve"> </v>
      </c>
      <c r="E46" s="642" t="str">
        <f>IF('rotation(7FA)'!D57=0," ",$B46*'rotation(7FA)'!D57)</f>
        <v xml:space="preserve"> </v>
      </c>
      <c r="F46" s="642">
        <f>IF('rotation(7FA)'!E57=0," ",$B46*'rotation(7FA)'!E57)</f>
        <v>46.35</v>
      </c>
      <c r="G46" s="642" t="str">
        <f>IF('rotation(7FA)'!F57=0," ",$B46*'rotation(7FA)'!F57)</f>
        <v xml:space="preserve"> </v>
      </c>
      <c r="H46" s="642" t="str">
        <f>IF('rotation(7FA)'!G57=0," ",$B46*'rotation(7FA)'!G57)</f>
        <v xml:space="preserve"> </v>
      </c>
      <c r="I46" s="642">
        <f>IF('rotation(7FA)'!H57=0," ",$B46*'rotation(7FA)'!H57)</f>
        <v>23.175000000000001</v>
      </c>
      <c r="J46" s="642" t="str">
        <f>IF('rotation(7FA)'!I57=0," ",$B46*'rotation(7FA)'!I57)</f>
        <v xml:space="preserve"> </v>
      </c>
      <c r="K46" s="642" t="str">
        <f>IF('rotation(7FA)'!J57=0," ",$B46*'rotation(7FA)'!J57)</f>
        <v xml:space="preserve"> </v>
      </c>
      <c r="L46" s="642" t="str">
        <f>IF('rotation(7FA)'!K57=0," ",$B46*'rotation(7FA)'!K57)</f>
        <v xml:space="preserve"> </v>
      </c>
      <c r="M46" s="642" t="str">
        <f>IF('rotation(7FA)'!L57=0," ",$B46*'rotation(7FA)'!L57)</f>
        <v xml:space="preserve"> </v>
      </c>
      <c r="N46" s="642" t="str">
        <f>IF('rotation(7FA)'!M57=0," ",$B46*'rotation(7FA)'!M57)</f>
        <v xml:space="preserve"> </v>
      </c>
      <c r="O46" s="642">
        <f>IF('rotation(7FA)'!N57=0," ",$B46*'rotation(7FA)'!N57)</f>
        <v>46.35</v>
      </c>
      <c r="P46" s="642" t="str">
        <f>IF('rotation(7FA)'!O57=0," ",$B46*'rotation(7FA)'!O57)</f>
        <v xml:space="preserve"> </v>
      </c>
      <c r="Q46" s="642" t="str">
        <f>IF('rotation(7FA)'!P57=0," ",$B46*'rotation(7FA)'!P57)</f>
        <v xml:space="preserve"> </v>
      </c>
      <c r="R46" s="642">
        <f>IF('rotation(7FA)'!Q57=0," ",$B46*'rotation(7FA)'!Q57)</f>
        <v>23.175000000000001</v>
      </c>
      <c r="S46" s="642" t="str">
        <f>IF('rotation(7FA)'!R57=0," ",$B46*'rotation(7FA)'!R57)</f>
        <v xml:space="preserve"> </v>
      </c>
      <c r="T46" s="642" t="str">
        <f>IF('rotation(7FA)'!S57=0," ",$B46*'rotation(7FA)'!S57)</f>
        <v xml:space="preserve"> </v>
      </c>
      <c r="U46" s="642" t="str">
        <f>IF('rotation(7FA)'!T57=0," ",$B46*'rotation(7FA)'!T57)</f>
        <v xml:space="preserve"> </v>
      </c>
      <c r="V46" s="642" t="str">
        <f>IF('rotation(7FA)'!U57=0," ",$B46*'rotation(7FA)'!U57)</f>
        <v xml:space="preserve"> </v>
      </c>
      <c r="W46" s="642" t="str">
        <f>IF('rotation(7FA)'!V57=0," ",$B46*'rotation(7FA)'!V57)</f>
        <v xml:space="preserve"> </v>
      </c>
      <c r="X46" s="21">
        <f t="shared" si="4"/>
        <v>139.05000000000001</v>
      </c>
    </row>
    <row r="47" spans="1:24" s="21" customFormat="1">
      <c r="A47" s="648" t="str">
        <f>'GTDB(7FA)'!A27</f>
        <v xml:space="preserve">1st Stage Shroud Blocks </v>
      </c>
      <c r="B47" s="641">
        <f>'GTDB(7FA)'!D27</f>
        <v>123.6</v>
      </c>
      <c r="C47" s="642"/>
      <c r="D47" s="642" t="str">
        <f>IF('rotation(7FA)'!C61=0," ",$B47*'rotation(7FA)'!C61)</f>
        <v xml:space="preserve"> </v>
      </c>
      <c r="E47" s="642" t="str">
        <f>IF('rotation(7FA)'!D61=0," ",$B47*'rotation(7FA)'!D61)</f>
        <v xml:space="preserve"> </v>
      </c>
      <c r="F47" s="642">
        <f>IF('rotation(7FA)'!E61=0," ",$B47*'rotation(7FA)'!E61)</f>
        <v>247.2</v>
      </c>
      <c r="G47" s="642" t="str">
        <f>IF('rotation(7FA)'!F61=0," ",$B47*'rotation(7FA)'!F61)</f>
        <v xml:space="preserve"> </v>
      </c>
      <c r="H47" s="642" t="str">
        <f>IF('rotation(7FA)'!G61=0," ",$B47*'rotation(7FA)'!G61)</f>
        <v xml:space="preserve"> </v>
      </c>
      <c r="I47" s="642">
        <f>IF('rotation(7FA)'!H61=0," ",$B47*'rotation(7FA)'!H61)</f>
        <v>247.2</v>
      </c>
      <c r="J47" s="642" t="str">
        <f>IF('rotation(7FA)'!I61=0," ",$B47*'rotation(7FA)'!I61)</f>
        <v xml:space="preserve"> </v>
      </c>
      <c r="K47" s="642" t="str">
        <f>IF('rotation(7FA)'!J61=0," ",$B47*'rotation(7FA)'!J61)</f>
        <v xml:space="preserve"> </v>
      </c>
      <c r="L47" s="642">
        <f>IF('rotation(7FA)'!K61=0," ",$B47*'rotation(7FA)'!K61)</f>
        <v>247.2</v>
      </c>
      <c r="M47" s="642" t="str">
        <f>IF('rotation(7FA)'!L61=0," ",$B47*'rotation(7FA)'!L61)</f>
        <v xml:space="preserve"> </v>
      </c>
      <c r="N47" s="642" t="str">
        <f>IF('rotation(7FA)'!M61=0," ",$B47*'rotation(7FA)'!M61)</f>
        <v xml:space="preserve"> </v>
      </c>
      <c r="O47" s="642" t="str">
        <f>IF('rotation(7FA)'!N61=0," ",$B47*'rotation(7FA)'!N61)</f>
        <v xml:space="preserve"> </v>
      </c>
      <c r="P47" s="642" t="str">
        <f>IF('rotation(7FA)'!O61=0," ",$B47*'rotation(7FA)'!O61)</f>
        <v xml:space="preserve"> </v>
      </c>
      <c r="Q47" s="642" t="str">
        <f>IF('rotation(7FA)'!P61=0," ",$B47*'rotation(7FA)'!P61)</f>
        <v xml:space="preserve"> </v>
      </c>
      <c r="R47" s="642">
        <f>IF('rotation(7FA)'!Q61=0," ",$B47*'rotation(7FA)'!Q61)</f>
        <v>123.6</v>
      </c>
      <c r="S47" s="642" t="str">
        <f>IF('rotation(7FA)'!R61=0," ",$B47*'rotation(7FA)'!R61)</f>
        <v xml:space="preserve"> </v>
      </c>
      <c r="T47" s="642" t="str">
        <f>IF('rotation(7FA)'!S61=0," ",$B47*'rotation(7FA)'!S61)</f>
        <v xml:space="preserve"> </v>
      </c>
      <c r="U47" s="642">
        <f>IF('rotation(7FA)'!T61=0," ",$B47*'rotation(7FA)'!T61)</f>
        <v>247.2</v>
      </c>
      <c r="V47" s="642" t="str">
        <f>IF('rotation(7FA)'!U61=0," ",$B47*'rotation(7FA)'!U61)</f>
        <v xml:space="preserve"> </v>
      </c>
      <c r="W47" s="642" t="str">
        <f>IF('rotation(7FA)'!V61=0," ",$B47*'rotation(7FA)'!V61)</f>
        <v xml:space="preserve"> </v>
      </c>
      <c r="X47" s="21">
        <f t="shared" si="4"/>
        <v>1112.3999999999999</v>
      </c>
    </row>
    <row r="48" spans="1:24" s="21" customFormat="1">
      <c r="A48" s="648" t="str">
        <f>'GTDB(7FA)'!A28</f>
        <v>2nd Stage Shroud Blocks</v>
      </c>
      <c r="B48" s="641">
        <f>'GTDB(7FA)'!D28</f>
        <v>123.6</v>
      </c>
      <c r="C48" s="642"/>
      <c r="D48" s="642" t="str">
        <f>IF('rotation(7FA)'!C65=0," ",$B48*'rotation(7FA)'!C65)</f>
        <v xml:space="preserve"> </v>
      </c>
      <c r="E48" s="642" t="str">
        <f>IF('rotation(7FA)'!D65=0," ",$B48*'rotation(7FA)'!D65)</f>
        <v xml:space="preserve"> </v>
      </c>
      <c r="F48" s="642">
        <f>IF('rotation(7FA)'!E65=0," ",$B48*'rotation(7FA)'!E65)</f>
        <v>247.2</v>
      </c>
      <c r="G48" s="642" t="str">
        <f>IF('rotation(7FA)'!F65=0," ",$B48*'rotation(7FA)'!F65)</f>
        <v xml:space="preserve"> </v>
      </c>
      <c r="H48" s="642" t="str">
        <f>IF('rotation(7FA)'!G65=0," ",$B48*'rotation(7FA)'!G65)</f>
        <v xml:space="preserve"> </v>
      </c>
      <c r="I48" s="642">
        <f>IF('rotation(7FA)'!H65=0," ",$B48*'rotation(7FA)'!H65)</f>
        <v>247.2</v>
      </c>
      <c r="J48" s="642" t="str">
        <f>IF('rotation(7FA)'!I65=0," ",$B48*'rotation(7FA)'!I65)</f>
        <v xml:space="preserve"> </v>
      </c>
      <c r="K48" s="642" t="str">
        <f>IF('rotation(7FA)'!J65=0," ",$B48*'rotation(7FA)'!J65)</f>
        <v xml:space="preserve"> </v>
      </c>
      <c r="L48" s="642">
        <f>IF('rotation(7FA)'!K65=0," ",$B48*'rotation(7FA)'!K65)</f>
        <v>247.2</v>
      </c>
      <c r="M48" s="642" t="str">
        <f>IF('rotation(7FA)'!L65=0," ",$B48*'rotation(7FA)'!L65)</f>
        <v xml:space="preserve"> </v>
      </c>
      <c r="N48" s="642" t="str">
        <f>IF('rotation(7FA)'!M65=0," ",$B48*'rotation(7FA)'!M65)</f>
        <v xml:space="preserve"> </v>
      </c>
      <c r="O48" s="642" t="str">
        <f>IF('rotation(7FA)'!N65=0," ",$B48*'rotation(7FA)'!N65)</f>
        <v xml:space="preserve"> </v>
      </c>
      <c r="P48" s="642" t="str">
        <f>IF('rotation(7FA)'!O65=0," ",$B48*'rotation(7FA)'!O65)</f>
        <v xml:space="preserve"> </v>
      </c>
      <c r="Q48" s="642" t="str">
        <f>IF('rotation(7FA)'!P65=0," ",$B48*'rotation(7FA)'!P65)</f>
        <v xml:space="preserve"> </v>
      </c>
      <c r="R48" s="642">
        <f>IF('rotation(7FA)'!Q65=0," ",$B48*'rotation(7FA)'!Q65)</f>
        <v>123.6</v>
      </c>
      <c r="S48" s="642" t="str">
        <f>IF('rotation(7FA)'!R65=0," ",$B48*'rotation(7FA)'!R65)</f>
        <v xml:space="preserve"> </v>
      </c>
      <c r="T48" s="642" t="str">
        <f>IF('rotation(7FA)'!S65=0," ",$B48*'rotation(7FA)'!S65)</f>
        <v xml:space="preserve"> </v>
      </c>
      <c r="U48" s="642">
        <f>IF('rotation(7FA)'!T65=0," ",$B48*'rotation(7FA)'!T65)</f>
        <v>247.2</v>
      </c>
      <c r="V48" s="642" t="str">
        <f>IF('rotation(7FA)'!U65=0," ",$B48*'rotation(7FA)'!U65)</f>
        <v xml:space="preserve"> </v>
      </c>
      <c r="W48" s="642" t="str">
        <f>IF('rotation(7FA)'!V65=0," ",$B48*'rotation(7FA)'!V65)</f>
        <v xml:space="preserve"> </v>
      </c>
      <c r="X48" s="21">
        <f t="shared" si="4"/>
        <v>1112.3999999999999</v>
      </c>
    </row>
    <row r="49" spans="1:24" s="21" customFormat="1">
      <c r="A49" s="648" t="str">
        <f>'GTDB(7FA)'!A29</f>
        <v>3rd Stage Shroud Blocks</v>
      </c>
      <c r="B49" s="641">
        <f>'GTDB(7FA)'!D29</f>
        <v>123.6</v>
      </c>
      <c r="C49" s="642"/>
      <c r="D49" s="642" t="str">
        <f>IF('rotation(7FA)'!C69=0," ",$B49*'rotation(7FA)'!C69)</f>
        <v xml:space="preserve"> </v>
      </c>
      <c r="E49" s="642" t="str">
        <f>IF('rotation(7FA)'!D69=0," ",$B49*'rotation(7FA)'!D69)</f>
        <v xml:space="preserve"> </v>
      </c>
      <c r="F49" s="642">
        <f>IF('rotation(7FA)'!E69=0," ",$B49*'rotation(7FA)'!E69)</f>
        <v>247.2</v>
      </c>
      <c r="G49" s="642" t="str">
        <f>IF('rotation(7FA)'!F69=0," ",$B49*'rotation(7FA)'!F69)</f>
        <v xml:space="preserve"> </v>
      </c>
      <c r="H49" s="642" t="str">
        <f>IF('rotation(7FA)'!G69=0," ",$B49*'rotation(7FA)'!G69)</f>
        <v xml:space="preserve"> </v>
      </c>
      <c r="I49" s="642">
        <f>IF('rotation(7FA)'!H69=0," ",$B49*'rotation(7FA)'!H69)</f>
        <v>247.2</v>
      </c>
      <c r="J49" s="642" t="str">
        <f>IF('rotation(7FA)'!I69=0," ",$B49*'rotation(7FA)'!I69)</f>
        <v xml:space="preserve"> </v>
      </c>
      <c r="K49" s="642" t="str">
        <f>IF('rotation(7FA)'!J69=0," ",$B49*'rotation(7FA)'!J69)</f>
        <v xml:space="preserve"> </v>
      </c>
      <c r="L49" s="642">
        <f>IF('rotation(7FA)'!K69=0," ",$B49*'rotation(7FA)'!K69)</f>
        <v>247.2</v>
      </c>
      <c r="M49" s="642" t="str">
        <f>IF('rotation(7FA)'!L69=0," ",$B49*'rotation(7FA)'!L69)</f>
        <v xml:space="preserve"> </v>
      </c>
      <c r="N49" s="642" t="str">
        <f>IF('rotation(7FA)'!M69=0," ",$B49*'rotation(7FA)'!M69)</f>
        <v xml:space="preserve"> </v>
      </c>
      <c r="O49" s="642" t="str">
        <f>IF('rotation(7FA)'!N69=0," ",$B49*'rotation(7FA)'!N69)</f>
        <v xml:space="preserve"> </v>
      </c>
      <c r="P49" s="642" t="str">
        <f>IF('rotation(7FA)'!O69=0," ",$B49*'rotation(7FA)'!O69)</f>
        <v xml:space="preserve"> </v>
      </c>
      <c r="Q49" s="642" t="str">
        <f>IF('rotation(7FA)'!P69=0," ",$B49*'rotation(7FA)'!P69)</f>
        <v xml:space="preserve"> </v>
      </c>
      <c r="R49" s="642">
        <f>IF('rotation(7FA)'!Q69=0," ",$B49*'rotation(7FA)'!Q69)</f>
        <v>123.6</v>
      </c>
      <c r="S49" s="642" t="str">
        <f>IF('rotation(7FA)'!R69=0," ",$B49*'rotation(7FA)'!R69)</f>
        <v xml:space="preserve"> </v>
      </c>
      <c r="T49" s="642" t="str">
        <f>IF('rotation(7FA)'!S69=0," ",$B49*'rotation(7FA)'!S69)</f>
        <v xml:space="preserve"> </v>
      </c>
      <c r="U49" s="642">
        <f>IF('rotation(7FA)'!T69=0," ",$B49*'rotation(7FA)'!T69)</f>
        <v>247.2</v>
      </c>
      <c r="V49" s="642" t="str">
        <f>IF('rotation(7FA)'!U69=0," ",$B49*'rotation(7FA)'!U69)</f>
        <v xml:space="preserve"> </v>
      </c>
      <c r="W49" s="642" t="str">
        <f>IF('rotation(7FA)'!V69=0," ",$B49*'rotation(7FA)'!V69)</f>
        <v xml:space="preserve"> </v>
      </c>
      <c r="X49" s="21">
        <f t="shared" si="4"/>
        <v>1112.3999999999999</v>
      </c>
    </row>
    <row r="50" spans="1:24" s="21" customFormat="1">
      <c r="A50" s="64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</row>
    <row r="51" spans="1:24" s="21" customFormat="1">
      <c r="A51" s="651" t="s">
        <v>911</v>
      </c>
      <c r="B51" s="643">
        <v>0.02</v>
      </c>
      <c r="C51" s="79"/>
      <c r="D51" s="79">
        <f t="shared" ref="D51:W51" si="5">SUM(D37:D49)*(1-$B51)</f>
        <v>904.42239999999993</v>
      </c>
      <c r="E51" s="79">
        <f t="shared" si="5"/>
        <v>904.42239999999993</v>
      </c>
      <c r="F51" s="79">
        <f t="shared" si="5"/>
        <v>5981.50252</v>
      </c>
      <c r="G51" s="79">
        <f t="shared" si="5"/>
        <v>761.08759999999995</v>
      </c>
      <c r="H51" s="79">
        <f t="shared" si="5"/>
        <v>832.755</v>
      </c>
      <c r="I51" s="79">
        <f t="shared" si="5"/>
        <v>5202.7504200000003</v>
      </c>
      <c r="J51" s="79">
        <f t="shared" si="5"/>
        <v>143.3348</v>
      </c>
      <c r="K51" s="79">
        <f t="shared" si="5"/>
        <v>452.21119999999996</v>
      </c>
      <c r="L51" s="79">
        <f t="shared" si="5"/>
        <v>4280.6635199999992</v>
      </c>
      <c r="M51" s="79">
        <f t="shared" si="5"/>
        <v>904.42239999999993</v>
      </c>
      <c r="N51" s="79">
        <f t="shared" si="5"/>
        <v>904.42239999999993</v>
      </c>
      <c r="O51" s="79">
        <f t="shared" si="5"/>
        <v>2461.9266000000002</v>
      </c>
      <c r="P51" s="79">
        <f t="shared" si="5"/>
        <v>761.08759999999995</v>
      </c>
      <c r="Q51" s="79">
        <f t="shared" si="5"/>
        <v>452.21119999999996</v>
      </c>
      <c r="R51" s="79">
        <f t="shared" si="5"/>
        <v>2681.8748600000004</v>
      </c>
      <c r="S51" s="79">
        <f t="shared" si="5"/>
        <v>904.42239999999993</v>
      </c>
      <c r="T51" s="79">
        <f t="shared" si="5"/>
        <v>832.755</v>
      </c>
      <c r="U51" s="79">
        <f t="shared" si="5"/>
        <v>4280.6635199999992</v>
      </c>
      <c r="V51" s="79">
        <f t="shared" si="5"/>
        <v>904.42239999999993</v>
      </c>
      <c r="W51" s="79">
        <f t="shared" si="5"/>
        <v>904.42239999999993</v>
      </c>
      <c r="X51" s="21">
        <f>SUM(D51:W51)</f>
        <v>35455.780640000004</v>
      </c>
    </row>
    <row r="52" spans="1:24" s="21" customFormat="1">
      <c r="A52" s="651" t="s">
        <v>912</v>
      </c>
      <c r="B52" s="643">
        <v>0.01</v>
      </c>
      <c r="C52" s="79"/>
      <c r="D52" s="79">
        <f t="shared" ref="D52:W52" si="6">D51*(1+$B52)</f>
        <v>913.46662399999991</v>
      </c>
      <c r="E52" s="79">
        <f t="shared" si="6"/>
        <v>913.46662399999991</v>
      </c>
      <c r="F52" s="79">
        <f t="shared" si="6"/>
        <v>6041.3175452000005</v>
      </c>
      <c r="G52" s="79">
        <f t="shared" si="6"/>
        <v>768.69847599999991</v>
      </c>
      <c r="H52" s="79">
        <f t="shared" si="6"/>
        <v>841.08254999999997</v>
      </c>
      <c r="I52" s="79">
        <f t="shared" si="6"/>
        <v>5254.7779242000006</v>
      </c>
      <c r="J52" s="79">
        <f t="shared" si="6"/>
        <v>144.768148</v>
      </c>
      <c r="K52" s="79">
        <f t="shared" si="6"/>
        <v>456.73331199999996</v>
      </c>
      <c r="L52" s="79">
        <f t="shared" si="6"/>
        <v>4323.4701551999988</v>
      </c>
      <c r="M52" s="79">
        <f t="shared" si="6"/>
        <v>913.46662399999991</v>
      </c>
      <c r="N52" s="79">
        <f t="shared" si="6"/>
        <v>913.46662399999991</v>
      </c>
      <c r="O52" s="79">
        <f t="shared" si="6"/>
        <v>2486.5458660000004</v>
      </c>
      <c r="P52" s="79">
        <f t="shared" si="6"/>
        <v>768.69847599999991</v>
      </c>
      <c r="Q52" s="79">
        <f t="shared" si="6"/>
        <v>456.73331199999996</v>
      </c>
      <c r="R52" s="79">
        <f t="shared" si="6"/>
        <v>2708.6936086000005</v>
      </c>
      <c r="S52" s="79">
        <f t="shared" si="6"/>
        <v>913.46662399999991</v>
      </c>
      <c r="T52" s="79">
        <f t="shared" si="6"/>
        <v>841.08254999999997</v>
      </c>
      <c r="U52" s="79">
        <f t="shared" si="6"/>
        <v>4323.4701551999988</v>
      </c>
      <c r="V52" s="79">
        <f t="shared" si="6"/>
        <v>913.46662399999991</v>
      </c>
      <c r="W52" s="79">
        <f t="shared" si="6"/>
        <v>913.46662399999991</v>
      </c>
      <c r="X52" s="644">
        <f>SUM(D52:W52)</f>
        <v>35810.338446399997</v>
      </c>
    </row>
    <row r="53" spans="1:24" s="21" customFormat="1">
      <c r="A53" s="640"/>
    </row>
    <row r="54" spans="1:24" s="21" customFormat="1">
      <c r="A54" s="640" t="s">
        <v>913</v>
      </c>
      <c r="D54" s="21">
        <f t="shared" ref="D54:W54" si="7">D10+D32+D52</f>
        <v>1129.6535399999998</v>
      </c>
      <c r="E54" s="21">
        <f t="shared" si="7"/>
        <v>1129.6535399999998</v>
      </c>
      <c r="F54" s="21">
        <f t="shared" si="7"/>
        <v>16178.0388002</v>
      </c>
      <c r="G54" s="21">
        <f t="shared" si="7"/>
        <v>3390.3076339999998</v>
      </c>
      <c r="H54" s="21">
        <f t="shared" si="7"/>
        <v>2259.980587</v>
      </c>
      <c r="I54" s="21">
        <f t="shared" si="7"/>
        <v>14041.6222452</v>
      </c>
      <c r="J54" s="21">
        <f t="shared" si="7"/>
        <v>3734.0985620000001</v>
      </c>
      <c r="K54" s="21">
        <f t="shared" si="7"/>
        <v>3562.2030980000004</v>
      </c>
      <c r="L54" s="21">
        <f t="shared" si="7"/>
        <v>18087.979027199995</v>
      </c>
      <c r="M54" s="21">
        <f t="shared" si="7"/>
        <v>1129.6535399999998</v>
      </c>
      <c r="N54" s="21">
        <f t="shared" si="7"/>
        <v>1129.6535399999998</v>
      </c>
      <c r="O54" s="21">
        <f t="shared" si="7"/>
        <v>22464.598614000006</v>
      </c>
      <c r="P54" s="21">
        <f t="shared" si="7"/>
        <v>3390.3076339999998</v>
      </c>
      <c r="Q54" s="21">
        <f t="shared" si="7"/>
        <v>3562.2030980000004</v>
      </c>
      <c r="R54" s="21">
        <f t="shared" si="7"/>
        <v>21355.3981546</v>
      </c>
      <c r="S54" s="21">
        <f t="shared" si="7"/>
        <v>1129.6535399999998</v>
      </c>
      <c r="T54" s="21">
        <f t="shared" si="7"/>
        <v>2259.980587</v>
      </c>
      <c r="U54" s="21">
        <f t="shared" si="7"/>
        <v>18877.996309199996</v>
      </c>
      <c r="V54" s="21">
        <f t="shared" si="7"/>
        <v>1129.6535399999998</v>
      </c>
      <c r="W54" s="21">
        <f t="shared" si="7"/>
        <v>1129.6535399999998</v>
      </c>
      <c r="X54" s="724">
        <f>SUM(D54:W54)</f>
        <v>141072.28913039999</v>
      </c>
    </row>
    <row r="55" spans="1:24" s="21" customFormat="1">
      <c r="A55" s="640"/>
    </row>
    <row r="56" spans="1:24" s="21" customFormat="1">
      <c r="A56" s="640"/>
    </row>
    <row r="57" spans="1:24" s="21" customFormat="1">
      <c r="A57" s="640"/>
    </row>
    <row r="58" spans="1:24" s="21" customFormat="1">
      <c r="A58" s="640"/>
    </row>
    <row r="59" spans="1:24" s="21" customFormat="1">
      <c r="A59" s="640"/>
    </row>
    <row r="60" spans="1:24" s="21" customFormat="1">
      <c r="A60" s="640"/>
    </row>
    <row r="61" spans="1:24" s="21" customFormat="1">
      <c r="A61" s="640"/>
    </row>
    <row r="62" spans="1:24" s="21" customFormat="1">
      <c r="A62" s="640"/>
    </row>
    <row r="63" spans="1:24" s="21" customFormat="1">
      <c r="A63" s="640"/>
    </row>
    <row r="64" spans="1:24" s="21" customFormat="1">
      <c r="A64" s="640"/>
    </row>
    <row r="65" spans="1:1" s="21" customFormat="1">
      <c r="A65" s="640"/>
    </row>
    <row r="66" spans="1:1" s="21" customFormat="1">
      <c r="A66" s="640"/>
    </row>
    <row r="67" spans="1:1" s="21" customFormat="1">
      <c r="A67" s="640"/>
    </row>
  </sheetData>
  <printOptions horizontalCentered="1"/>
  <pageMargins left="0.75" right="0.75" top="1" bottom="1" header="0.5" footer="0.5"/>
  <pageSetup scale="53" orientation="landscape" horizontalDpi="4294967292" verticalDpi="4294967292" r:id="rId1"/>
  <headerFooter alignWithMargins="0">
    <oddFooter>&amp;LRichard Bickings
&amp;D&amp;CPage &amp;P&amp;R&amp;F
&amp;A</oddFooter>
  </headerFooter>
  <colBreaks count="1" manualBreakCount="1">
    <brk id="12" max="1048575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1"/>
  <dimension ref="A2:AF70"/>
  <sheetViews>
    <sheetView topLeftCell="N1" zoomScale="75" zoomScaleNormal="75" workbookViewId="0">
      <selection activeCell="X8" sqref="X8"/>
    </sheetView>
  </sheetViews>
  <sheetFormatPr defaultRowHeight="12.75"/>
  <cols>
    <col min="1" max="1" width="12.5703125" customWidth="1"/>
    <col min="3" max="3" width="9.28515625" bestFit="1" customWidth="1"/>
    <col min="5" max="5" width="9.28515625" customWidth="1"/>
    <col min="10" max="10" width="7.5703125" customWidth="1"/>
    <col min="11" max="11" width="7.42578125" customWidth="1"/>
    <col min="23" max="23" width="19" customWidth="1"/>
    <col min="24" max="24" width="10.42578125" customWidth="1"/>
    <col min="26" max="26" width="10.7109375" customWidth="1"/>
    <col min="28" max="28" width="10.7109375" customWidth="1"/>
  </cols>
  <sheetData>
    <row r="2" spans="1:32" ht="20.25">
      <c r="W2" s="652" t="s">
        <v>914</v>
      </c>
    </row>
    <row r="4" spans="1:32" ht="20.25">
      <c r="A4" s="652" t="s">
        <v>915</v>
      </c>
      <c r="B4" s="132"/>
      <c r="C4" s="132"/>
      <c r="D4" s="132"/>
      <c r="W4" s="653" t="str">
        <f>'GTDB(7FA)'!B4</f>
        <v>GE-7FA-H-V0</v>
      </c>
      <c r="X4" s="140" t="s">
        <v>916</v>
      </c>
      <c r="Y4" s="140" t="s">
        <v>917</v>
      </c>
      <c r="Z4" s="102" t="s">
        <v>278</v>
      </c>
      <c r="AA4" s="140" t="s">
        <v>918</v>
      </c>
    </row>
    <row r="5" spans="1:32">
      <c r="A5" s="140" t="s">
        <v>919</v>
      </c>
      <c r="B5" s="140" t="s">
        <v>278</v>
      </c>
      <c r="C5" s="140">
        <v>1</v>
      </c>
      <c r="D5" s="140">
        <v>2</v>
      </c>
      <c r="E5" s="140">
        <v>3</v>
      </c>
      <c r="F5" s="140">
        <v>4</v>
      </c>
      <c r="G5" s="140">
        <v>5</v>
      </c>
      <c r="H5" s="140">
        <v>6</v>
      </c>
      <c r="I5" s="140">
        <v>7</v>
      </c>
      <c r="J5" s="140">
        <v>8</v>
      </c>
      <c r="K5" s="140">
        <v>9</v>
      </c>
      <c r="L5" s="140">
        <v>10</v>
      </c>
      <c r="M5" s="140">
        <v>11</v>
      </c>
      <c r="N5" s="140">
        <v>12</v>
      </c>
      <c r="O5" s="140">
        <v>13</v>
      </c>
      <c r="P5" s="140">
        <v>14</v>
      </c>
      <c r="Q5" s="140">
        <v>15</v>
      </c>
      <c r="R5" s="140">
        <v>16</v>
      </c>
      <c r="S5" s="140">
        <v>17</v>
      </c>
      <c r="T5" s="140">
        <v>18</v>
      </c>
      <c r="U5" s="140">
        <v>19</v>
      </c>
      <c r="V5" s="420">
        <v>20</v>
      </c>
      <c r="W5" s="603" t="s">
        <v>920</v>
      </c>
      <c r="X5" s="654">
        <v>20</v>
      </c>
      <c r="Y5" s="654">
        <f>20-X5</f>
        <v>0</v>
      </c>
      <c r="Z5" s="102" t="s">
        <v>278</v>
      </c>
      <c r="AA5" s="655"/>
    </row>
    <row r="6" spans="1:32" ht="13.5" thickBot="1">
      <c r="A6" s="140" t="s">
        <v>921</v>
      </c>
      <c r="B6" s="617"/>
      <c r="C6" s="140">
        <f t="shared" ref="C6:V6" si="0">B6+IF(C5&gt;$X$5,$Y$6,$X$6)</f>
        <v>8322</v>
      </c>
      <c r="D6" s="140">
        <f t="shared" si="0"/>
        <v>16644</v>
      </c>
      <c r="E6" s="140">
        <f t="shared" si="0"/>
        <v>24966</v>
      </c>
      <c r="F6" s="140">
        <f t="shared" si="0"/>
        <v>33288</v>
      </c>
      <c r="G6" s="140">
        <f t="shared" si="0"/>
        <v>41610</v>
      </c>
      <c r="H6" s="140">
        <f t="shared" si="0"/>
        <v>49932</v>
      </c>
      <c r="I6" s="140">
        <f t="shared" si="0"/>
        <v>58254</v>
      </c>
      <c r="J6" s="140">
        <f t="shared" si="0"/>
        <v>66576</v>
      </c>
      <c r="K6" s="140">
        <f t="shared" si="0"/>
        <v>74898</v>
      </c>
      <c r="L6" s="140">
        <f t="shared" si="0"/>
        <v>83220</v>
      </c>
      <c r="M6" s="140">
        <f t="shared" si="0"/>
        <v>91542</v>
      </c>
      <c r="N6" s="140">
        <f t="shared" si="0"/>
        <v>99864</v>
      </c>
      <c r="O6" s="140">
        <f t="shared" si="0"/>
        <v>108186</v>
      </c>
      <c r="P6" s="140">
        <f t="shared" si="0"/>
        <v>116508</v>
      </c>
      <c r="Q6" s="140">
        <f t="shared" si="0"/>
        <v>124830</v>
      </c>
      <c r="R6" s="140">
        <f t="shared" si="0"/>
        <v>133152</v>
      </c>
      <c r="S6" s="140">
        <f t="shared" si="0"/>
        <v>141474</v>
      </c>
      <c r="T6" s="140">
        <f t="shared" si="0"/>
        <v>149796</v>
      </c>
      <c r="U6" s="140">
        <f t="shared" si="0"/>
        <v>158118</v>
      </c>
      <c r="V6" s="140">
        <f t="shared" si="0"/>
        <v>166440</v>
      </c>
      <c r="W6" s="656" t="s">
        <v>922</v>
      </c>
      <c r="X6" s="657">
        <f>Scope!$F$41</f>
        <v>8322</v>
      </c>
      <c r="Y6" s="658">
        <v>8000</v>
      </c>
      <c r="Z6" s="659"/>
      <c r="AA6" s="655"/>
      <c r="AD6" s="660">
        <v>1</v>
      </c>
    </row>
    <row r="7" spans="1:32" ht="13.5" thickBot="1">
      <c r="A7" s="102"/>
      <c r="B7" s="102" t="s">
        <v>278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661" t="s">
        <v>923</v>
      </c>
      <c r="X7" s="662">
        <v>2</v>
      </c>
      <c r="Y7" s="663"/>
      <c r="Z7" s="102"/>
      <c r="AA7" s="664"/>
    </row>
    <row r="8" spans="1:32">
      <c r="A8" s="140" t="s">
        <v>924</v>
      </c>
      <c r="B8" s="140">
        <v>0</v>
      </c>
      <c r="C8" s="140">
        <f t="shared" ref="C8:V8" si="1">( INT(C6/$X8)*$X$7-INT(B6/$X8)*$X$7-C9-C10)</f>
        <v>2</v>
      </c>
      <c r="D8" s="140">
        <f t="shared" si="1"/>
        <v>2</v>
      </c>
      <c r="E8" s="140">
        <f t="shared" si="1"/>
        <v>0</v>
      </c>
      <c r="F8" s="140">
        <f t="shared" si="1"/>
        <v>2</v>
      </c>
      <c r="G8" s="140">
        <f t="shared" si="1"/>
        <v>2</v>
      </c>
      <c r="H8" s="140">
        <f t="shared" si="1"/>
        <v>0</v>
      </c>
      <c r="I8" s="140">
        <f t="shared" si="1"/>
        <v>2</v>
      </c>
      <c r="J8" s="140">
        <f t="shared" si="1"/>
        <v>2</v>
      </c>
      <c r="K8" s="140">
        <f t="shared" si="1"/>
        <v>0</v>
      </c>
      <c r="L8" s="140">
        <f t="shared" si="1"/>
        <v>2</v>
      </c>
      <c r="M8" s="140">
        <f t="shared" si="1"/>
        <v>2</v>
      </c>
      <c r="N8" s="140">
        <f t="shared" si="1"/>
        <v>0</v>
      </c>
      <c r="O8" s="140">
        <f t="shared" si="1"/>
        <v>2</v>
      </c>
      <c r="P8" s="140">
        <f t="shared" si="1"/>
        <v>2</v>
      </c>
      <c r="Q8" s="140">
        <f t="shared" si="1"/>
        <v>0</v>
      </c>
      <c r="R8" s="140">
        <f t="shared" si="1"/>
        <v>2</v>
      </c>
      <c r="S8" s="140">
        <f t="shared" si="1"/>
        <v>2</v>
      </c>
      <c r="T8" s="140">
        <f t="shared" si="1"/>
        <v>0</v>
      </c>
      <c r="U8" s="140">
        <f t="shared" si="1"/>
        <v>2</v>
      </c>
      <c r="V8" s="420">
        <f t="shared" si="1"/>
        <v>2</v>
      </c>
      <c r="W8" s="665" t="s">
        <v>925</v>
      </c>
      <c r="X8" s="666">
        <f>IF($AD$6=1,'GTDB(7FA)'!B12,'GTDB(7FA)'!G12)</f>
        <v>8000</v>
      </c>
      <c r="Y8" s="663"/>
      <c r="Z8" s="663"/>
    </row>
    <row r="9" spans="1:32">
      <c r="A9" s="140" t="s">
        <v>1223</v>
      </c>
      <c r="B9" s="140">
        <v>0</v>
      </c>
      <c r="C9" s="140">
        <f t="shared" ref="C9:V9" si="2">(INT(C6/$X9)-INT(B6/$X9))*$X$7-C10</f>
        <v>0</v>
      </c>
      <c r="D9" s="140">
        <f t="shared" si="2"/>
        <v>0</v>
      </c>
      <c r="E9" s="140">
        <f t="shared" si="2"/>
        <v>2</v>
      </c>
      <c r="F9" s="140">
        <f t="shared" si="2"/>
        <v>0</v>
      </c>
      <c r="G9" s="140">
        <f t="shared" si="2"/>
        <v>0</v>
      </c>
      <c r="H9" s="140">
        <f t="shared" si="2"/>
        <v>0</v>
      </c>
      <c r="I9" s="140">
        <f t="shared" si="2"/>
        <v>0</v>
      </c>
      <c r="J9" s="140">
        <f t="shared" si="2"/>
        <v>0</v>
      </c>
      <c r="K9" s="140">
        <f t="shared" si="2"/>
        <v>2</v>
      </c>
      <c r="L9" s="140">
        <f t="shared" si="2"/>
        <v>0</v>
      </c>
      <c r="M9" s="140">
        <f t="shared" si="2"/>
        <v>0</v>
      </c>
      <c r="N9" s="140">
        <f t="shared" si="2"/>
        <v>0</v>
      </c>
      <c r="O9" s="140">
        <f t="shared" si="2"/>
        <v>0</v>
      </c>
      <c r="P9" s="140">
        <f t="shared" si="2"/>
        <v>0</v>
      </c>
      <c r="Q9" s="140">
        <f t="shared" si="2"/>
        <v>2</v>
      </c>
      <c r="R9" s="140">
        <f t="shared" si="2"/>
        <v>0</v>
      </c>
      <c r="S9" s="140">
        <f t="shared" si="2"/>
        <v>0</v>
      </c>
      <c r="T9" s="140">
        <f t="shared" si="2"/>
        <v>0</v>
      </c>
      <c r="U9" s="140">
        <f t="shared" si="2"/>
        <v>0</v>
      </c>
      <c r="V9" s="420">
        <f t="shared" si="2"/>
        <v>0</v>
      </c>
      <c r="W9" s="667" t="s">
        <v>926</v>
      </c>
      <c r="X9" s="666">
        <f>IF($AD$6=1,'GTDB(7FA)'!B13,'GTDB(7FA)'!G13)</f>
        <v>24000</v>
      </c>
      <c r="Y9" s="663"/>
      <c r="Z9" s="663"/>
    </row>
    <row r="10" spans="1:32">
      <c r="A10" s="140" t="s">
        <v>1224</v>
      </c>
      <c r="B10" s="140">
        <v>0</v>
      </c>
      <c r="C10" s="140">
        <f t="shared" ref="C10:V10" si="3">(INT(C6/$X10)-INT(B6/$X10))*$X$7</f>
        <v>0</v>
      </c>
      <c r="D10" s="140">
        <f t="shared" si="3"/>
        <v>0</v>
      </c>
      <c r="E10" s="140">
        <f t="shared" si="3"/>
        <v>0</v>
      </c>
      <c r="F10" s="140">
        <f t="shared" si="3"/>
        <v>0</v>
      </c>
      <c r="G10" s="140">
        <f t="shared" si="3"/>
        <v>0</v>
      </c>
      <c r="H10" s="140">
        <f t="shared" si="3"/>
        <v>2</v>
      </c>
      <c r="I10" s="140">
        <f t="shared" si="3"/>
        <v>0</v>
      </c>
      <c r="J10" s="140">
        <f t="shared" si="3"/>
        <v>0</v>
      </c>
      <c r="K10" s="140">
        <f t="shared" si="3"/>
        <v>0</v>
      </c>
      <c r="L10" s="140">
        <f t="shared" si="3"/>
        <v>0</v>
      </c>
      <c r="M10" s="140">
        <f t="shared" si="3"/>
        <v>0</v>
      </c>
      <c r="N10" s="140">
        <f t="shared" si="3"/>
        <v>2</v>
      </c>
      <c r="O10" s="140">
        <f t="shared" si="3"/>
        <v>0</v>
      </c>
      <c r="P10" s="140">
        <f t="shared" si="3"/>
        <v>0</v>
      </c>
      <c r="Q10" s="140">
        <f t="shared" si="3"/>
        <v>0</v>
      </c>
      <c r="R10" s="140">
        <f t="shared" si="3"/>
        <v>0</v>
      </c>
      <c r="S10" s="140">
        <f t="shared" si="3"/>
        <v>0</v>
      </c>
      <c r="T10" s="140">
        <f t="shared" si="3"/>
        <v>2</v>
      </c>
      <c r="U10" s="140">
        <f t="shared" si="3"/>
        <v>0</v>
      </c>
      <c r="V10" s="420">
        <f t="shared" si="3"/>
        <v>0</v>
      </c>
      <c r="W10" s="667" t="s">
        <v>927</v>
      </c>
      <c r="X10" s="666">
        <f>IF($AD$6=1,'GTDB(7FA)'!B14,'GTDB(7FA)'!G14)</f>
        <v>48000</v>
      </c>
      <c r="Y10" s="663"/>
      <c r="Z10" s="663"/>
      <c r="AA10" t="s">
        <v>278</v>
      </c>
    </row>
    <row r="11" spans="1:32" ht="11.2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668"/>
      <c r="X11" s="669"/>
      <c r="Y11" s="663"/>
      <c r="Z11" s="663"/>
      <c r="AF11" s="670"/>
    </row>
    <row r="12" spans="1:32" hidden="1">
      <c r="A12" s="140" t="s">
        <v>924</v>
      </c>
      <c r="B12" s="140"/>
      <c r="C12" s="140" t="str">
        <f t="shared" ref="C12:V12" si="4">IF(C8=0," ",IF(C8/$X$7=1,"C",C8/$X$7&amp;"C"))</f>
        <v>C</v>
      </c>
      <c r="D12" s="140" t="str">
        <f t="shared" si="4"/>
        <v>C</v>
      </c>
      <c r="E12" s="140" t="str">
        <f t="shared" si="4"/>
        <v xml:space="preserve"> </v>
      </c>
      <c r="F12" s="140" t="str">
        <f t="shared" si="4"/>
        <v>C</v>
      </c>
      <c r="G12" s="140" t="str">
        <f t="shared" si="4"/>
        <v>C</v>
      </c>
      <c r="H12" s="140" t="str">
        <f t="shared" si="4"/>
        <v xml:space="preserve"> </v>
      </c>
      <c r="I12" s="140" t="str">
        <f t="shared" si="4"/>
        <v>C</v>
      </c>
      <c r="J12" s="140" t="str">
        <f t="shared" si="4"/>
        <v>C</v>
      </c>
      <c r="K12" s="140" t="str">
        <f t="shared" si="4"/>
        <v xml:space="preserve"> </v>
      </c>
      <c r="L12" s="140" t="str">
        <f t="shared" si="4"/>
        <v>C</v>
      </c>
      <c r="M12" s="140" t="str">
        <f t="shared" si="4"/>
        <v>C</v>
      </c>
      <c r="N12" s="140" t="str">
        <f t="shared" si="4"/>
        <v xml:space="preserve"> </v>
      </c>
      <c r="O12" s="140" t="str">
        <f t="shared" si="4"/>
        <v>C</v>
      </c>
      <c r="P12" s="140" t="str">
        <f t="shared" si="4"/>
        <v>C</v>
      </c>
      <c r="Q12" s="140" t="str">
        <f t="shared" si="4"/>
        <v xml:space="preserve"> </v>
      </c>
      <c r="R12" s="140" t="str">
        <f t="shared" si="4"/>
        <v>C</v>
      </c>
      <c r="S12" s="140" t="str">
        <f t="shared" si="4"/>
        <v>C</v>
      </c>
      <c r="T12" s="140" t="str">
        <f t="shared" si="4"/>
        <v xml:space="preserve"> </v>
      </c>
      <c r="U12" s="140" t="str">
        <f t="shared" si="4"/>
        <v>C</v>
      </c>
      <c r="V12" s="140" t="str">
        <f t="shared" si="4"/>
        <v>C</v>
      </c>
      <c r="W12" s="615"/>
      <c r="X12" s="671"/>
      <c r="Y12" s="672"/>
      <c r="Z12" s="672"/>
    </row>
    <row r="13" spans="1:32" hidden="1">
      <c r="A13" s="140" t="s">
        <v>1223</v>
      </c>
      <c r="B13" s="140"/>
      <c r="C13" s="140" t="str">
        <f t="shared" ref="C13:V13" si="5">IF(C9=0," ",IF(C9/$X$7=1,"H",C9/$X$7&amp;"H"))</f>
        <v xml:space="preserve"> </v>
      </c>
      <c r="D13" s="140" t="str">
        <f t="shared" si="5"/>
        <v xml:space="preserve"> </v>
      </c>
      <c r="E13" s="140" t="str">
        <f t="shared" si="5"/>
        <v>H</v>
      </c>
      <c r="F13" s="140" t="str">
        <f t="shared" si="5"/>
        <v xml:space="preserve"> </v>
      </c>
      <c r="G13" s="140" t="str">
        <f t="shared" si="5"/>
        <v xml:space="preserve"> </v>
      </c>
      <c r="H13" s="140" t="str">
        <f t="shared" si="5"/>
        <v xml:space="preserve"> </v>
      </c>
      <c r="I13" s="140" t="str">
        <f t="shared" si="5"/>
        <v xml:space="preserve"> </v>
      </c>
      <c r="J13" s="140" t="str">
        <f t="shared" si="5"/>
        <v xml:space="preserve"> </v>
      </c>
      <c r="K13" s="140" t="str">
        <f t="shared" si="5"/>
        <v>H</v>
      </c>
      <c r="L13" s="140" t="str">
        <f t="shared" si="5"/>
        <v xml:space="preserve"> </v>
      </c>
      <c r="M13" s="140" t="str">
        <f t="shared" si="5"/>
        <v xml:space="preserve"> </v>
      </c>
      <c r="N13" s="140" t="str">
        <f t="shared" si="5"/>
        <v xml:space="preserve"> </v>
      </c>
      <c r="O13" s="140" t="str">
        <f t="shared" si="5"/>
        <v xml:space="preserve"> </v>
      </c>
      <c r="P13" s="140" t="str">
        <f t="shared" si="5"/>
        <v xml:space="preserve"> </v>
      </c>
      <c r="Q13" s="140" t="str">
        <f t="shared" si="5"/>
        <v>H</v>
      </c>
      <c r="R13" s="140" t="str">
        <f t="shared" si="5"/>
        <v xml:space="preserve"> </v>
      </c>
      <c r="S13" s="140" t="str">
        <f t="shared" si="5"/>
        <v xml:space="preserve"> </v>
      </c>
      <c r="T13" s="140" t="str">
        <f t="shared" si="5"/>
        <v xml:space="preserve"> </v>
      </c>
      <c r="U13" s="140" t="str">
        <f t="shared" si="5"/>
        <v xml:space="preserve"> </v>
      </c>
      <c r="V13" s="140" t="str">
        <f t="shared" si="5"/>
        <v xml:space="preserve"> </v>
      </c>
      <c r="W13" s="615"/>
      <c r="X13" s="671"/>
      <c r="Y13" s="672"/>
      <c r="Z13" s="672"/>
    </row>
    <row r="14" spans="1:32" ht="12.75" hidden="1" customHeight="1">
      <c r="A14" s="140" t="s">
        <v>1224</v>
      </c>
      <c r="B14" s="140"/>
      <c r="C14" s="140" t="str">
        <f t="shared" ref="C14:V14" si="6">IF(C10=0," ",IF(C10/$X$7=1,"M",C10/$X$7&amp;"M"))</f>
        <v xml:space="preserve"> </v>
      </c>
      <c r="D14" s="140" t="str">
        <f t="shared" si="6"/>
        <v xml:space="preserve"> </v>
      </c>
      <c r="E14" s="140" t="str">
        <f t="shared" si="6"/>
        <v xml:space="preserve"> </v>
      </c>
      <c r="F14" s="140" t="str">
        <f t="shared" si="6"/>
        <v xml:space="preserve"> </v>
      </c>
      <c r="G14" s="140" t="str">
        <f t="shared" si="6"/>
        <v xml:space="preserve"> </v>
      </c>
      <c r="H14" s="140" t="str">
        <f t="shared" si="6"/>
        <v>M</v>
      </c>
      <c r="I14" s="140" t="str">
        <f t="shared" si="6"/>
        <v xml:space="preserve"> </v>
      </c>
      <c r="J14" s="140" t="str">
        <f t="shared" si="6"/>
        <v xml:space="preserve"> </v>
      </c>
      <c r="K14" s="140" t="str">
        <f t="shared" si="6"/>
        <v xml:space="preserve"> </v>
      </c>
      <c r="L14" s="140" t="str">
        <f t="shared" si="6"/>
        <v xml:space="preserve"> </v>
      </c>
      <c r="M14" s="140" t="str">
        <f t="shared" si="6"/>
        <v xml:space="preserve"> </v>
      </c>
      <c r="N14" s="140" t="str">
        <f t="shared" si="6"/>
        <v>M</v>
      </c>
      <c r="O14" s="140" t="str">
        <f t="shared" si="6"/>
        <v xml:space="preserve"> </v>
      </c>
      <c r="P14" s="140" t="str">
        <f t="shared" si="6"/>
        <v xml:space="preserve"> </v>
      </c>
      <c r="Q14" s="140" t="str">
        <f t="shared" si="6"/>
        <v xml:space="preserve"> </v>
      </c>
      <c r="R14" s="140" t="str">
        <f t="shared" si="6"/>
        <v xml:space="preserve"> </v>
      </c>
      <c r="S14" s="140" t="str">
        <f t="shared" si="6"/>
        <v xml:space="preserve"> </v>
      </c>
      <c r="T14" s="140" t="str">
        <f t="shared" si="6"/>
        <v>M</v>
      </c>
      <c r="U14" s="140" t="str">
        <f t="shared" si="6"/>
        <v xml:space="preserve"> </v>
      </c>
      <c r="V14" s="140" t="str">
        <f t="shared" si="6"/>
        <v xml:space="preserve"> </v>
      </c>
      <c r="W14" s="78" t="s">
        <v>278</v>
      </c>
    </row>
    <row r="15" spans="1:32" ht="36.7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673"/>
      <c r="W15" s="674" t="s">
        <v>928</v>
      </c>
      <c r="X15" s="675" t="s">
        <v>929</v>
      </c>
      <c r="Y15" s="675" t="s">
        <v>930</v>
      </c>
      <c r="Z15" s="675" t="s">
        <v>931</v>
      </c>
      <c r="AA15" s="676" t="s">
        <v>932</v>
      </c>
      <c r="AB15" s="675" t="s">
        <v>933</v>
      </c>
    </row>
    <row r="16" spans="1:32" hidden="1">
      <c r="A16" s="140" t="s">
        <v>934</v>
      </c>
      <c r="B16" s="603"/>
      <c r="C16" s="140">
        <f t="shared" ref="C16:V16" si="7">INT((INT(C$6/$X17)*$X$7+$X$7+$Z17-1)/($X$7+$Z17)/$Y17)</f>
        <v>0</v>
      </c>
      <c r="D16" s="140">
        <f t="shared" si="7"/>
        <v>0</v>
      </c>
      <c r="E16" s="140">
        <f t="shared" si="7"/>
        <v>0</v>
      </c>
      <c r="F16" s="140">
        <f t="shared" si="7"/>
        <v>0</v>
      </c>
      <c r="G16" s="140">
        <f t="shared" si="7"/>
        <v>0</v>
      </c>
      <c r="H16" s="140">
        <f t="shared" si="7"/>
        <v>0</v>
      </c>
      <c r="I16" s="140">
        <f t="shared" si="7"/>
        <v>1</v>
      </c>
      <c r="J16" s="140">
        <f t="shared" si="7"/>
        <v>1</v>
      </c>
      <c r="K16" s="140">
        <f t="shared" si="7"/>
        <v>1</v>
      </c>
      <c r="L16" s="140">
        <f t="shared" si="7"/>
        <v>1</v>
      </c>
      <c r="M16" s="140">
        <f t="shared" si="7"/>
        <v>1</v>
      </c>
      <c r="N16" s="140">
        <f t="shared" si="7"/>
        <v>1</v>
      </c>
      <c r="O16" s="140">
        <f t="shared" si="7"/>
        <v>1</v>
      </c>
      <c r="P16" s="140">
        <f t="shared" si="7"/>
        <v>2</v>
      </c>
      <c r="Q16" s="140">
        <f t="shared" si="7"/>
        <v>2</v>
      </c>
      <c r="R16" s="140">
        <f t="shared" si="7"/>
        <v>2</v>
      </c>
      <c r="S16" s="140">
        <f t="shared" si="7"/>
        <v>2</v>
      </c>
      <c r="T16" s="140">
        <f t="shared" si="7"/>
        <v>2</v>
      </c>
      <c r="U16" s="140">
        <f t="shared" si="7"/>
        <v>2</v>
      </c>
      <c r="V16" s="140">
        <f t="shared" si="7"/>
        <v>2</v>
      </c>
      <c r="AB16" s="140"/>
    </row>
    <row r="17" spans="1:28">
      <c r="A17" s="140" t="s">
        <v>935</v>
      </c>
      <c r="B17" s="603" t="s">
        <v>278</v>
      </c>
      <c r="C17" s="603">
        <f>IF($Y17=1,0,$X$7*(INT(C$6/$X17)-INT(B$6/$X17))-IF(SUM($B17:B17)&gt;0,C18,0))</f>
        <v>2</v>
      </c>
      <c r="D17" s="603">
        <f>IF($Y17=1,0,$X$7*(INT(D$6/$X17)-INT(C$6/$X17))-IF(SUM($B17:C17)&gt;0,D18,0))</f>
        <v>2</v>
      </c>
      <c r="E17" s="603">
        <f>IF($Y17=1,0,$X$7*(INT(E$6/$X17)-INT(D$6/$X17))-IF(SUM($B17:D17)&gt;0,E18,0))</f>
        <v>2</v>
      </c>
      <c r="F17" s="603">
        <f>IF($Y17=1,0,$X$7*(INT(F$6/$X17)-INT(E$6/$X17))-IF(SUM($B17:E17)&gt;0,F18,0))</f>
        <v>2</v>
      </c>
      <c r="G17" s="603">
        <f>IF($Y17=1,0,$X$7*(INT(G$6/$X17)-INT(F$6/$X17))-IF(SUM($B17:F17)&gt;0,G18,0))</f>
        <v>2</v>
      </c>
      <c r="H17" s="603">
        <f>IF($Y17=1,0,$X$7*(INT(H$6/$X17)-INT(G$6/$X17))-IF(SUM($B17:G17)&gt;0,H18,0))</f>
        <v>2</v>
      </c>
      <c r="I17" s="603">
        <f>IF($Y17=1,0,$X$7*(INT(I$6/$X17)-INT(H$6/$X17))-IF(SUM($B17:H17)&gt;0,I18,0))</f>
        <v>0</v>
      </c>
      <c r="J17" s="603">
        <f>IF($Y17=1,0,$X$7*(INT(J$6/$X17)-INT(I$6/$X17))-IF(SUM($B17:I17)&gt;0,J18,0))</f>
        <v>1</v>
      </c>
      <c r="K17" s="603">
        <f>IF($Y17=1,0,$X$7*(INT(K$6/$X17)-INT(J$6/$X17))-IF(SUM($B17:J17)&gt;0,K18,0))</f>
        <v>2</v>
      </c>
      <c r="L17" s="603">
        <f>IF($Y17=1,0,$X$7*(INT(L$6/$X17)-INT(K$6/$X17))-IF(SUM($B17:K17)&gt;0,L18,0))</f>
        <v>2</v>
      </c>
      <c r="M17" s="603">
        <f>IF($Y17=1,0,$X$7*(INT(M$6/$X17)-INT(L$6/$X17))-IF(SUM($B17:L17)&gt;0,M18,0))</f>
        <v>2</v>
      </c>
      <c r="N17" s="603">
        <f>IF($Y17=1,0,$X$7*(INT(N$6/$X17)-INT(M$6/$X17))-IF(SUM($B17:M17)&gt;0,N18,0))</f>
        <v>2</v>
      </c>
      <c r="O17" s="603">
        <f>IF($Y17=1,0,$X$7*(INT(O$6/$X17)-INT(N$6/$X17))-IF(SUM($B17:N17)&gt;0,O18,0))</f>
        <v>2</v>
      </c>
      <c r="P17" s="603">
        <f>IF($Y17=1,0,$X$7*(INT(P$6/$X17)-INT(O$6/$X17))-IF(SUM($B17:O17)&gt;0,P18,0))</f>
        <v>1</v>
      </c>
      <c r="Q17" s="603">
        <f>IF($Y17=1,0,$X$7*(INT(Q$6/$X17)-INT(P$6/$X17))-IF(SUM($B17:P17)&gt;0,Q18,0))</f>
        <v>0</v>
      </c>
      <c r="R17" s="603">
        <f>IF($Y17=1,0,$X$7*(INT(R$6/$X17)-INT(Q$6/$X17))-IF(SUM($B17:Q17)&gt;0,R18,0))</f>
        <v>2</v>
      </c>
      <c r="S17" s="603">
        <f>IF($Y17=1,0,$X$7*(INT(S$6/$X17)-INT(R$6/$X17))-IF(SUM($B17:R17)&gt;0,S18,0))</f>
        <v>2</v>
      </c>
      <c r="T17" s="603">
        <f>IF($Y17=1,0,$X$7*(INT(T$6/$X17)-INT(S$6/$X17))-IF(SUM($B17:S17)&gt;0,T18,0))</f>
        <v>2</v>
      </c>
      <c r="U17" s="603">
        <f>IF($Y17=1,0,$X$7*(INT(U$6/$X17)-INT(T$6/$X17))-IF(SUM($B17:T17)&gt;0,U18,0))</f>
        <v>2</v>
      </c>
      <c r="V17" s="603">
        <f>IF($Y17=1,0,$X$7*(INT(V$6/$X17)-INT(U$6/$X17))-IF(SUM($B17:U17)&gt;0,V18,0))</f>
        <v>2</v>
      </c>
      <c r="W17" s="677" t="str">
        <f>'GT schd cost(7FA)'!A14</f>
        <v>Combustion Liners</v>
      </c>
      <c r="X17" s="678">
        <f>IF($AD$6=1,'GTDB(7FA)'!B17,'GTDB(7FA)'!G17)</f>
        <v>8000</v>
      </c>
      <c r="Y17" s="678">
        <f>IF($AD$6=1,'GTDB(7FA)'!C17,'GTDB(7FA)'!H17)</f>
        <v>5</v>
      </c>
      <c r="Z17" s="679">
        <v>1</v>
      </c>
      <c r="AA17" s="832">
        <f>'Initial_Spares(7FA)'!$E$11</f>
        <v>1</v>
      </c>
      <c r="AB17" s="642">
        <f>'GT schd cost(7FA)'!X14+'GT schd cost(7FA)'!X37</f>
        <v>9953.2559999999976</v>
      </c>
    </row>
    <row r="18" spans="1:28">
      <c r="A18" s="140" t="s">
        <v>936</v>
      </c>
      <c r="B18" s="603" t="s">
        <v>278</v>
      </c>
      <c r="C18" s="603">
        <f>IF(INT(C$6/$X17)*$X$7&gt;C16*($X$7+$Z17)*$Y17,C16*($X$7+$Z17)-SUM($B18:B18),INT(C$6/$X17)*$X$7-C16*($X$7+$Z17)*($Y17-1)-SUM($B18:B18))+IF($Y17&gt;1,IF(INT(C$6/$X17)&gt;0,$Z17-$AA17,0),-$AA17)</f>
        <v>0</v>
      </c>
      <c r="D18" s="603">
        <f>IF(INT(D$6/$X17)*$X$7&gt;D16*($X$7+$Z17)*$Y17,D16*($X$7+$Z17)-SUM($B18:C18),INT(D$6/$X17)*$X$7-D16*($X$7+$Z17)*($Y17-1)-SUM($B18:C18))+IF($Y17&gt;1,IF(INT(D$6/$X17)&gt;0,$Z17-$AA17,0),-$AA17)</f>
        <v>0</v>
      </c>
      <c r="E18" s="603">
        <f>IF(INT(E$6/$X17)*$X$7&gt;E16*($X$7+$Z17)*$Y17,E16*($X$7+$Z17)-SUM($B18:D18),INT(E$6/$X17)*$X$7-E16*($X$7+$Z17)*($Y17-1)-SUM($B18:D18))+IF($Y17&gt;1,IF(INT(E$6/$X17)&gt;0,$Z17-$AA17,0),-$AA17)</f>
        <v>0</v>
      </c>
      <c r="F18" s="603">
        <f>IF(INT(F$6/$X17)*$X$7&gt;F16*($X$7+$Z17)*$Y17,F16*($X$7+$Z17)-SUM($B18:E18),INT(F$6/$X17)*$X$7-F16*($X$7+$Z17)*($Y17-1)-SUM($B18:E18))+IF($Y17&gt;1,IF(INT(F$6/$X17)&gt;0,$Z17-$AA17,0),-$AA17)</f>
        <v>0</v>
      </c>
      <c r="G18" s="603">
        <f>IF(INT(G$6/$X17)*$X$7&gt;G16*($X$7+$Z17)*$Y17,G16*($X$7+$Z17)-SUM($B18:F18),INT(G$6/$X17)*$X$7-G16*($X$7+$Z17)*($Y17-1)-SUM($B18:F18))+IF($Y17&gt;1,IF(INT(G$6/$X17)&gt;0,$Z17-$AA17,0),-$AA17)</f>
        <v>0</v>
      </c>
      <c r="H18" s="603">
        <f>IF(INT(H$6/$X17)*$X$7&gt;H16*($X$7+$Z17)*$Y17,H16*($X$7+$Z17)-SUM($B18:G18),INT(H$6/$X17)*$X$7-H16*($X$7+$Z17)*($Y17-1)-SUM($B18:G18))+IF($Y17&gt;1,IF(INT(H$6/$X17)&gt;0,$Z17-$AA17,0),-$AA17)</f>
        <v>0</v>
      </c>
      <c r="I18" s="603">
        <f>IF(INT(I$6/$X17)*$X$7&gt;I16*($X$7+$Z17)*$Y17,I16*($X$7+$Z17)-SUM($B18:H18),INT(I$6/$X17)*$X$7-I16*($X$7+$Z17)*($Y17-1)-SUM($B18:H18))+IF($Y17&gt;1,IF(INT(I$6/$X17)&gt;0,$Z17-$AA17,0),-$AA17)</f>
        <v>2</v>
      </c>
      <c r="J18" s="603">
        <f>IF(INT(J$6/$X17)*$X$7&gt;J16*($X$7+$Z17)*$Y17,J16*($X$7+$Z17)-SUM($B18:I18),INT(J$6/$X17)*$X$7-J16*($X$7+$Z17)*($Y17-1)-SUM($B18:I18))+IF($Y17&gt;1,IF(INT(J$6/$X17)&gt;0,$Z17-$AA17,0),-$AA17)</f>
        <v>1</v>
      </c>
      <c r="K18" s="603">
        <f>IF(INT(K$6/$X17)*$X$7&gt;K16*($X$7+$Z17)*$Y17,K16*($X$7+$Z17)-SUM($B18:J18),INT(K$6/$X17)*$X$7-K16*($X$7+$Z17)*($Y17-1)-SUM($B18:J18))+IF($Y17&gt;1,IF(INT(K$6/$X17)&gt;0,$Z17-$AA17,0),-$AA17)</f>
        <v>0</v>
      </c>
      <c r="L18" s="603">
        <f>IF(INT(L$6/$X17)*$X$7&gt;L16*($X$7+$Z17)*$Y17,L16*($X$7+$Z17)-SUM($B18:K18),INT(L$6/$X17)*$X$7-L16*($X$7+$Z17)*($Y17-1)-SUM($B18:K18))+IF($Y17&gt;1,IF(INT(L$6/$X17)&gt;0,$Z17-$AA17,0),-$AA17)</f>
        <v>0</v>
      </c>
      <c r="M18" s="603">
        <f>IF(INT(M$6/$X17)*$X$7&gt;M16*($X$7+$Z17)*$Y17,M16*($X$7+$Z17)-SUM($B18:L18),INT(M$6/$X17)*$X$7-M16*($X$7+$Z17)*($Y17-1)-SUM($B18:L18))+IF($Y17&gt;1,IF(INT(M$6/$X17)&gt;0,$Z17-$AA17,0),-$AA17)</f>
        <v>0</v>
      </c>
      <c r="N18" s="603">
        <f>IF(INT(N$6/$X17)*$X$7&gt;N16*($X$7+$Z17)*$Y17,N16*($X$7+$Z17)-SUM($B18:M18),INT(N$6/$X17)*$X$7-N16*($X$7+$Z17)*($Y17-1)-SUM($B18:M18))+IF($Y17&gt;1,IF(INT(N$6/$X17)&gt;0,$Z17-$AA17,0),-$AA17)</f>
        <v>0</v>
      </c>
      <c r="O18" s="603">
        <f>IF(INT(O$6/$X17)*$X$7&gt;O16*($X$7+$Z17)*$Y17,O16*($X$7+$Z17)-SUM($B18:N18),INT(O$6/$X17)*$X$7-O16*($X$7+$Z17)*($Y17-1)-SUM($B18:N18))+IF($Y17&gt;1,IF(INT(O$6/$X17)&gt;0,$Z17-$AA17,0),-$AA17)</f>
        <v>0</v>
      </c>
      <c r="P18" s="603">
        <f>IF(INT(P$6/$X17)*$X$7&gt;P16*($X$7+$Z17)*$Y17,P16*($X$7+$Z17)-SUM($B18:O18),INT(P$6/$X17)*$X$7-P16*($X$7+$Z17)*($Y17-1)-SUM($B18:O18))+IF($Y17&gt;1,IF(INT(P$6/$X17)&gt;0,$Z17-$AA17,0),-$AA17)</f>
        <v>1</v>
      </c>
      <c r="Q18" s="603">
        <f>IF(INT(Q$6/$X17)*$X$7&gt;Q16*($X$7+$Z17)*$Y17,Q16*($X$7+$Z17)-SUM($B18:P18),INT(Q$6/$X17)*$X$7-Q16*($X$7+$Z17)*($Y17-1)-SUM($B18:P18))+IF($Y17&gt;1,IF(INT(Q$6/$X17)&gt;0,$Z17-$AA17,0),-$AA17)</f>
        <v>2</v>
      </c>
      <c r="R18" s="603">
        <f>IF(INT(R$6/$X17)*$X$7&gt;R16*($X$7+$Z17)*$Y17,R16*($X$7+$Z17)-SUM($B18:Q18),INT(R$6/$X17)*$X$7-R16*($X$7+$Z17)*($Y17-1)-SUM($B18:Q18))+IF($Y17&gt;1,IF(INT(R$6/$X17)&gt;0,$Z17-$AA17,0),-$AA17)</f>
        <v>0</v>
      </c>
      <c r="S18" s="603">
        <f>IF(INT(S$6/$X17)*$X$7&gt;S16*($X$7+$Z17)*$Y17,S16*($X$7+$Z17)-SUM($B18:R18),INT(S$6/$X17)*$X$7-S16*($X$7+$Z17)*($Y17-1)-SUM($B18:R18))+IF($Y17&gt;1,IF(INT(S$6/$X17)&gt;0,$Z17-$AA17,0),-$AA17)</f>
        <v>0</v>
      </c>
      <c r="T18" s="603">
        <f>IF(INT(T$6/$X17)*$X$7&gt;T16*($X$7+$Z17)*$Y17,T16*($X$7+$Z17)-SUM($B18:S18),INT(T$6/$X17)*$X$7-T16*($X$7+$Z17)*($Y17-1)-SUM($B18:S18))+IF($Y17&gt;1,IF(INT(T$6/$X17)&gt;0,$Z17-$AA17,0),-$AA17)</f>
        <v>0</v>
      </c>
      <c r="U18" s="603">
        <f>IF(INT(U$6/$X17)*$X$7&gt;U16*($X$7+$Z17)*$Y17,U16*($X$7+$Z17)-SUM($B18:T18),INT(U$6/$X17)*$X$7-U16*($X$7+$Z17)*($Y17-1)-SUM($B18:T18))+IF($Y17&gt;1,IF(INT(U$6/$X17)&gt;0,$Z17-$AA17,0),-$AA17)</f>
        <v>0</v>
      </c>
      <c r="V18" s="603">
        <f>IF(INT(V$6/$X17)*$X$7&gt;V16*($X$7+$Z17)*$Y17,V16*($X$7+$Z17)-SUM($B18:U18),INT(V$6/$X17)*$X$7-V16*($X$7+$Z17)*($Y17-1)-SUM($B18:U18))+IF($Y17&gt;1,IF(INT(V$6/$X17)&gt;0,$Z17-$AA17,0),-$AA17)</f>
        <v>0</v>
      </c>
      <c r="W18" s="681"/>
    </row>
    <row r="19" spans="1:28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681" t="s">
        <v>278</v>
      </c>
      <c r="X19" t="s">
        <v>278</v>
      </c>
    </row>
    <row r="20" spans="1:28" hidden="1">
      <c r="A20" s="140" t="s">
        <v>934</v>
      </c>
      <c r="B20" s="603"/>
      <c r="C20" s="140">
        <f t="shared" ref="C20:V20" si="8">INT((INT(C$6/$X21)*$X$7+$X$7+$Z21-1)/($X$7+$Z21)/$Y21)</f>
        <v>0</v>
      </c>
      <c r="D20" s="140">
        <f t="shared" si="8"/>
        <v>0</v>
      </c>
      <c r="E20" s="140">
        <f t="shared" si="8"/>
        <v>0</v>
      </c>
      <c r="F20" s="140">
        <f t="shared" si="8"/>
        <v>0</v>
      </c>
      <c r="G20" s="140">
        <f t="shared" si="8"/>
        <v>0</v>
      </c>
      <c r="H20" s="140">
        <f t="shared" si="8"/>
        <v>0</v>
      </c>
      <c r="I20" s="140">
        <f t="shared" si="8"/>
        <v>1</v>
      </c>
      <c r="J20" s="140">
        <f t="shared" si="8"/>
        <v>1</v>
      </c>
      <c r="K20" s="140">
        <f t="shared" si="8"/>
        <v>1</v>
      </c>
      <c r="L20" s="140">
        <f t="shared" si="8"/>
        <v>1</v>
      </c>
      <c r="M20" s="140">
        <f t="shared" si="8"/>
        <v>1</v>
      </c>
      <c r="N20" s="140">
        <f t="shared" si="8"/>
        <v>1</v>
      </c>
      <c r="O20" s="140">
        <f t="shared" si="8"/>
        <v>1</v>
      </c>
      <c r="P20" s="140">
        <f t="shared" si="8"/>
        <v>2</v>
      </c>
      <c r="Q20" s="140">
        <f t="shared" si="8"/>
        <v>2</v>
      </c>
      <c r="R20" s="140">
        <f t="shared" si="8"/>
        <v>2</v>
      </c>
      <c r="S20" s="140">
        <f t="shared" si="8"/>
        <v>2</v>
      </c>
      <c r="T20" s="140">
        <f t="shared" si="8"/>
        <v>2</v>
      </c>
      <c r="U20" s="140">
        <f t="shared" si="8"/>
        <v>2</v>
      </c>
      <c r="V20" s="140">
        <f t="shared" si="8"/>
        <v>2</v>
      </c>
    </row>
    <row r="21" spans="1:28">
      <c r="A21" s="140" t="s">
        <v>935</v>
      </c>
      <c r="B21" s="603" t="s">
        <v>278</v>
      </c>
      <c r="C21" s="603">
        <f>IF($Y21=1,0,$X$7*(INT(C$6/$X21)-INT(B$6/$X21))-IF(SUM($B21:B21)&gt;0,C22,0))</f>
        <v>2</v>
      </c>
      <c r="D21" s="603">
        <f>IF($Y21=1,0,$X$7*(INT(D$6/$X21)-INT(C$6/$X21))-IF(SUM($B21:C21)&gt;0,D22,0))</f>
        <v>2</v>
      </c>
      <c r="E21" s="603">
        <f>IF($Y21=1,0,$X$7*(INT(E$6/$X21)-INT(D$6/$X21))-IF(SUM($B21:D21)&gt;0,E22,0))</f>
        <v>2</v>
      </c>
      <c r="F21" s="603">
        <f>IF($Y21=1,0,$X$7*(INT(F$6/$X21)-INT(E$6/$X21))-IF(SUM($B21:E21)&gt;0,F22,0))</f>
        <v>2</v>
      </c>
      <c r="G21" s="603">
        <f>IF($Y21=1,0,$X$7*(INT(G$6/$X21)-INT(F$6/$X21))-IF(SUM($B21:F21)&gt;0,G22,0))</f>
        <v>2</v>
      </c>
      <c r="H21" s="603">
        <f>IF($Y21=1,0,$X$7*(INT(H$6/$X21)-INT(G$6/$X21))-IF(SUM($B21:G21)&gt;0,H22,0))</f>
        <v>2</v>
      </c>
      <c r="I21" s="603">
        <f>IF($Y21=1,0,$X$7*(INT(I$6/$X21)-INT(H$6/$X21))-IF(SUM($B21:H21)&gt;0,I22,0))</f>
        <v>0</v>
      </c>
      <c r="J21" s="603">
        <f>IF($Y21=1,0,$X$7*(INT(J$6/$X21)-INT(I$6/$X21))-IF(SUM($B21:I21)&gt;0,J22,0))</f>
        <v>1</v>
      </c>
      <c r="K21" s="603">
        <f>IF($Y21=1,0,$X$7*(INT(K$6/$X21)-INT(J$6/$X21))-IF(SUM($B21:J21)&gt;0,K22,0))</f>
        <v>2</v>
      </c>
      <c r="L21" s="603">
        <f>IF($Y21=1,0,$X$7*(INT(L$6/$X21)-INT(K$6/$X21))-IF(SUM($B21:K21)&gt;0,L22,0))</f>
        <v>2</v>
      </c>
      <c r="M21" s="603">
        <f>IF($Y21=1,0,$X$7*(INT(M$6/$X21)-INT(L$6/$X21))-IF(SUM($B21:L21)&gt;0,M22,0))</f>
        <v>2</v>
      </c>
      <c r="N21" s="603">
        <f>IF($Y21=1,0,$X$7*(INT(N$6/$X21)-INT(M$6/$X21))-IF(SUM($B21:M21)&gt;0,N22,0))</f>
        <v>2</v>
      </c>
      <c r="O21" s="603">
        <f>IF($Y21=1,0,$X$7*(INT(O$6/$X21)-INT(N$6/$X21))-IF(SUM($B21:N21)&gt;0,O22,0))</f>
        <v>2</v>
      </c>
      <c r="P21" s="603">
        <f>IF($Y21=1,0,$X$7*(INT(P$6/$X21)-INT(O$6/$X21))-IF(SUM($B21:O21)&gt;0,P22,0))</f>
        <v>1</v>
      </c>
      <c r="Q21" s="603">
        <f>IF($Y21=1,0,$X$7*(INT(Q$6/$X21)-INT(P$6/$X21))-IF(SUM($B21:P21)&gt;0,Q22,0))</f>
        <v>0</v>
      </c>
      <c r="R21" s="603">
        <f>IF($Y21=1,0,$X$7*(INT(R$6/$X21)-INT(Q$6/$X21))-IF(SUM($B21:Q21)&gt;0,R22,0))</f>
        <v>2</v>
      </c>
      <c r="S21" s="603">
        <f>IF($Y21=1,0,$X$7*(INT(S$6/$X21)-INT(R$6/$X21))-IF(SUM($B21:R21)&gt;0,S22,0))</f>
        <v>2</v>
      </c>
      <c r="T21" s="603">
        <f>IF($Y21=1,0,$X$7*(INT(T$6/$X21)-INT(S$6/$X21))-IF(SUM($B21:S21)&gt;0,T22,0))</f>
        <v>2</v>
      </c>
      <c r="U21" s="603">
        <f>IF($Y21=1,0,$X$7*(INT(U$6/$X21)-INT(T$6/$X21))-IF(SUM($B21:T21)&gt;0,U22,0))</f>
        <v>2</v>
      </c>
      <c r="V21" s="603">
        <f>IF($Y21=1,0,$X$7*(INT(V$6/$X21)-INT(U$6/$X21))-IF(SUM($B21:U21)&gt;0,V22,0))</f>
        <v>2</v>
      </c>
      <c r="W21" s="678" t="str">
        <f>'GT schd cost(7FA)'!A15</f>
        <v>Transition Pieces</v>
      </c>
      <c r="X21" s="678">
        <f>IF($AD$6=1,'GTDB(7FA)'!B18,'GTDB(7FA)'!G18)</f>
        <v>8000</v>
      </c>
      <c r="Y21" s="678">
        <f>IF($AD$6=1,'GTDB(7FA)'!C18,'GTDB(7FA)'!H18)</f>
        <v>5</v>
      </c>
      <c r="Z21" s="679">
        <v>1</v>
      </c>
      <c r="AA21" s="833">
        <f>'Initial_Spares(7FA)'!$E$12</f>
        <v>1</v>
      </c>
      <c r="AB21" s="642">
        <f>'GT schd cost(7FA)'!X15+'GT schd cost(7FA)'!X38</f>
        <v>14165.606</v>
      </c>
    </row>
    <row r="22" spans="1:28">
      <c r="A22" s="140" t="s">
        <v>936</v>
      </c>
      <c r="B22" s="603" t="s">
        <v>278</v>
      </c>
      <c r="C22" s="603">
        <f>IF(INT(C$6/$X21)*$X$7&gt;C20*($X$7+$Z21)*$Y21,C20*($X$7+$Z21)-SUM($B22:B22),INT(C$6/$X21)*$X$7-C20*($X$7+$Z21)*($Y21-1)-SUM($B22:B22))+IF($Y21&gt;1,IF(INT(C$6/$X21)&gt;0,$Z21-$AA21,0),-$AA21)</f>
        <v>0</v>
      </c>
      <c r="D22" s="603">
        <f>IF(INT(D$6/$X21)*$X$7&gt;D20*($X$7+$Z21)*$Y21,D20*($X$7+$Z21)-SUM($B22:C22),INT(D$6/$X21)*$X$7-D20*($X$7+$Z21)*($Y21-1)-SUM($B22:C22))+IF($Y21&gt;1,IF(INT(D$6/$X21)&gt;0,$Z21-$AA21,0),-$AA21)</f>
        <v>0</v>
      </c>
      <c r="E22" s="603">
        <f>IF(INT(E$6/$X21)*$X$7&gt;E20*($X$7+$Z21)*$Y21,E20*($X$7+$Z21)-SUM($B22:D22),INT(E$6/$X21)*$X$7-E20*($X$7+$Z21)*($Y21-1)-SUM($B22:D22))+IF($Y21&gt;1,IF(INT(E$6/$X21)&gt;0,$Z21-$AA21,0),-$AA21)</f>
        <v>0</v>
      </c>
      <c r="F22" s="603">
        <f>IF(INT(F$6/$X21)*$X$7&gt;F20*($X$7+$Z21)*$Y21,F20*($X$7+$Z21)-SUM($B22:E22),INT(F$6/$X21)*$X$7-F20*($X$7+$Z21)*($Y21-1)-SUM($B22:E22))+IF($Y21&gt;1,IF(INT(F$6/$X21)&gt;0,$Z21-$AA21,0),-$AA21)</f>
        <v>0</v>
      </c>
      <c r="G22" s="603">
        <f>IF(INT(G$6/$X21)*$X$7&gt;G20*($X$7+$Z21)*$Y21,G20*($X$7+$Z21)-SUM($B22:F22),INT(G$6/$X21)*$X$7-G20*($X$7+$Z21)*($Y21-1)-SUM($B22:F22))+IF($Y21&gt;1,IF(INT(G$6/$X21)&gt;0,$Z21-$AA21,0),-$AA21)</f>
        <v>0</v>
      </c>
      <c r="H22" s="603">
        <f>IF(INT(H$6/$X21)*$X$7&gt;H20*($X$7+$Z21)*$Y21,H20*($X$7+$Z21)-SUM($B22:G22),INT(H$6/$X21)*$X$7-H20*($X$7+$Z21)*($Y21-1)-SUM($B22:G22))+IF($Y21&gt;1,IF(INT(H$6/$X21)&gt;0,$Z21-$AA21,0),-$AA21)</f>
        <v>0</v>
      </c>
      <c r="I22" s="603">
        <f>IF(INT(I$6/$X21)*$X$7&gt;I20*($X$7+$Z21)*$Y21,I20*($X$7+$Z21)-SUM($B22:H22),INT(I$6/$X21)*$X$7-I20*($X$7+$Z21)*($Y21-1)-SUM($B22:H22))+IF($Y21&gt;1,IF(INT(I$6/$X21)&gt;0,$Z21-$AA21,0),-$AA21)</f>
        <v>2</v>
      </c>
      <c r="J22" s="603">
        <f>IF(INT(J$6/$X21)*$X$7&gt;J20*($X$7+$Z21)*$Y21,J20*($X$7+$Z21)-SUM($B22:I22),INT(J$6/$X21)*$X$7-J20*($X$7+$Z21)*($Y21-1)-SUM($B22:I22))+IF($Y21&gt;1,IF(INT(J$6/$X21)&gt;0,$Z21-$AA21,0),-$AA21)</f>
        <v>1</v>
      </c>
      <c r="K22" s="603">
        <f>IF(INT(K$6/$X21)*$X$7&gt;K20*($X$7+$Z21)*$Y21,K20*($X$7+$Z21)-SUM($B22:J22),INT(K$6/$X21)*$X$7-K20*($X$7+$Z21)*($Y21-1)-SUM($B22:J22))+IF($Y21&gt;1,IF(INT(K$6/$X21)&gt;0,$Z21-$AA21,0),-$AA21)</f>
        <v>0</v>
      </c>
      <c r="L22" s="603">
        <f>IF(INT(L$6/$X21)*$X$7&gt;L20*($X$7+$Z21)*$Y21,L20*($X$7+$Z21)-SUM($B22:K22),INT(L$6/$X21)*$X$7-L20*($X$7+$Z21)*($Y21-1)-SUM($B22:K22))+IF($Y21&gt;1,IF(INT(L$6/$X21)&gt;0,$Z21-$AA21,0),-$AA21)</f>
        <v>0</v>
      </c>
      <c r="M22" s="603">
        <f>IF(INT(M$6/$X21)*$X$7&gt;M20*($X$7+$Z21)*$Y21,M20*($X$7+$Z21)-SUM($B22:L22),INT(M$6/$X21)*$X$7-M20*($X$7+$Z21)*($Y21-1)-SUM($B22:L22))+IF($Y21&gt;1,IF(INT(M$6/$X21)&gt;0,$Z21-$AA21,0),-$AA21)</f>
        <v>0</v>
      </c>
      <c r="N22" s="603">
        <f>IF(INT(N$6/$X21)*$X$7&gt;N20*($X$7+$Z21)*$Y21,N20*($X$7+$Z21)-SUM($B22:M22),INT(N$6/$X21)*$X$7-N20*($X$7+$Z21)*($Y21-1)-SUM($B22:M22))+IF($Y21&gt;1,IF(INT(N$6/$X21)&gt;0,$Z21-$AA21,0),-$AA21)</f>
        <v>0</v>
      </c>
      <c r="O22" s="603">
        <f>IF(INT(O$6/$X21)*$X$7&gt;O20*($X$7+$Z21)*$Y21,O20*($X$7+$Z21)-SUM($B22:N22),INT(O$6/$X21)*$X$7-O20*($X$7+$Z21)*($Y21-1)-SUM($B22:N22))+IF($Y21&gt;1,IF(INT(O$6/$X21)&gt;0,$Z21-$AA21,0),-$AA21)</f>
        <v>0</v>
      </c>
      <c r="P22" s="603">
        <f>IF(INT(P$6/$X21)*$X$7&gt;P20*($X$7+$Z21)*$Y21,P20*($X$7+$Z21)-SUM($B22:O22),INT(P$6/$X21)*$X$7-P20*($X$7+$Z21)*($Y21-1)-SUM($B22:O22))+IF($Y21&gt;1,IF(INT(P$6/$X21)&gt;0,$Z21-$AA21,0),-$AA21)</f>
        <v>1</v>
      </c>
      <c r="Q22" s="603">
        <f>IF(INT(Q$6/$X21)*$X$7&gt;Q20*($X$7+$Z21)*$Y21,Q20*($X$7+$Z21)-SUM($B22:P22),INT(Q$6/$X21)*$X$7-Q20*($X$7+$Z21)*($Y21-1)-SUM($B22:P22))+IF($Y21&gt;1,IF(INT(Q$6/$X21)&gt;0,$Z21-$AA21,0),-$AA21)</f>
        <v>2</v>
      </c>
      <c r="R22" s="603">
        <f>IF(INT(R$6/$X21)*$X$7&gt;R20*($X$7+$Z21)*$Y21,R20*($X$7+$Z21)-SUM($B22:Q22),INT(R$6/$X21)*$X$7-R20*($X$7+$Z21)*($Y21-1)-SUM($B22:Q22))+IF($Y21&gt;1,IF(INT(R$6/$X21)&gt;0,$Z21-$AA21,0),-$AA21)</f>
        <v>0</v>
      </c>
      <c r="S22" s="603">
        <f>IF(INT(S$6/$X21)*$X$7&gt;S20*($X$7+$Z21)*$Y21,S20*($X$7+$Z21)-SUM($B22:R22),INT(S$6/$X21)*$X$7-S20*($X$7+$Z21)*($Y21-1)-SUM($B22:R22))+IF($Y21&gt;1,IF(INT(S$6/$X21)&gt;0,$Z21-$AA21,0),-$AA21)</f>
        <v>0</v>
      </c>
      <c r="T22" s="603">
        <f>IF(INT(T$6/$X21)*$X$7&gt;T20*($X$7+$Z21)*$Y21,T20*($X$7+$Z21)-SUM($B22:S22),INT(T$6/$X21)*$X$7-T20*($X$7+$Z21)*($Y21-1)-SUM($B22:S22))+IF($Y21&gt;1,IF(INT(T$6/$X21)&gt;0,$Z21-$AA21,0),-$AA21)</f>
        <v>0</v>
      </c>
      <c r="U22" s="603">
        <f>IF(INT(U$6/$X21)*$X$7&gt;U20*($X$7+$Z21)*$Y21,U20*($X$7+$Z21)-SUM($B22:T22),INT(U$6/$X21)*$X$7-U20*($X$7+$Z21)*($Y21-1)-SUM($B22:T22))+IF($Y21&gt;1,IF(INT(U$6/$X21)&gt;0,$Z21-$AA21,0),-$AA21)</f>
        <v>0</v>
      </c>
      <c r="V22" s="603">
        <f>IF(INT(V$6/$X21)*$X$7&gt;V20*($X$7+$Z21)*$Y21,V20*($X$7+$Z21)-SUM($B22:U22),INT(V$6/$X21)*$X$7-V20*($X$7+$Z21)*($Y21-1)-SUM($B22:U22))+IF($Y21&gt;1,IF(INT(V$6/$X21)&gt;0,$Z21-$AA21,0),-$AA21)</f>
        <v>0</v>
      </c>
      <c r="W22" s="681"/>
    </row>
    <row r="23" spans="1:28">
      <c r="W23" s="681"/>
    </row>
    <row r="24" spans="1:28" hidden="1">
      <c r="A24" s="140" t="s">
        <v>934</v>
      </c>
      <c r="B24" s="603"/>
      <c r="C24" s="140" t="e">
        <f t="shared" ref="C24:V24" si="9">INT((INT(C$6/$X25)*$X$7+$X$7+$Z25-1)/($X$7+$Z25)/$Y25)</f>
        <v>#REF!</v>
      </c>
      <c r="D24" s="140" t="e">
        <f t="shared" si="9"/>
        <v>#REF!</v>
      </c>
      <c r="E24" s="140" t="e">
        <f t="shared" si="9"/>
        <v>#REF!</v>
      </c>
      <c r="F24" s="140" t="e">
        <f t="shared" si="9"/>
        <v>#REF!</v>
      </c>
      <c r="G24" s="140" t="e">
        <f t="shared" si="9"/>
        <v>#REF!</v>
      </c>
      <c r="H24" s="140" t="e">
        <f t="shared" si="9"/>
        <v>#REF!</v>
      </c>
      <c r="I24" s="140" t="e">
        <f t="shared" si="9"/>
        <v>#REF!</v>
      </c>
      <c r="J24" s="140" t="e">
        <f t="shared" si="9"/>
        <v>#REF!</v>
      </c>
      <c r="K24" s="140" t="e">
        <f t="shared" si="9"/>
        <v>#REF!</v>
      </c>
      <c r="L24" s="140" t="e">
        <f t="shared" si="9"/>
        <v>#REF!</v>
      </c>
      <c r="M24" s="140" t="e">
        <f t="shared" si="9"/>
        <v>#REF!</v>
      </c>
      <c r="N24" s="140" t="e">
        <f t="shared" si="9"/>
        <v>#REF!</v>
      </c>
      <c r="O24" s="140" t="e">
        <f t="shared" si="9"/>
        <v>#REF!</v>
      </c>
      <c r="P24" s="140" t="e">
        <f t="shared" si="9"/>
        <v>#REF!</v>
      </c>
      <c r="Q24" s="140" t="e">
        <f t="shared" si="9"/>
        <v>#REF!</v>
      </c>
      <c r="R24" s="140" t="e">
        <f t="shared" si="9"/>
        <v>#REF!</v>
      </c>
      <c r="S24" s="140" t="e">
        <f t="shared" si="9"/>
        <v>#REF!</v>
      </c>
      <c r="T24" s="140" t="e">
        <f t="shared" si="9"/>
        <v>#REF!</v>
      </c>
      <c r="U24" s="140" t="e">
        <f t="shared" si="9"/>
        <v>#REF!</v>
      </c>
      <c r="V24" s="140" t="e">
        <f t="shared" si="9"/>
        <v>#REF!</v>
      </c>
    </row>
    <row r="25" spans="1:28" hidden="1">
      <c r="A25" s="140" t="s">
        <v>935</v>
      </c>
      <c r="B25" s="603" t="s">
        <v>278</v>
      </c>
      <c r="C25" s="603" t="e">
        <f>IF($Y25=1,0,$X$7*(INT(C$6/$X25)-INT(B$6/$X25))-IF(SUM($B25:B25)&gt;0,C26,0))</f>
        <v>#REF!</v>
      </c>
      <c r="D25" s="603" t="e">
        <f>IF($Y25=1,0,$X$7*(INT(D$6/$X25)-INT(C$6/$X25))-IF(SUM($B25:C25)&gt;0,D26,0))</f>
        <v>#REF!</v>
      </c>
      <c r="E25" s="603" t="e">
        <f>IF($Y25=1,0,$X$7*(INT(E$6/$X25)-INT(D$6/$X25))-IF(SUM($B25:D25)&gt;0,E26,0))</f>
        <v>#REF!</v>
      </c>
      <c r="F25" s="603" t="e">
        <f>IF($Y25=1,0,$X$7*(INT(F$6/$X25)-INT(E$6/$X25))-IF(SUM($B25:E25)&gt;0,F26,0))</f>
        <v>#REF!</v>
      </c>
      <c r="G25" s="603" t="e">
        <f>IF($Y25=1,0,$X$7*(INT(G$6/$X25)-INT(F$6/$X25))-IF(SUM($B25:F25)&gt;0,G26,0))</f>
        <v>#REF!</v>
      </c>
      <c r="H25" s="603" t="e">
        <f>IF($Y25=1,0,$X$7*(INT(H$6/$X25)-INT(G$6/$X25))-IF(SUM($B25:G25)&gt;0,H26,0))</f>
        <v>#REF!</v>
      </c>
      <c r="I25" s="603" t="e">
        <f>IF($Y25=1,0,$X$7*(INT(I$6/$X25)-INT(H$6/$X25))-IF(SUM($B25:H25)&gt;0,I26,0))</f>
        <v>#REF!</v>
      </c>
      <c r="J25" s="603" t="e">
        <f>IF($Y25=1,0,$X$7*(INT(J$6/$X25)-INT(I$6/$X25))-IF(SUM($B25:I25)&gt;0,J26,0))</f>
        <v>#REF!</v>
      </c>
      <c r="K25" s="603" t="e">
        <f>IF($Y25=1,0,$X$7*(INT(K$6/$X25)-INT(J$6/$X25))-IF(SUM($B25:J25)&gt;0,K26,0))</f>
        <v>#REF!</v>
      </c>
      <c r="L25" s="603" t="e">
        <f>IF($Y25=1,0,$X$7*(INT(L$6/$X25)-INT(K$6/$X25))-IF(SUM($B25:K25)&gt;0,L26,0))</f>
        <v>#REF!</v>
      </c>
      <c r="M25" s="603" t="e">
        <f>IF($Y25=1,0,$X$7*(INT(M$6/$X25)-INT(L$6/$X25))-IF(SUM($B25:L25)&gt;0,M26,0))</f>
        <v>#REF!</v>
      </c>
      <c r="N25" s="603" t="e">
        <f>IF($Y25=1,0,$X$7*(INT(N$6/$X25)-INT(M$6/$X25))-IF(SUM($B25:M25)&gt;0,N26,0))</f>
        <v>#REF!</v>
      </c>
      <c r="O25" s="603" t="e">
        <f>IF($Y25=1,0,$X$7*(INT(O$6/$X25)-INT(N$6/$X25))-IF(SUM($B25:N25)&gt;0,O26,0))</f>
        <v>#REF!</v>
      </c>
      <c r="P25" s="603" t="e">
        <f>IF($Y25=1,0,$X$7*(INT(P$6/$X25)-INT(O$6/$X25))-IF(SUM($B25:O25)&gt;0,P26,0))</f>
        <v>#REF!</v>
      </c>
      <c r="Q25" s="603" t="e">
        <f>IF($Y25=1,0,$X$7*(INT(Q$6/$X25)-INT(P$6/$X25))-IF(SUM($B25:P25)&gt;0,Q26,0))</f>
        <v>#REF!</v>
      </c>
      <c r="R25" s="603" t="e">
        <f>IF($Y25=1,0,$X$7*(INT(R$6/$X25)-INT(Q$6/$X25))-IF(SUM($B25:Q25)&gt;0,R26,0))</f>
        <v>#REF!</v>
      </c>
      <c r="S25" s="603" t="e">
        <f>IF($Y25=1,0,$X$7*(INT(S$6/$X25)-INT(R$6/$X25))-IF(SUM($B25:R25)&gt;0,S26,0))</f>
        <v>#REF!</v>
      </c>
      <c r="T25" s="603" t="e">
        <f>IF($Y25=1,0,$X$7*(INT(T$6/$X25)-INT(S$6/$X25))-IF(SUM($B25:S25)&gt;0,T26,0))</f>
        <v>#REF!</v>
      </c>
      <c r="U25" s="603" t="e">
        <f>IF($Y25=1,0,$X$7*(INT(U$6/$X25)-INT(T$6/$X25))-IF(SUM($B25:T25)&gt;0,U26,0))</f>
        <v>#REF!</v>
      </c>
      <c r="V25" s="603" t="e">
        <f>IF($Y25=1,0,$X$7*(INT(V$6/$X25)-INT(U$6/$X25))-IF(SUM($B25:U25)&gt;0,V26,0))</f>
        <v>#REF!</v>
      </c>
      <c r="W25" s="678" t="e">
        <f xml:space="preserve"> 'GT schd cost(7FA)'!#REF!</f>
        <v>#REF!</v>
      </c>
      <c r="X25" s="678" t="e">
        <f>IF($AD$6=1,'GTDB(7FA)'!#REF!,'GTDB(7FA)'!#REF!)</f>
        <v>#REF!</v>
      </c>
      <c r="Y25" s="678" t="e">
        <f>IF($AD$6=1,'GTDB(7FA)'!#REF!,'GTDB(7FA)'!#REF!)</f>
        <v>#REF!</v>
      </c>
      <c r="Z25" s="679">
        <v>2</v>
      </c>
      <c r="AA25" s="654">
        <v>0</v>
      </c>
      <c r="AB25" s="642" t="e">
        <f>'GT schd cost(7FA)'!#REF!+'GT schd cost(7FA)'!#REF!</f>
        <v>#REF!</v>
      </c>
    </row>
    <row r="26" spans="1:28" hidden="1">
      <c r="A26" s="140" t="s">
        <v>936</v>
      </c>
      <c r="B26" s="603" t="s">
        <v>278</v>
      </c>
      <c r="C26" s="603" t="e">
        <f>IF(INT(C$6/$X25)*$X$7&gt;C24*($X$7+$Z25)*$Y25,C24*($X$7+$Z25)-SUM($B26:B26),INT(C$6/$X25)*$X$7-C24*($X$7+$Z25)*($Y25-1)-SUM($B26:B26))+IF($Y25&gt;1,IF(INT(C$6/$X25)&gt;0,$Z25-$AA25,0),-$AA25)</f>
        <v>#REF!</v>
      </c>
      <c r="D26" s="603" t="e">
        <f>IF(INT(D$6/$X25)*$X$7&gt;D24*($X$7+$Z25)*$Y25,D24*($X$7+$Z25)-SUM($B26:C26),INT(D$6/$X25)*$X$7-D24*($X$7+$Z25)*($Y25-1)-SUM($B26:C26))+IF($Y25&gt;1,IF(INT(D$6/$X25)&gt;0,$Z25-$AA25,0),-$AA25)</f>
        <v>#REF!</v>
      </c>
      <c r="E26" s="603" t="e">
        <f>IF(INT(E$6/$X25)*$X$7&gt;E24*($X$7+$Z25)*$Y25,E24*($X$7+$Z25)-SUM($B26:D26),INT(E$6/$X25)*$X$7-E24*($X$7+$Z25)*($Y25-1)-SUM($B26:D26))+IF($Y25&gt;1,IF(INT(E$6/$X25)&gt;0,$Z25-$AA25,0),-$AA25)</f>
        <v>#REF!</v>
      </c>
      <c r="F26" s="603" t="e">
        <f>IF(INT(F$6/$X25)*$X$7&gt;F24*($X$7+$Z25)*$Y25,F24*($X$7+$Z25)-SUM($B26:E26),INT(F$6/$X25)*$X$7-F24*($X$7+$Z25)*($Y25-1)-SUM($B26:E26))+IF($Y25&gt;1,IF(INT(F$6/$X25)&gt;0,$Z25-$AA25,0),-$AA25)</f>
        <v>#REF!</v>
      </c>
      <c r="G26" s="603" t="e">
        <f>IF(INT(G$6/$X25)*$X$7&gt;G24*($X$7+$Z25)*$Y25,G24*($X$7+$Z25)-SUM($B26:F26),INT(G$6/$X25)*$X$7-G24*($X$7+$Z25)*($Y25-1)-SUM($B26:F26))+IF($Y25&gt;1,IF(INT(G$6/$X25)&gt;0,$Z25-$AA25,0),-$AA25)</f>
        <v>#REF!</v>
      </c>
      <c r="H26" s="603" t="e">
        <f>IF(INT(H$6/$X25)*$X$7&gt;H24*($X$7+$Z25)*$Y25,H24*($X$7+$Z25)-SUM($B26:G26),INT(H$6/$X25)*$X$7-H24*($X$7+$Z25)*($Y25-1)-SUM($B26:G26))+IF($Y25&gt;1,IF(INT(H$6/$X25)&gt;0,$Z25-$AA25,0),-$AA25)</f>
        <v>#REF!</v>
      </c>
      <c r="I26" s="603" t="e">
        <f>IF(INT(I$6/$X25)*$X$7&gt;I24*($X$7+$Z25)*$Y25,I24*($X$7+$Z25)-SUM($B26:H26),INT(I$6/$X25)*$X$7-I24*($X$7+$Z25)*($Y25-1)-SUM($B26:H26))+IF($Y25&gt;1,IF(INT(I$6/$X25)&gt;0,$Z25-$AA25,0),-$AA25)</f>
        <v>#REF!</v>
      </c>
      <c r="J26" s="603" t="e">
        <f>IF(INT(J$6/$X25)*$X$7&gt;J24*($X$7+$Z25)*$Y25,J24*($X$7+$Z25)-SUM($B26:I26),INT(J$6/$X25)*$X$7-J24*($X$7+$Z25)*($Y25-1)-SUM($B26:I26))+IF($Y25&gt;1,IF(INT(J$6/$X25)&gt;0,$Z25-$AA25,0),-$AA25)</f>
        <v>#REF!</v>
      </c>
      <c r="K26" s="603" t="e">
        <f>IF(INT(K$6/$X25)*$X$7&gt;K24*($X$7+$Z25)*$Y25,K24*($X$7+$Z25)-SUM($B26:J26),INT(K$6/$X25)*$X$7-K24*($X$7+$Z25)*($Y25-1)-SUM($B26:J26))+IF($Y25&gt;1,IF(INT(K$6/$X25)&gt;0,$Z25-$AA25,0),-$AA25)</f>
        <v>#REF!</v>
      </c>
      <c r="L26" s="603" t="e">
        <f>IF(INT(L$6/$X25)*$X$7&gt;L24*($X$7+$Z25)*$Y25,L24*($X$7+$Z25)-SUM($B26:K26),INT(L$6/$X25)*$X$7-L24*($X$7+$Z25)*($Y25-1)-SUM($B26:K26))+IF($Y25&gt;1,IF(INT(L$6/$X25)&gt;0,$Z25-$AA25,0),-$AA25)</f>
        <v>#REF!</v>
      </c>
      <c r="M26" s="603" t="e">
        <f>IF(INT(M$6/$X25)*$X$7&gt;M24*($X$7+$Z25)*$Y25,M24*($X$7+$Z25)-SUM($B26:L26),INT(M$6/$X25)*$X$7-M24*($X$7+$Z25)*($Y25-1)-SUM($B26:L26))+IF($Y25&gt;1,IF(INT(M$6/$X25)&gt;0,$Z25-$AA25,0),-$AA25)</f>
        <v>#REF!</v>
      </c>
      <c r="N26" s="603" t="e">
        <f>IF(INT(N$6/$X25)*$X$7&gt;N24*($X$7+$Z25)*$Y25,N24*($X$7+$Z25)-SUM($B26:M26),INT(N$6/$X25)*$X$7-N24*($X$7+$Z25)*($Y25-1)-SUM($B26:M26))+IF($Y25&gt;1,IF(INT(N$6/$X25)&gt;0,$Z25-$AA25,0),-$AA25)</f>
        <v>#REF!</v>
      </c>
      <c r="O26" s="603" t="e">
        <f>IF(INT(O$6/$X25)*$X$7&gt;O24*($X$7+$Z25)*$Y25,O24*($X$7+$Z25)-SUM($B26:N26),INT(O$6/$X25)*$X$7-O24*($X$7+$Z25)*($Y25-1)-SUM($B26:N26))+IF($Y25&gt;1,IF(INT(O$6/$X25)&gt;0,$Z25-$AA25,0),-$AA25)</f>
        <v>#REF!</v>
      </c>
      <c r="P26" s="603" t="e">
        <f>IF(INT(P$6/$X25)*$X$7&gt;P24*($X$7+$Z25)*$Y25,P24*($X$7+$Z25)-SUM($B26:O26),INT(P$6/$X25)*$X$7-P24*($X$7+$Z25)*($Y25-1)-SUM($B26:O26))+IF($Y25&gt;1,IF(INT(P$6/$X25)&gt;0,$Z25-$AA25,0),-$AA25)</f>
        <v>#REF!</v>
      </c>
      <c r="Q26" s="603" t="e">
        <f>IF(INT(Q$6/$X25)*$X$7&gt;Q24*($X$7+$Z25)*$Y25,Q24*($X$7+$Z25)-SUM($B26:P26),INT(Q$6/$X25)*$X$7-Q24*($X$7+$Z25)*($Y25-1)-SUM($B26:P26))+IF($Y25&gt;1,IF(INT(Q$6/$X25)&gt;0,$Z25-$AA25,0),-$AA25)</f>
        <v>#REF!</v>
      </c>
      <c r="R26" s="603" t="e">
        <f>IF(INT(R$6/$X25)*$X$7&gt;R24*($X$7+$Z25)*$Y25,R24*($X$7+$Z25)-SUM($B26:Q26),INT(R$6/$X25)*$X$7-R24*($X$7+$Z25)*($Y25-1)-SUM($B26:Q26))+IF($Y25&gt;1,IF(INT(R$6/$X25)&gt;0,$Z25-$AA25,0),-$AA25)</f>
        <v>#REF!</v>
      </c>
      <c r="S26" s="603" t="e">
        <f>IF(INT(S$6/$X25)*$X$7&gt;S24*($X$7+$Z25)*$Y25,S24*($X$7+$Z25)-SUM($B26:R26),INT(S$6/$X25)*$X$7-S24*($X$7+$Z25)*($Y25-1)-SUM($B26:R26))+IF($Y25&gt;1,IF(INT(S$6/$X25)&gt;0,$Z25-$AA25,0),-$AA25)</f>
        <v>#REF!</v>
      </c>
      <c r="T26" s="603" t="e">
        <f>IF(INT(T$6/$X25)*$X$7&gt;T24*($X$7+$Z25)*$Y25,T24*($X$7+$Z25)-SUM($B26:S26),INT(T$6/$X25)*$X$7-T24*($X$7+$Z25)*($Y25-1)-SUM($B26:S26))+IF($Y25&gt;1,IF(INT(T$6/$X25)&gt;0,$Z25-$AA25,0),-$AA25)</f>
        <v>#REF!</v>
      </c>
      <c r="U26" s="603" t="e">
        <f>IF(INT(U$6/$X25)*$X$7&gt;U24*($X$7+$Z25)*$Y25,U24*($X$7+$Z25)-SUM($B26:T26),INT(U$6/$X25)*$X$7-U24*($X$7+$Z25)*($Y25-1)-SUM($B26:T26))+IF($Y25&gt;1,IF(INT(U$6/$X25)&gt;0,$Z25-$AA25,0),-$AA25)</f>
        <v>#REF!</v>
      </c>
      <c r="V26" s="603" t="e">
        <f>IF(INT(V$6/$X25)*$X$7&gt;V24*($X$7+$Z25)*$Y25,V24*($X$7+$Z25)-SUM($B26:U26),INT(V$6/$X25)*$X$7-V24*($X$7+$Z25)*($Y25-1)-SUM($B26:U26))+IF($Y25&gt;1,IF(INT(V$6/$X25)&gt;0,$Z25-$AA25,0),-$AA25)</f>
        <v>#REF!</v>
      </c>
      <c r="W26" s="681"/>
    </row>
    <row r="27" spans="1:28" hidden="1">
      <c r="W27" s="681"/>
    </row>
    <row r="28" spans="1:28" hidden="1">
      <c r="A28" s="140" t="s">
        <v>934</v>
      </c>
      <c r="B28" s="603"/>
      <c r="C28" s="140">
        <f t="shared" ref="C28:V28" si="10">INT((INT(C$6/$X29)*$X$7+$X$7+$Z29-1)/($X$7+$Z29)/$Y29)</f>
        <v>0</v>
      </c>
      <c r="D28" s="140">
        <f t="shared" si="10"/>
        <v>0</v>
      </c>
      <c r="E28" s="140">
        <f t="shared" si="10"/>
        <v>0</v>
      </c>
      <c r="F28" s="140">
        <f t="shared" si="10"/>
        <v>1</v>
      </c>
      <c r="G28" s="140">
        <f t="shared" si="10"/>
        <v>1</v>
      </c>
      <c r="H28" s="140">
        <f t="shared" si="10"/>
        <v>1</v>
      </c>
      <c r="I28" s="140">
        <f t="shared" si="10"/>
        <v>1</v>
      </c>
      <c r="J28" s="140">
        <f t="shared" si="10"/>
        <v>2</v>
      </c>
      <c r="K28" s="140">
        <f t="shared" si="10"/>
        <v>2</v>
      </c>
      <c r="L28" s="140">
        <f t="shared" si="10"/>
        <v>2</v>
      </c>
      <c r="M28" s="140">
        <f t="shared" si="10"/>
        <v>2</v>
      </c>
      <c r="N28" s="140">
        <f t="shared" si="10"/>
        <v>2</v>
      </c>
      <c r="O28" s="140">
        <f t="shared" si="10"/>
        <v>3</v>
      </c>
      <c r="P28" s="140">
        <f t="shared" si="10"/>
        <v>3</v>
      </c>
      <c r="Q28" s="140">
        <f t="shared" si="10"/>
        <v>3</v>
      </c>
      <c r="R28" s="140">
        <f t="shared" si="10"/>
        <v>3</v>
      </c>
      <c r="S28" s="140">
        <f t="shared" si="10"/>
        <v>4</v>
      </c>
      <c r="T28" s="140">
        <f t="shared" si="10"/>
        <v>4</v>
      </c>
      <c r="U28" s="140">
        <f t="shared" si="10"/>
        <v>4</v>
      </c>
      <c r="V28" s="140">
        <f t="shared" si="10"/>
        <v>4</v>
      </c>
    </row>
    <row r="29" spans="1:28">
      <c r="A29" s="140" t="s">
        <v>935</v>
      </c>
      <c r="B29" s="603" t="s">
        <v>278</v>
      </c>
      <c r="C29" s="603">
        <f>IF($Y29=1,0,$X$7*(INT(C$6/$X29)-INT(B$6/$X29))-IF(SUM($B29:B29)&gt;0,C30,0))</f>
        <v>2</v>
      </c>
      <c r="D29" s="603">
        <f>IF($Y29=1,0,$X$7*(INT(D$6/$X29)-INT(C$6/$X29))-IF(SUM($B29:C29)&gt;0,D30,0))</f>
        <v>2</v>
      </c>
      <c r="E29" s="603">
        <f>IF($Y29=1,0,$X$7*(INT(E$6/$X29)-INT(D$6/$X29))-IF(SUM($B29:D29)&gt;0,E30,0))</f>
        <v>2</v>
      </c>
      <c r="F29" s="603">
        <f>IF($Y29=1,0,$X$7*(INT(F$6/$X29)-INT(E$6/$X29))-IF(SUM($B29:E29)&gt;0,F30,0))</f>
        <v>0</v>
      </c>
      <c r="G29" s="603">
        <f>IF($Y29=1,0,$X$7*(INT(G$6/$X29)-INT(F$6/$X29))-IF(SUM($B29:F29)&gt;0,G30,0))</f>
        <v>1</v>
      </c>
      <c r="H29" s="603">
        <f>IF($Y29=1,0,$X$7*(INT(H$6/$X29)-INT(G$6/$X29))-IF(SUM($B29:G29)&gt;0,H30,0))</f>
        <v>2</v>
      </c>
      <c r="I29" s="603">
        <f>IF($Y29=1,0,$X$7*(INT(I$6/$X29)-INT(H$6/$X29))-IF(SUM($B29:H29)&gt;0,I30,0))</f>
        <v>2</v>
      </c>
      <c r="J29" s="603">
        <f>IF($Y29=1,0,$X$7*(INT(J$6/$X29)-INT(I$6/$X29))-IF(SUM($B29:I29)&gt;0,J30,0))</f>
        <v>1</v>
      </c>
      <c r="K29" s="603">
        <f>IF($Y29=1,0,$X$7*(INT(K$6/$X29)-INT(J$6/$X29))-IF(SUM($B29:J29)&gt;0,K30,0))</f>
        <v>0</v>
      </c>
      <c r="L29" s="603">
        <f>IF($Y29=1,0,$X$7*(INT(L$6/$X29)-INT(K$6/$X29))-IF(SUM($B29:K29)&gt;0,L30,0))</f>
        <v>2</v>
      </c>
      <c r="M29" s="603">
        <f>IF($Y29=1,0,$X$7*(INT(M$6/$X29)-INT(L$6/$X29))-IF(SUM($B29:L29)&gt;0,M30,0))</f>
        <v>2</v>
      </c>
      <c r="N29" s="603">
        <f>IF($Y29=1,0,$X$7*(INT(N$6/$X29)-INT(M$6/$X29))-IF(SUM($B29:M29)&gt;0,N30,0))</f>
        <v>2</v>
      </c>
      <c r="O29" s="603">
        <f>IF($Y29=1,0,$X$7*(INT(O$6/$X29)-INT(N$6/$X29))-IF(SUM($B29:N29)&gt;0,O30,0))</f>
        <v>0</v>
      </c>
      <c r="P29" s="603">
        <f>IF($Y29=1,0,$X$7*(INT(P$6/$X29)-INT(O$6/$X29))-IF(SUM($B29:O29)&gt;0,P30,0))</f>
        <v>1</v>
      </c>
      <c r="Q29" s="603">
        <f>IF($Y29=1,0,$X$7*(INT(Q$6/$X29)-INT(P$6/$X29))-IF(SUM($B29:P29)&gt;0,Q30,0))</f>
        <v>2</v>
      </c>
      <c r="R29" s="603">
        <f>IF($Y29=1,0,$X$7*(INT(R$6/$X29)-INT(Q$6/$X29))-IF(SUM($B29:Q29)&gt;0,R30,0))</f>
        <v>2</v>
      </c>
      <c r="S29" s="603">
        <f>IF($Y29=1,0,$X$7*(INT(S$6/$X29)-INT(R$6/$X29))-IF(SUM($B29:R29)&gt;0,S30,0))</f>
        <v>1</v>
      </c>
      <c r="T29" s="603">
        <f>IF($Y29=1,0,$X$7*(INT(T$6/$X29)-INT(S$6/$X29))-IF(SUM($B29:S29)&gt;0,T30,0))</f>
        <v>0</v>
      </c>
      <c r="U29" s="603">
        <f>IF($Y29=1,0,$X$7*(INT(U$6/$X29)-INT(T$6/$X29))-IF(SUM($B29:T29)&gt;0,U30,0))</f>
        <v>2</v>
      </c>
      <c r="V29" s="603">
        <f>IF($Y29=1,0,$X$7*(INT(V$6/$X29)-INT(U$6/$X29))-IF(SUM($B29:U29)&gt;0,V30,0))</f>
        <v>2</v>
      </c>
      <c r="W29" s="678" t="str">
        <f xml:space="preserve">  'GT schd cost(7FA)'!A16</f>
        <v>Fuel Nozzles</v>
      </c>
      <c r="X29" s="678">
        <f>IF($AD$6=1,'GTDB(7FA)'!B19,'GTDB(7FA)'!G19)</f>
        <v>8000</v>
      </c>
      <c r="Y29" s="678">
        <f>IF($AD$6=1,'GTDB(7FA)'!C19,'GTDB(7FA)'!H19)</f>
        <v>3</v>
      </c>
      <c r="Z29" s="679">
        <v>1</v>
      </c>
      <c r="AA29" s="834">
        <f>'Initial_Spares(7FA)'!$E$13</f>
        <v>1</v>
      </c>
      <c r="AB29" s="642">
        <f>'GT schd cost(7FA)'!X16+'GT schd cost(7FA)'!X39</f>
        <v>17616.716</v>
      </c>
    </row>
    <row r="30" spans="1:28">
      <c r="A30" s="140" t="s">
        <v>936</v>
      </c>
      <c r="B30" s="603" t="s">
        <v>278</v>
      </c>
      <c r="C30" s="603">
        <f>IF(INT(C$6/$X29)*$X$7&gt;C28*($X$7+$Z29)*$Y29,C28*($X$7+$Z29)-SUM($B30:B30),INT(C$6/$X29)*$X$7-C28*($X$7+$Z29)*($Y29-1)-SUM($B30:B30))+IF($Y29&gt;1,IF(INT(C$6/$X29)&gt;0,$Z29-$AA29,0),-$AA29)</f>
        <v>0</v>
      </c>
      <c r="D30" s="603">
        <f>IF(INT(D$6/$X29)*$X$7&gt;D28*($X$7+$Z29)*$Y29,D28*($X$7+$Z29)-SUM($B30:C30),INT(D$6/$X29)*$X$7-D28*($X$7+$Z29)*($Y29-1)-SUM($B30:C30))+IF($Y29&gt;1,IF(INT(D$6/$X29)&gt;0,$Z29-$AA29,0),-$AA29)</f>
        <v>0</v>
      </c>
      <c r="E30" s="603">
        <f>IF(INT(E$6/$X29)*$X$7&gt;E28*($X$7+$Z29)*$Y29,E28*($X$7+$Z29)-SUM($B30:D30),INT(E$6/$X29)*$X$7-E28*($X$7+$Z29)*($Y29-1)-SUM($B30:D30))+IF($Y29&gt;1,IF(INT(E$6/$X29)&gt;0,$Z29-$AA29,0),-$AA29)</f>
        <v>0</v>
      </c>
      <c r="F30" s="603">
        <f>IF(INT(F$6/$X29)*$X$7&gt;F28*($X$7+$Z29)*$Y29,F28*($X$7+$Z29)-SUM($B30:E30),INT(F$6/$X29)*$X$7-F28*($X$7+$Z29)*($Y29-1)-SUM($B30:E30))+IF($Y29&gt;1,IF(INT(F$6/$X29)&gt;0,$Z29-$AA29,0),-$AA29)</f>
        <v>2</v>
      </c>
      <c r="G30" s="603">
        <f>IF(INT(G$6/$X29)*$X$7&gt;G28*($X$7+$Z29)*$Y29,G28*($X$7+$Z29)-SUM($B30:F30),INT(G$6/$X29)*$X$7-G28*($X$7+$Z29)*($Y29-1)-SUM($B30:F30))+IF($Y29&gt;1,IF(INT(G$6/$X29)&gt;0,$Z29-$AA29,0),-$AA29)</f>
        <v>1</v>
      </c>
      <c r="H30" s="603">
        <f>IF(INT(H$6/$X29)*$X$7&gt;H28*($X$7+$Z29)*$Y29,H28*($X$7+$Z29)-SUM($B30:G30),INT(H$6/$X29)*$X$7-H28*($X$7+$Z29)*($Y29-1)-SUM($B30:G30))+IF($Y29&gt;1,IF(INT(H$6/$X29)&gt;0,$Z29-$AA29,0),-$AA29)</f>
        <v>0</v>
      </c>
      <c r="I30" s="603">
        <f>IF(INT(I$6/$X29)*$X$7&gt;I28*($X$7+$Z29)*$Y29,I28*($X$7+$Z29)-SUM($B30:H30),INT(I$6/$X29)*$X$7-I28*($X$7+$Z29)*($Y29-1)-SUM($B30:H30))+IF($Y29&gt;1,IF(INT(I$6/$X29)&gt;0,$Z29-$AA29,0),-$AA29)</f>
        <v>0</v>
      </c>
      <c r="J30" s="603">
        <f>IF(INT(J$6/$X29)*$X$7&gt;J28*($X$7+$Z29)*$Y29,J28*($X$7+$Z29)-SUM($B30:I30),INT(J$6/$X29)*$X$7-J28*($X$7+$Z29)*($Y29-1)-SUM($B30:I30))+IF($Y29&gt;1,IF(INT(J$6/$X29)&gt;0,$Z29-$AA29,0),-$AA29)</f>
        <v>1</v>
      </c>
      <c r="K30" s="603">
        <f>IF(INT(K$6/$X29)*$X$7&gt;K28*($X$7+$Z29)*$Y29,K28*($X$7+$Z29)-SUM($B30:J30),INT(K$6/$X29)*$X$7-K28*($X$7+$Z29)*($Y29-1)-SUM($B30:J30))+IF($Y29&gt;1,IF(INT(K$6/$X29)&gt;0,$Z29-$AA29,0),-$AA29)</f>
        <v>2</v>
      </c>
      <c r="L30" s="603">
        <f>IF(INT(L$6/$X29)*$X$7&gt;L28*($X$7+$Z29)*$Y29,L28*($X$7+$Z29)-SUM($B30:K30),INT(L$6/$X29)*$X$7-L28*($X$7+$Z29)*($Y29-1)-SUM($B30:K30))+IF($Y29&gt;1,IF(INT(L$6/$X29)&gt;0,$Z29-$AA29,0),-$AA29)</f>
        <v>0</v>
      </c>
      <c r="M30" s="603">
        <f>IF(INT(M$6/$X29)*$X$7&gt;M28*($X$7+$Z29)*$Y29,M28*($X$7+$Z29)-SUM($B30:L30),INT(M$6/$X29)*$X$7-M28*($X$7+$Z29)*($Y29-1)-SUM($B30:L30))+IF($Y29&gt;1,IF(INT(M$6/$X29)&gt;0,$Z29-$AA29,0),-$AA29)</f>
        <v>0</v>
      </c>
      <c r="N30" s="603">
        <f>IF(INT(N$6/$X29)*$X$7&gt;N28*($X$7+$Z29)*$Y29,N28*($X$7+$Z29)-SUM($B30:M30),INT(N$6/$X29)*$X$7-N28*($X$7+$Z29)*($Y29-1)-SUM($B30:M30))+IF($Y29&gt;1,IF(INT(N$6/$X29)&gt;0,$Z29-$AA29,0),-$AA29)</f>
        <v>0</v>
      </c>
      <c r="O30" s="603">
        <f>IF(INT(O$6/$X29)*$X$7&gt;O28*($X$7+$Z29)*$Y29,O28*($X$7+$Z29)-SUM($B30:N30),INT(O$6/$X29)*$X$7-O28*($X$7+$Z29)*($Y29-1)-SUM($B30:N30))+IF($Y29&gt;1,IF(INT(O$6/$X29)&gt;0,$Z29-$AA29,0),-$AA29)</f>
        <v>2</v>
      </c>
      <c r="P30" s="603">
        <f>IF(INT(P$6/$X29)*$X$7&gt;P28*($X$7+$Z29)*$Y29,P28*($X$7+$Z29)-SUM($B30:O30),INT(P$6/$X29)*$X$7-P28*($X$7+$Z29)*($Y29-1)-SUM($B30:O30))+IF($Y29&gt;1,IF(INT(P$6/$X29)&gt;0,$Z29-$AA29,0),-$AA29)</f>
        <v>1</v>
      </c>
      <c r="Q30" s="603">
        <f>IF(INT(Q$6/$X29)*$X$7&gt;Q28*($X$7+$Z29)*$Y29,Q28*($X$7+$Z29)-SUM($B30:P30),INT(Q$6/$X29)*$X$7-Q28*($X$7+$Z29)*($Y29-1)-SUM($B30:P30))+IF($Y29&gt;1,IF(INT(Q$6/$X29)&gt;0,$Z29-$AA29,0),-$AA29)</f>
        <v>0</v>
      </c>
      <c r="R30" s="603">
        <f>IF(INT(R$6/$X29)*$X$7&gt;R28*($X$7+$Z29)*$Y29,R28*($X$7+$Z29)-SUM($B30:Q30),INT(R$6/$X29)*$X$7-R28*($X$7+$Z29)*($Y29-1)-SUM($B30:Q30))+IF($Y29&gt;1,IF(INT(R$6/$X29)&gt;0,$Z29-$AA29,0),-$AA29)</f>
        <v>0</v>
      </c>
      <c r="S30" s="603">
        <f>IF(INT(S$6/$X29)*$X$7&gt;S28*($X$7+$Z29)*$Y29,S28*($X$7+$Z29)-SUM($B30:R30),INT(S$6/$X29)*$X$7-S28*($X$7+$Z29)*($Y29-1)-SUM($B30:R30))+IF($Y29&gt;1,IF(INT(S$6/$X29)&gt;0,$Z29-$AA29,0),-$AA29)</f>
        <v>1</v>
      </c>
      <c r="T30" s="603">
        <f>IF(INT(T$6/$X29)*$X$7&gt;T28*($X$7+$Z29)*$Y29,T28*($X$7+$Z29)-SUM($B30:S30),INT(T$6/$X29)*$X$7-T28*($X$7+$Z29)*($Y29-1)-SUM($B30:S30))+IF($Y29&gt;1,IF(INT(T$6/$X29)&gt;0,$Z29-$AA29,0),-$AA29)</f>
        <v>2</v>
      </c>
      <c r="U30" s="603">
        <f>IF(INT(U$6/$X29)*$X$7&gt;U28*($X$7+$Z29)*$Y29,U28*($X$7+$Z29)-SUM($B30:T30),INT(U$6/$X29)*$X$7-U28*($X$7+$Z29)*($Y29-1)-SUM($B30:T30))+IF($Y29&gt;1,IF(INT(U$6/$X29)&gt;0,$Z29-$AA29,0),-$AA29)</f>
        <v>0</v>
      </c>
      <c r="V30" s="603">
        <f>IF(INT(V$6/$X29)*$X$7&gt;V28*($X$7+$Z29)*$Y29,V28*($X$7+$Z29)-SUM($B30:U30),INT(V$6/$X29)*$X$7-V28*($X$7+$Z29)*($Y29-1)-SUM($B30:U30))+IF($Y29&gt;1,IF(INT(V$6/$X29)&gt;0,$Z29-$AA29,0),-$AA29)</f>
        <v>0</v>
      </c>
      <c r="W30" s="681"/>
    </row>
    <row r="31" spans="1:28">
      <c r="W31" s="670"/>
    </row>
    <row r="32" spans="1:28" ht="12.75" hidden="1" customHeight="1">
      <c r="A32" s="140" t="s">
        <v>934</v>
      </c>
      <c r="B32" s="603"/>
      <c r="C32" s="140">
        <f t="shared" ref="C32:V32" si="11">INT((INT(C$6/$X33)*$X$7+$X$7+$Z33-1)/($X$7+$Z33)/$Y33)</f>
        <v>0</v>
      </c>
      <c r="D32" s="140">
        <f t="shared" si="11"/>
        <v>0</v>
      </c>
      <c r="E32" s="140">
        <f t="shared" si="11"/>
        <v>0</v>
      </c>
      <c r="F32" s="140">
        <f t="shared" si="11"/>
        <v>0</v>
      </c>
      <c r="G32" s="140">
        <f t="shared" si="11"/>
        <v>0</v>
      </c>
      <c r="H32" s="140">
        <f t="shared" si="11"/>
        <v>1</v>
      </c>
      <c r="I32" s="140">
        <f t="shared" si="11"/>
        <v>1</v>
      </c>
      <c r="J32" s="140">
        <f t="shared" si="11"/>
        <v>1</v>
      </c>
      <c r="K32" s="140">
        <f t="shared" si="11"/>
        <v>1</v>
      </c>
      <c r="L32" s="140">
        <f t="shared" si="11"/>
        <v>1</v>
      </c>
      <c r="M32" s="140">
        <f t="shared" si="11"/>
        <v>1</v>
      </c>
      <c r="N32" s="140">
        <f t="shared" si="11"/>
        <v>1</v>
      </c>
      <c r="O32" s="140">
        <f t="shared" si="11"/>
        <v>1</v>
      </c>
      <c r="P32" s="140">
        <f t="shared" si="11"/>
        <v>1</v>
      </c>
      <c r="Q32" s="140">
        <f t="shared" si="11"/>
        <v>2</v>
      </c>
      <c r="R32" s="140">
        <f t="shared" si="11"/>
        <v>2</v>
      </c>
      <c r="S32" s="140">
        <f t="shared" si="11"/>
        <v>2</v>
      </c>
      <c r="T32" s="140">
        <f t="shared" si="11"/>
        <v>2</v>
      </c>
      <c r="U32" s="140">
        <f t="shared" si="11"/>
        <v>2</v>
      </c>
      <c r="V32" s="140">
        <f t="shared" si="11"/>
        <v>2</v>
      </c>
    </row>
    <row r="33" spans="1:28" s="102" customFormat="1" ht="13.5" customHeight="1">
      <c r="A33" s="140" t="s">
        <v>935</v>
      </c>
      <c r="B33" s="603" t="s">
        <v>278</v>
      </c>
      <c r="C33" s="603">
        <f>IF($Y33=1,0,$X$7*(INT(C$6/$X33)-INT(B$6/$X33))-IF(SUM($B33:B33)&gt;0,C34,0))</f>
        <v>0</v>
      </c>
      <c r="D33" s="603">
        <f>IF($Y33=1,0,$X$7*(INT(D$6/$X33)-INT(C$6/$X33))-IF(SUM($B33:C33)&gt;0,D34,0))</f>
        <v>0</v>
      </c>
      <c r="E33" s="603">
        <f>IF($Y33=1,0,$X$7*(INT(E$6/$X33)-INT(D$6/$X33))-IF(SUM($B33:D33)&gt;0,E34,0))</f>
        <v>2</v>
      </c>
      <c r="F33" s="603">
        <f>IF($Y33=1,0,$X$7*(INT(F$6/$X33)-INT(E$6/$X33))-IF(SUM($B33:E33)&gt;0,F34,0))</f>
        <v>0</v>
      </c>
      <c r="G33" s="603">
        <f>IF($Y33=1,0,$X$7*(INT(G$6/$X33)-INT(F$6/$X33))-IF(SUM($B33:F33)&gt;0,G34,0))</f>
        <v>0</v>
      </c>
      <c r="H33" s="603">
        <f>IF($Y33=1,0,$X$7*(INT(H$6/$X33)-INT(G$6/$X33))-IF(SUM($B33:G33)&gt;0,H34,0))</f>
        <v>1</v>
      </c>
      <c r="I33" s="603">
        <f>IF($Y33=1,0,$X$7*(INT(I$6/$X33)-INT(H$6/$X33))-IF(SUM($B33:H33)&gt;0,I34,0))</f>
        <v>0</v>
      </c>
      <c r="J33" s="603">
        <f>IF($Y33=1,0,$X$7*(INT(J$6/$X33)-INT(I$6/$X33))-IF(SUM($B33:I33)&gt;0,J34,0))</f>
        <v>0</v>
      </c>
      <c r="K33" s="603">
        <f>IF($Y33=1,0,$X$7*(INT(K$6/$X33)-INT(J$6/$X33))-IF(SUM($B33:J33)&gt;0,K34,0))</f>
        <v>0</v>
      </c>
      <c r="L33" s="603">
        <f>IF($Y33=1,0,$X$7*(INT(L$6/$X33)-INT(K$6/$X33))-IF(SUM($B33:K33)&gt;0,L34,0))</f>
        <v>0</v>
      </c>
      <c r="M33" s="603">
        <f>IF($Y33=1,0,$X$7*(INT(M$6/$X33)-INT(L$6/$X33))-IF(SUM($B33:L33)&gt;0,M34,0))</f>
        <v>0</v>
      </c>
      <c r="N33" s="603">
        <f>IF($Y33=1,0,$X$7*(INT(N$6/$X33)-INT(M$6/$X33))-IF(SUM($B33:M33)&gt;0,N34,0))</f>
        <v>2</v>
      </c>
      <c r="O33" s="603">
        <f>IF($Y33=1,0,$X$7*(INT(O$6/$X33)-INT(N$6/$X33))-IF(SUM($B33:N33)&gt;0,O34,0))</f>
        <v>0</v>
      </c>
      <c r="P33" s="603">
        <f>IF($Y33=1,0,$X$7*(INT(P$6/$X33)-INT(O$6/$X33))-IF(SUM($B33:O33)&gt;0,P34,0))</f>
        <v>0</v>
      </c>
      <c r="Q33" s="603">
        <f>IF($Y33=1,0,$X$7*(INT(Q$6/$X33)-INT(P$6/$X33))-IF(SUM($B33:P33)&gt;0,Q34,0))</f>
        <v>1</v>
      </c>
      <c r="R33" s="603">
        <f>IF($Y33=1,0,$X$7*(INT(R$6/$X33)-INT(Q$6/$X33))-IF(SUM($B33:Q33)&gt;0,R34,0))</f>
        <v>0</v>
      </c>
      <c r="S33" s="603">
        <f>IF($Y33=1,0,$X$7*(INT(S$6/$X33)-INT(R$6/$X33))-IF(SUM($B33:R33)&gt;0,S34,0))</f>
        <v>0</v>
      </c>
      <c r="T33" s="603">
        <f>IF($Y33=1,0,$X$7*(INT(T$6/$X33)-INT(S$6/$X33))-IF(SUM($B33:S33)&gt;0,T34,0))</f>
        <v>0</v>
      </c>
      <c r="U33" s="603">
        <f>IF($Y33=1,0,$X$7*(INT(U$6/$X33)-INT(T$6/$X33))-IF(SUM($B33:T33)&gt;0,U34,0))</f>
        <v>0</v>
      </c>
      <c r="V33" s="603">
        <f>IF($Y33=1,0,$X$7*(INT(V$6/$X33)-INT(U$6/$X33))-IF(SUM($B33:U33)&gt;0,V34,0))</f>
        <v>0</v>
      </c>
      <c r="W33" s="678" t="str">
        <f xml:space="preserve"> 'GT schd cost(7FA)'!A17</f>
        <v>Stage 1 Nozzles</v>
      </c>
      <c r="X33" s="678">
        <f>IF($AD$6=1,'GTDB(7FA)'!B20,'GTDB(7FA)'!G20)</f>
        <v>24000</v>
      </c>
      <c r="Y33" s="678">
        <f>IF($AD$6=1,'GTDB(7FA)'!C20,'GTDB(7FA)'!H20)</f>
        <v>2</v>
      </c>
      <c r="Z33" s="679">
        <v>1</v>
      </c>
      <c r="AA33" s="834">
        <f>'Initial_Spares(7FA)'!$E$14</f>
        <v>1</v>
      </c>
      <c r="AB33" s="642">
        <f>'GT schd cost(7FA)'!X17+'GT schd cost(7FA)'!X40</f>
        <v>12033.564</v>
      </c>
    </row>
    <row r="34" spans="1:28" s="102" customFormat="1">
      <c r="A34" s="140" t="s">
        <v>936</v>
      </c>
      <c r="B34" s="603" t="s">
        <v>278</v>
      </c>
      <c r="C34" s="603">
        <f>IF(INT(C$6/$X33)*$X$7&gt;C32*($X$7+$Z33)*$Y33,C32*($X$7+$Z33)-SUM($B34:B34),INT(C$6/$X33)*$X$7-C32*($X$7+$Z33)*($Y33-1)-SUM($B34:B34))+IF($Y33&gt;1,IF(INT(C$6/$X33)&gt;0,$Z33-$AA33,0),-$AA33)</f>
        <v>0</v>
      </c>
      <c r="D34" s="603">
        <f>IF(INT(D$6/$X33)*$X$7&gt;D32*($X$7+$Z33)*$Y33,D32*($X$7+$Z33)-SUM($B34:C34),INT(D$6/$X33)*$X$7-D32*($X$7+$Z33)*($Y33-1)-SUM($B34:C34))+IF($Y33&gt;1,IF(INT(D$6/$X33)&gt;0,$Z33-$AA33,0),-$AA33)</f>
        <v>0</v>
      </c>
      <c r="E34" s="603">
        <f>IF(INT(E$6/$X33)*$X$7&gt;E32*($X$7+$Z33)*$Y33,E32*($X$7+$Z33)-SUM($B34:D34),INT(E$6/$X33)*$X$7-E32*($X$7+$Z33)*($Y33-1)-SUM($B34:D34))+IF($Y33&gt;1,IF(INT(E$6/$X33)&gt;0,$Z33-$AA33,0),-$AA33)</f>
        <v>0</v>
      </c>
      <c r="F34" s="603">
        <f>IF(INT(F$6/$X33)*$X$7&gt;F32*($X$7+$Z33)*$Y33,F32*($X$7+$Z33)-SUM($B34:E34),INT(F$6/$X33)*$X$7-F32*($X$7+$Z33)*($Y33-1)-SUM($B34:E34))+IF($Y33&gt;1,IF(INT(F$6/$X33)&gt;0,$Z33-$AA33,0),-$AA33)</f>
        <v>0</v>
      </c>
      <c r="G34" s="603">
        <f>IF(INT(G$6/$X33)*$X$7&gt;G32*($X$7+$Z33)*$Y33,G32*($X$7+$Z33)-SUM($B34:F34),INT(G$6/$X33)*$X$7-G32*($X$7+$Z33)*($Y33-1)-SUM($B34:F34))+IF($Y33&gt;1,IF(INT(G$6/$X33)&gt;0,$Z33-$AA33,0),-$AA33)</f>
        <v>0</v>
      </c>
      <c r="H34" s="603">
        <f>IF(INT(H$6/$X33)*$X$7&gt;H32*($X$7+$Z33)*$Y33,H32*($X$7+$Z33)-SUM($B34:G34),INT(H$6/$X33)*$X$7-H32*($X$7+$Z33)*($Y33-1)-SUM($B34:G34))+IF($Y33&gt;1,IF(INT(H$6/$X33)&gt;0,$Z33-$AA33,0),-$AA33)</f>
        <v>1</v>
      </c>
      <c r="I34" s="603">
        <f>IF(INT(I$6/$X33)*$X$7&gt;I32*($X$7+$Z33)*$Y33,I32*($X$7+$Z33)-SUM($B34:H34),INT(I$6/$X33)*$X$7-I32*($X$7+$Z33)*($Y33-1)-SUM($B34:H34))+IF($Y33&gt;1,IF(INT(I$6/$X33)&gt;0,$Z33-$AA33,0),-$AA33)</f>
        <v>0</v>
      </c>
      <c r="J34" s="603">
        <f>IF(INT(J$6/$X33)*$X$7&gt;J32*($X$7+$Z33)*$Y33,J32*($X$7+$Z33)-SUM($B34:I34),INT(J$6/$X33)*$X$7-J32*($X$7+$Z33)*($Y33-1)-SUM($B34:I34))+IF($Y33&gt;1,IF(INT(J$6/$X33)&gt;0,$Z33-$AA33,0),-$AA33)</f>
        <v>0</v>
      </c>
      <c r="K34" s="603">
        <f>IF(INT(K$6/$X33)*$X$7&gt;K32*($X$7+$Z33)*$Y33,K32*($X$7+$Z33)-SUM($B34:J34),INT(K$6/$X33)*$X$7-K32*($X$7+$Z33)*($Y33-1)-SUM($B34:J34))+IF($Y33&gt;1,IF(INT(K$6/$X33)&gt;0,$Z33-$AA33,0),-$AA33)</f>
        <v>2</v>
      </c>
      <c r="L34" s="603">
        <f>IF(INT(L$6/$X33)*$X$7&gt;L32*($X$7+$Z33)*$Y33,L32*($X$7+$Z33)-SUM($B34:K34),INT(L$6/$X33)*$X$7-L32*($X$7+$Z33)*($Y33-1)-SUM($B34:K34))+IF($Y33&gt;1,IF(INT(L$6/$X33)&gt;0,$Z33-$AA33,0),-$AA33)</f>
        <v>0</v>
      </c>
      <c r="M34" s="603">
        <f>IF(INT(M$6/$X33)*$X$7&gt;M32*($X$7+$Z33)*$Y33,M32*($X$7+$Z33)-SUM($B34:L34),INT(M$6/$X33)*$X$7-M32*($X$7+$Z33)*($Y33-1)-SUM($B34:L34))+IF($Y33&gt;1,IF(INT(M$6/$X33)&gt;0,$Z33-$AA33,0),-$AA33)</f>
        <v>0</v>
      </c>
      <c r="N34" s="603">
        <f>IF(INT(N$6/$X33)*$X$7&gt;N32*($X$7+$Z33)*$Y33,N32*($X$7+$Z33)-SUM($B34:M34),INT(N$6/$X33)*$X$7-N32*($X$7+$Z33)*($Y33-1)-SUM($B34:M34))+IF($Y33&gt;1,IF(INT(N$6/$X33)&gt;0,$Z33-$AA33,0),-$AA33)</f>
        <v>0</v>
      </c>
      <c r="O34" s="603">
        <f>IF(INT(O$6/$X33)*$X$7&gt;O32*($X$7+$Z33)*$Y33,O32*($X$7+$Z33)-SUM($B34:N34),INT(O$6/$X33)*$X$7-O32*($X$7+$Z33)*($Y33-1)-SUM($B34:N34))+IF($Y33&gt;1,IF(INT(O$6/$X33)&gt;0,$Z33-$AA33,0),-$AA33)</f>
        <v>0</v>
      </c>
      <c r="P34" s="603">
        <f>IF(INT(P$6/$X33)*$X$7&gt;P32*($X$7+$Z33)*$Y33,P32*($X$7+$Z33)-SUM($B34:O34),INT(P$6/$X33)*$X$7-P32*($X$7+$Z33)*($Y33-1)-SUM($B34:O34))+IF($Y33&gt;1,IF(INT(P$6/$X33)&gt;0,$Z33-$AA33,0),-$AA33)</f>
        <v>0</v>
      </c>
      <c r="Q34" s="603">
        <f>IF(INT(Q$6/$X33)*$X$7&gt;Q32*($X$7+$Z33)*$Y33,Q32*($X$7+$Z33)-SUM($B34:P34),INT(Q$6/$X33)*$X$7-Q32*($X$7+$Z33)*($Y33-1)-SUM($B34:P34))+IF($Y33&gt;1,IF(INT(Q$6/$X33)&gt;0,$Z33-$AA33,0),-$AA33)</f>
        <v>1</v>
      </c>
      <c r="R34" s="603">
        <f>IF(INT(R$6/$X33)*$X$7&gt;R32*($X$7+$Z33)*$Y33,R32*($X$7+$Z33)-SUM($B34:Q34),INT(R$6/$X33)*$X$7-R32*($X$7+$Z33)*($Y33-1)-SUM($B34:Q34))+IF($Y33&gt;1,IF(INT(R$6/$X33)&gt;0,$Z33-$AA33,0),-$AA33)</f>
        <v>0</v>
      </c>
      <c r="S34" s="603">
        <f>IF(INT(S$6/$X33)*$X$7&gt;S32*($X$7+$Z33)*$Y33,S32*($X$7+$Z33)-SUM($B34:R34),INT(S$6/$X33)*$X$7-S32*($X$7+$Z33)*($Y33-1)-SUM($B34:R34))+IF($Y33&gt;1,IF(INT(S$6/$X33)&gt;0,$Z33-$AA33,0),-$AA33)</f>
        <v>0</v>
      </c>
      <c r="T34" s="603">
        <f>IF(INT(T$6/$X33)*$X$7&gt;T32*($X$7+$Z33)*$Y33,T32*($X$7+$Z33)-SUM($B34:S34),INT(T$6/$X33)*$X$7-T32*($X$7+$Z33)*($Y33-1)-SUM($B34:S34))+IF($Y33&gt;1,IF(INT(T$6/$X33)&gt;0,$Z33-$AA33,0),-$AA33)</f>
        <v>2</v>
      </c>
      <c r="U34" s="603">
        <f>IF(INT(U$6/$X33)*$X$7&gt;U32*($X$7+$Z33)*$Y33,U32*($X$7+$Z33)-SUM($B34:T34),INT(U$6/$X33)*$X$7-U32*($X$7+$Z33)*($Y33-1)-SUM($B34:T34))+IF($Y33&gt;1,IF(INT(U$6/$X33)&gt;0,$Z33-$AA33,0),-$AA33)</f>
        <v>0</v>
      </c>
      <c r="V34" s="603">
        <f>IF(INT(V$6/$X33)*$X$7&gt;V32*($X$7+$Z33)*$Y33,V32*($X$7+$Z33)-SUM($B34:U34),INT(V$6/$X33)*$X$7-V32*($X$7+$Z33)*($Y33-1)-SUM($B34:U34))+IF($Y33&gt;1,IF(INT(V$6/$X33)&gt;0,$Z33-$AA33,0),-$AA33)</f>
        <v>0</v>
      </c>
      <c r="W34" s="681"/>
      <c r="X34"/>
      <c r="Y34"/>
      <c r="Z34"/>
    </row>
    <row r="35" spans="1:28" s="102" customFormat="1">
      <c r="W35" s="663"/>
    </row>
    <row r="36" spans="1:28" s="102" customFormat="1" hidden="1">
      <c r="A36" s="140" t="s">
        <v>934</v>
      </c>
      <c r="B36" s="603"/>
      <c r="C36" s="140">
        <f t="shared" ref="C36:V36" si="12">INT((INT(C$6/$X37)*$X$7+$X$7+$Z37-1)/($X$7+$Z37)/$Y37)</f>
        <v>0</v>
      </c>
      <c r="D36" s="140">
        <f t="shared" si="12"/>
        <v>0</v>
      </c>
      <c r="E36" s="140">
        <f t="shared" si="12"/>
        <v>0</v>
      </c>
      <c r="F36" s="140">
        <f t="shared" si="12"/>
        <v>0</v>
      </c>
      <c r="G36" s="140">
        <f t="shared" si="12"/>
        <v>0</v>
      </c>
      <c r="H36" s="140">
        <f t="shared" si="12"/>
        <v>0</v>
      </c>
      <c r="I36" s="140">
        <f t="shared" si="12"/>
        <v>0</v>
      </c>
      <c r="J36" s="140">
        <f t="shared" si="12"/>
        <v>0</v>
      </c>
      <c r="K36" s="140">
        <f t="shared" si="12"/>
        <v>0</v>
      </c>
      <c r="L36" s="140">
        <f t="shared" si="12"/>
        <v>0</v>
      </c>
      <c r="M36" s="140">
        <f t="shared" si="12"/>
        <v>0</v>
      </c>
      <c r="N36" s="140">
        <f t="shared" si="12"/>
        <v>1</v>
      </c>
      <c r="O36" s="140">
        <f t="shared" si="12"/>
        <v>1</v>
      </c>
      <c r="P36" s="140">
        <f t="shared" si="12"/>
        <v>1</v>
      </c>
      <c r="Q36" s="140">
        <f t="shared" si="12"/>
        <v>1</v>
      </c>
      <c r="R36" s="140">
        <f t="shared" si="12"/>
        <v>1</v>
      </c>
      <c r="S36" s="140">
        <f t="shared" si="12"/>
        <v>1</v>
      </c>
      <c r="T36" s="140">
        <f t="shared" si="12"/>
        <v>1</v>
      </c>
      <c r="U36" s="140">
        <f t="shared" si="12"/>
        <v>1</v>
      </c>
      <c r="V36" s="140">
        <f t="shared" si="12"/>
        <v>1</v>
      </c>
    </row>
    <row r="37" spans="1:28" s="102" customFormat="1">
      <c r="A37" s="140" t="s">
        <v>935</v>
      </c>
      <c r="B37" s="603" t="s">
        <v>278</v>
      </c>
      <c r="C37" s="603">
        <f>IF($Y37=1,0,$X$7*(INT(C$6/$X37)-INT(B$6/$X37))-IF(SUM($B37:B37)&gt;0,C38,0))</f>
        <v>0</v>
      </c>
      <c r="D37" s="603">
        <f>IF($Y37=1,0,$X$7*(INT(D$6/$X37)-INT(C$6/$X37))-IF(SUM($B37:C37)&gt;0,D38,0))</f>
        <v>0</v>
      </c>
      <c r="E37" s="603">
        <f>IF($Y37=1,0,$X$7*(INT(E$6/$X37)-INT(D$6/$X37))-IF(SUM($B37:D37)&gt;0,E38,0))</f>
        <v>2</v>
      </c>
      <c r="F37" s="603">
        <f>IF($Y37=1,0,$X$7*(INT(F$6/$X37)-INT(E$6/$X37))-IF(SUM($B37:E37)&gt;0,F38,0))</f>
        <v>0</v>
      </c>
      <c r="G37" s="603">
        <f>IF($Y37=1,0,$X$7*(INT(G$6/$X37)-INT(F$6/$X37))-IF(SUM($B37:F37)&gt;0,G38,0))</f>
        <v>0</v>
      </c>
      <c r="H37" s="603">
        <f>IF($Y37=1,0,$X$7*(INT(H$6/$X37)-INT(G$6/$X37))-IF(SUM($B37:G37)&gt;0,H38,0))</f>
        <v>2</v>
      </c>
      <c r="I37" s="603">
        <f>IF($Y37=1,0,$X$7*(INT(I$6/$X37)-INT(H$6/$X37))-IF(SUM($B37:H37)&gt;0,I38,0))</f>
        <v>0</v>
      </c>
      <c r="J37" s="603">
        <f>IF($Y37=1,0,$X$7*(INT(J$6/$X37)-INT(I$6/$X37))-IF(SUM($B37:I37)&gt;0,J38,0))</f>
        <v>0</v>
      </c>
      <c r="K37" s="603">
        <f>IF($Y37=1,0,$X$7*(INT(K$6/$X37)-INT(J$6/$X37))-IF(SUM($B37:J37)&gt;0,K38,0))</f>
        <v>2</v>
      </c>
      <c r="L37" s="603">
        <f>IF($Y37=1,0,$X$7*(INT(L$6/$X37)-INT(K$6/$X37))-IF(SUM($B37:K37)&gt;0,L38,0))</f>
        <v>0</v>
      </c>
      <c r="M37" s="603">
        <f>IF($Y37=1,0,$X$7*(INT(M$6/$X37)-INT(L$6/$X37))-IF(SUM($B37:L37)&gt;0,M38,0))</f>
        <v>0</v>
      </c>
      <c r="N37" s="603">
        <f>IF($Y37=1,0,$X$7*(INT(N$6/$X37)-INT(M$6/$X37))-IF(SUM($B37:M37)&gt;0,N38,0))</f>
        <v>0</v>
      </c>
      <c r="O37" s="603">
        <f>IF($Y37=1,0,$X$7*(INT(O$6/$X37)-INT(N$6/$X37))-IF(SUM($B37:N37)&gt;0,O38,0))</f>
        <v>0</v>
      </c>
      <c r="P37" s="603">
        <f>IF($Y37=1,0,$X$7*(INT(P$6/$X37)-INT(O$6/$X37))-IF(SUM($B37:O37)&gt;0,P38,0))</f>
        <v>0</v>
      </c>
      <c r="Q37" s="603">
        <f>IF($Y37=1,0,$X$7*(INT(Q$6/$X37)-INT(P$6/$X37))-IF(SUM($B37:P37)&gt;0,Q38,0))</f>
        <v>1</v>
      </c>
      <c r="R37" s="603">
        <f>IF($Y37=1,0,$X$7*(INT(R$6/$X37)-INT(Q$6/$X37))-IF(SUM($B37:Q37)&gt;0,R38,0))</f>
        <v>0</v>
      </c>
      <c r="S37" s="603">
        <f>IF($Y37=1,0,$X$7*(INT(S$6/$X37)-INT(R$6/$X37))-IF(SUM($B37:R37)&gt;0,S38,0))</f>
        <v>0</v>
      </c>
      <c r="T37" s="603">
        <f>IF($Y37=1,0,$X$7*(INT(T$6/$X37)-INT(S$6/$X37))-IF(SUM($B37:S37)&gt;0,T38,0))</f>
        <v>2</v>
      </c>
      <c r="U37" s="603">
        <f>IF($Y37=1,0,$X$7*(INT(U$6/$X37)-INT(T$6/$X37))-IF(SUM($B37:T37)&gt;0,U38,0))</f>
        <v>0</v>
      </c>
      <c r="V37" s="603">
        <f>IF($Y37=1,0,$X$7*(INT(V$6/$X37)-INT(U$6/$X37))-IF(SUM($B37:U37)&gt;0,V38,0))</f>
        <v>0</v>
      </c>
      <c r="W37" s="678" t="str">
        <f>'GT schd cost(7FA)'!A18</f>
        <v>Stage 2 Nozzles</v>
      </c>
      <c r="X37" s="678">
        <f>IF($AD$6=1,'GTDB(7FA)'!B21,'GTDB(7FA)'!G21)</f>
        <v>24000</v>
      </c>
      <c r="Y37" s="678">
        <f>IF($AD$6=1,'GTDB(7FA)'!C21,'GTDB(7FA)'!H21)</f>
        <v>3</v>
      </c>
      <c r="Z37" s="679">
        <v>1</v>
      </c>
      <c r="AA37" s="834">
        <f>'Initial_Spares(7FA)'!$E$15</f>
        <v>0</v>
      </c>
      <c r="AB37" s="642">
        <f>'GT schd cost(7FA)'!X18+'GT schd cost(7FA)'!X41</f>
        <v>8925.3680000000004</v>
      </c>
    </row>
    <row r="38" spans="1:28" s="102" customFormat="1">
      <c r="A38" s="140" t="s">
        <v>936</v>
      </c>
      <c r="B38" s="603" t="s">
        <v>278</v>
      </c>
      <c r="C38" s="603">
        <f>IF(INT(C$6/$X37)*$X$7&gt;C36*($X$7+$Z37)*$Y37,C36*($X$7+$Z37)-SUM($B38:B38),INT(C$6/$X37)*$X$7-C36*($X$7+$Z37)*($Y37-1)-SUM($B38:B38))+IF($Y37&gt;1,IF(INT(C$6/$X37)&gt;0,$Z37-$AA37,0),-$AA37)</f>
        <v>0</v>
      </c>
      <c r="D38" s="603">
        <f>IF(INT(D$6/$X37)*$X$7&gt;D36*($X$7+$Z37)*$Y37,D36*($X$7+$Z37)-SUM($B38:C38),INT(D$6/$X37)*$X$7-D36*($X$7+$Z37)*($Y37-1)-SUM($B38:C38))+IF($Y37&gt;1,IF(INT(D$6/$X37)&gt;0,$Z37-$AA37,0),-$AA37)</f>
        <v>0</v>
      </c>
      <c r="E38" s="603">
        <f>IF(INT(E$6/$X37)*$X$7&gt;E36*($X$7+$Z37)*$Y37,E36*($X$7+$Z37)-SUM($B38:D38),INT(E$6/$X37)*$X$7-E36*($X$7+$Z37)*($Y37-1)-SUM($B38:D38))+IF($Y37&gt;1,IF(INT(E$6/$X37)&gt;0,$Z37-$AA37,0),-$AA37)</f>
        <v>1</v>
      </c>
      <c r="F38" s="603">
        <f>IF(INT(F$6/$X37)*$X$7&gt;F36*($X$7+$Z37)*$Y37,F36*($X$7+$Z37)-SUM($B38:E38),INT(F$6/$X37)*$X$7-F36*($X$7+$Z37)*($Y37-1)-SUM($B38:E38))+IF($Y37&gt;1,IF(INT(F$6/$X37)&gt;0,$Z37-$AA37,0),-$AA37)</f>
        <v>0</v>
      </c>
      <c r="G38" s="603">
        <f>IF(INT(G$6/$X37)*$X$7&gt;G36*($X$7+$Z37)*$Y37,G36*($X$7+$Z37)-SUM($B38:F38),INT(G$6/$X37)*$X$7-G36*($X$7+$Z37)*($Y37-1)-SUM($B38:F38))+IF($Y37&gt;1,IF(INT(G$6/$X37)&gt;0,$Z37-$AA37,0),-$AA37)</f>
        <v>0</v>
      </c>
      <c r="H38" s="603">
        <f>IF(INT(H$6/$X37)*$X$7&gt;H36*($X$7+$Z37)*$Y37,H36*($X$7+$Z37)-SUM($B38:G38),INT(H$6/$X37)*$X$7-H36*($X$7+$Z37)*($Y37-1)-SUM($B38:G38))+IF($Y37&gt;1,IF(INT(H$6/$X37)&gt;0,$Z37-$AA37,0),-$AA37)</f>
        <v>0</v>
      </c>
      <c r="I38" s="603">
        <f>IF(INT(I$6/$X37)*$X$7&gt;I36*($X$7+$Z37)*$Y37,I36*($X$7+$Z37)-SUM($B38:H38),INT(I$6/$X37)*$X$7-I36*($X$7+$Z37)*($Y37-1)-SUM($B38:H38))+IF($Y37&gt;1,IF(INT(I$6/$X37)&gt;0,$Z37-$AA37,0),-$AA37)</f>
        <v>0</v>
      </c>
      <c r="J38" s="603">
        <f>IF(INT(J$6/$X37)*$X$7&gt;J36*($X$7+$Z37)*$Y37,J36*($X$7+$Z37)-SUM($B38:I38),INT(J$6/$X37)*$X$7-J36*($X$7+$Z37)*($Y37-1)-SUM($B38:I38))+IF($Y37&gt;1,IF(INT(J$6/$X37)&gt;0,$Z37-$AA37,0),-$AA37)</f>
        <v>0</v>
      </c>
      <c r="K38" s="603">
        <f>IF(INT(K$6/$X37)*$X$7&gt;K36*($X$7+$Z37)*$Y37,K36*($X$7+$Z37)-SUM($B38:J38),INT(K$6/$X37)*$X$7-K36*($X$7+$Z37)*($Y37-1)-SUM($B38:J38))+IF($Y37&gt;1,IF(INT(K$6/$X37)&gt;0,$Z37-$AA37,0),-$AA37)</f>
        <v>0</v>
      </c>
      <c r="L38" s="603">
        <f>IF(INT(L$6/$X37)*$X$7&gt;L36*($X$7+$Z37)*$Y37,L36*($X$7+$Z37)-SUM($B38:K38),INT(L$6/$X37)*$X$7-L36*($X$7+$Z37)*($Y37-1)-SUM($B38:K38))+IF($Y37&gt;1,IF(INT(L$6/$X37)&gt;0,$Z37-$AA37,0),-$AA37)</f>
        <v>0</v>
      </c>
      <c r="M38" s="603">
        <f>IF(INT(M$6/$X37)*$X$7&gt;M36*($X$7+$Z37)*$Y37,M36*($X$7+$Z37)-SUM($B38:L38),INT(M$6/$X37)*$X$7-M36*($X$7+$Z37)*($Y37-1)-SUM($B38:L38))+IF($Y37&gt;1,IF(INT(M$6/$X37)&gt;0,$Z37-$AA37,0),-$AA37)</f>
        <v>0</v>
      </c>
      <c r="N38" s="603">
        <f>IF(INT(N$6/$X37)*$X$7&gt;N36*($X$7+$Z37)*$Y37,N36*($X$7+$Z37)-SUM($B38:M38),INT(N$6/$X37)*$X$7-N36*($X$7+$Z37)*($Y37-1)-SUM($B38:M38))+IF($Y37&gt;1,IF(INT(N$6/$X37)&gt;0,$Z37-$AA37,0),-$AA37)</f>
        <v>2</v>
      </c>
      <c r="O38" s="603">
        <f>IF(INT(O$6/$X37)*$X$7&gt;O36*($X$7+$Z37)*$Y37,O36*($X$7+$Z37)-SUM($B38:N38),INT(O$6/$X37)*$X$7-O36*($X$7+$Z37)*($Y37-1)-SUM($B38:N38))+IF($Y37&gt;1,IF(INT(O$6/$X37)&gt;0,$Z37-$AA37,0),-$AA37)</f>
        <v>0</v>
      </c>
      <c r="P38" s="603">
        <f>IF(INT(P$6/$X37)*$X$7&gt;P36*($X$7+$Z37)*$Y37,P36*($X$7+$Z37)-SUM($B38:O38),INT(P$6/$X37)*$X$7-P36*($X$7+$Z37)*($Y37-1)-SUM($B38:O38))+IF($Y37&gt;1,IF(INT(P$6/$X37)&gt;0,$Z37-$AA37,0),-$AA37)</f>
        <v>0</v>
      </c>
      <c r="Q38" s="603">
        <f>IF(INT(Q$6/$X37)*$X$7&gt;Q36*($X$7+$Z37)*$Y37,Q36*($X$7+$Z37)-SUM($B38:P38),INT(Q$6/$X37)*$X$7-Q36*($X$7+$Z37)*($Y37-1)-SUM($B38:P38))+IF($Y37&gt;1,IF(INT(Q$6/$X37)&gt;0,$Z37-$AA37,0),-$AA37)</f>
        <v>1</v>
      </c>
      <c r="R38" s="603">
        <f>IF(INT(R$6/$X37)*$X$7&gt;R36*($X$7+$Z37)*$Y37,R36*($X$7+$Z37)-SUM($B38:Q38),INT(R$6/$X37)*$X$7-R36*($X$7+$Z37)*($Y37-1)-SUM($B38:Q38))+IF($Y37&gt;1,IF(INT(R$6/$X37)&gt;0,$Z37-$AA37,0),-$AA37)</f>
        <v>0</v>
      </c>
      <c r="S38" s="603">
        <f>IF(INT(S$6/$X37)*$X$7&gt;S36*($X$7+$Z37)*$Y37,S36*($X$7+$Z37)-SUM($B38:R38),INT(S$6/$X37)*$X$7-S36*($X$7+$Z37)*($Y37-1)-SUM($B38:R38))+IF($Y37&gt;1,IF(INT(S$6/$X37)&gt;0,$Z37-$AA37,0),-$AA37)</f>
        <v>0</v>
      </c>
      <c r="T38" s="603">
        <f>IF(INT(T$6/$X37)*$X$7&gt;T36*($X$7+$Z37)*$Y37,T36*($X$7+$Z37)-SUM($B38:S38),INT(T$6/$X37)*$X$7-T36*($X$7+$Z37)*($Y37-1)-SUM($B38:S38))+IF($Y37&gt;1,IF(INT(T$6/$X37)&gt;0,$Z37-$AA37,0),-$AA37)</f>
        <v>0</v>
      </c>
      <c r="U38" s="603">
        <f>IF(INT(U$6/$X37)*$X$7&gt;U36*($X$7+$Z37)*$Y37,U36*($X$7+$Z37)-SUM($B38:T38),INT(U$6/$X37)*$X$7-U36*($X$7+$Z37)*($Y37-1)-SUM($B38:T38))+IF($Y37&gt;1,IF(INT(U$6/$X37)&gt;0,$Z37-$AA37,0),-$AA37)</f>
        <v>0</v>
      </c>
      <c r="V38" s="603">
        <f>IF(INT(V$6/$X37)*$X$7&gt;V36*($X$7+$Z37)*$Y37,V36*($X$7+$Z37)-SUM($B38:U38),INT(V$6/$X37)*$X$7-V36*($X$7+$Z37)*($Y37-1)-SUM($B38:U38))+IF($Y37&gt;1,IF(INT(V$6/$X37)&gt;0,$Z37-$AA37,0),-$AA37)</f>
        <v>0</v>
      </c>
      <c r="W38" s="681"/>
      <c r="X38"/>
      <c r="Y38"/>
      <c r="Z38"/>
    </row>
    <row r="39" spans="1:28" s="102" customFormat="1">
      <c r="B39" s="615"/>
      <c r="C39" s="615"/>
      <c r="D39" s="615"/>
      <c r="E39" s="615"/>
      <c r="F39" s="615"/>
      <c r="G39" s="615"/>
      <c r="H39" s="615"/>
      <c r="I39" s="682"/>
      <c r="J39" s="615"/>
      <c r="K39" s="615"/>
      <c r="W39" s="663"/>
    </row>
    <row r="40" spans="1:28" s="102" customFormat="1" hidden="1">
      <c r="A40" s="140" t="s">
        <v>934</v>
      </c>
      <c r="B40" s="603"/>
      <c r="C40" s="140">
        <f t="shared" ref="C40:V40" si="13">INT((INT(C$6/$X41)*$X$7+$X$7+$Z41-1)/($X$7+$Z41)/$Y41)</f>
        <v>0</v>
      </c>
      <c r="D40" s="140">
        <f t="shared" si="13"/>
        <v>0</v>
      </c>
      <c r="E40" s="140">
        <f t="shared" si="13"/>
        <v>0</v>
      </c>
      <c r="F40" s="140">
        <f t="shared" si="13"/>
        <v>0</v>
      </c>
      <c r="G40" s="140">
        <f t="shared" si="13"/>
        <v>0</v>
      </c>
      <c r="H40" s="140">
        <f t="shared" si="13"/>
        <v>0</v>
      </c>
      <c r="I40" s="140">
        <f t="shared" si="13"/>
        <v>0</v>
      </c>
      <c r="J40" s="140">
        <f t="shared" si="13"/>
        <v>0</v>
      </c>
      <c r="K40" s="140">
        <f t="shared" si="13"/>
        <v>0</v>
      </c>
      <c r="L40" s="140">
        <f t="shared" si="13"/>
        <v>0</v>
      </c>
      <c r="M40" s="140">
        <f t="shared" si="13"/>
        <v>0</v>
      </c>
      <c r="N40" s="140">
        <f t="shared" si="13"/>
        <v>1</v>
      </c>
      <c r="O40" s="140">
        <f t="shared" si="13"/>
        <v>1</v>
      </c>
      <c r="P40" s="140">
        <f t="shared" si="13"/>
        <v>1</v>
      </c>
      <c r="Q40" s="140">
        <f t="shared" si="13"/>
        <v>1</v>
      </c>
      <c r="R40" s="140">
        <f t="shared" si="13"/>
        <v>1</v>
      </c>
      <c r="S40" s="140">
        <f t="shared" si="13"/>
        <v>1</v>
      </c>
      <c r="T40" s="140">
        <f t="shared" si="13"/>
        <v>1</v>
      </c>
      <c r="U40" s="140">
        <f t="shared" si="13"/>
        <v>1</v>
      </c>
      <c r="V40" s="140">
        <f t="shared" si="13"/>
        <v>1</v>
      </c>
    </row>
    <row r="41" spans="1:28" s="102" customFormat="1">
      <c r="A41" s="140" t="s">
        <v>935</v>
      </c>
      <c r="B41" s="603" t="s">
        <v>278</v>
      </c>
      <c r="C41" s="603">
        <f>IF($Y41=1,0,$X$7*(INT(C$6/$X41)-INT(B$6/$X41))-IF(SUM($B41:B41)&gt;0,C42,0))</f>
        <v>0</v>
      </c>
      <c r="D41" s="603">
        <f>IF($Y41=1,0,$X$7*(INT(D$6/$X41)-INT(C$6/$X41))-IF(SUM($B41:C41)&gt;0,D42,0))</f>
        <v>0</v>
      </c>
      <c r="E41" s="603">
        <f>IF($Y41=1,0,$X$7*(INT(E$6/$X41)-INT(D$6/$X41))-IF(SUM($B41:D41)&gt;0,E42,0))</f>
        <v>2</v>
      </c>
      <c r="F41" s="603">
        <f>IF($Y41=1,0,$X$7*(INT(F$6/$X41)-INT(E$6/$X41))-IF(SUM($B41:E41)&gt;0,F42,0))</f>
        <v>0</v>
      </c>
      <c r="G41" s="603">
        <f>IF($Y41=1,0,$X$7*(INT(G$6/$X41)-INT(F$6/$X41))-IF(SUM($B41:F41)&gt;0,G42,0))</f>
        <v>0</v>
      </c>
      <c r="H41" s="603">
        <f>IF($Y41=1,0,$X$7*(INT(H$6/$X41)-INT(G$6/$X41))-IF(SUM($B41:G41)&gt;0,H42,0))</f>
        <v>2</v>
      </c>
      <c r="I41" s="603">
        <f>IF($Y41=1,0,$X$7*(INT(I$6/$X41)-INT(H$6/$X41))-IF(SUM($B41:H41)&gt;0,I42,0))</f>
        <v>0</v>
      </c>
      <c r="J41" s="603">
        <f>IF($Y41=1,0,$X$7*(INT(J$6/$X41)-INT(I$6/$X41))-IF(SUM($B41:I41)&gt;0,J42,0))</f>
        <v>0</v>
      </c>
      <c r="K41" s="603">
        <f>IF($Y41=1,0,$X$7*(INT(K$6/$X41)-INT(J$6/$X41))-IF(SUM($B41:J41)&gt;0,K42,0))</f>
        <v>2</v>
      </c>
      <c r="L41" s="603">
        <f>IF($Y41=1,0,$X$7*(INT(L$6/$X41)-INT(K$6/$X41))-IF(SUM($B41:K41)&gt;0,L42,0))</f>
        <v>0</v>
      </c>
      <c r="M41" s="603">
        <f>IF($Y41=1,0,$X$7*(INT(M$6/$X41)-INT(L$6/$X41))-IF(SUM($B41:L41)&gt;0,M42,0))</f>
        <v>0</v>
      </c>
      <c r="N41" s="603">
        <f>IF($Y41=1,0,$X$7*(INT(N$6/$X41)-INT(M$6/$X41))-IF(SUM($B41:M41)&gt;0,N42,0))</f>
        <v>0</v>
      </c>
      <c r="O41" s="603">
        <f>IF($Y41=1,0,$X$7*(INT(O$6/$X41)-INT(N$6/$X41))-IF(SUM($B41:N41)&gt;0,O42,0))</f>
        <v>0</v>
      </c>
      <c r="P41" s="603">
        <f>IF($Y41=1,0,$X$7*(INT(P$6/$X41)-INT(O$6/$X41))-IF(SUM($B41:O41)&gt;0,P42,0))</f>
        <v>0</v>
      </c>
      <c r="Q41" s="603">
        <f>IF($Y41=1,0,$X$7*(INT(Q$6/$X41)-INT(P$6/$X41))-IF(SUM($B41:P41)&gt;0,Q42,0))</f>
        <v>1</v>
      </c>
      <c r="R41" s="603">
        <f>IF($Y41=1,0,$X$7*(INT(R$6/$X41)-INT(Q$6/$X41))-IF(SUM($B41:Q41)&gt;0,R42,0))</f>
        <v>0</v>
      </c>
      <c r="S41" s="603">
        <f>IF($Y41=1,0,$X$7*(INT(S$6/$X41)-INT(R$6/$X41))-IF(SUM($B41:R41)&gt;0,S42,0))</f>
        <v>0</v>
      </c>
      <c r="T41" s="603">
        <f>IF($Y41=1,0,$X$7*(INT(T$6/$X41)-INT(S$6/$X41))-IF(SUM($B41:S41)&gt;0,T42,0))</f>
        <v>2</v>
      </c>
      <c r="U41" s="603">
        <f>IF($Y41=1,0,$X$7*(INT(U$6/$X41)-INT(T$6/$X41))-IF(SUM($B41:T41)&gt;0,U42,0))</f>
        <v>0</v>
      </c>
      <c r="V41" s="603">
        <f>IF($Y41=1,0,$X$7*(INT(V$6/$X41)-INT(U$6/$X41))-IF(SUM($B41:U41)&gt;0,V42,0))</f>
        <v>0</v>
      </c>
      <c r="W41" s="678" t="str">
        <f xml:space="preserve"> 'GT schd cost(7FA)'!A19</f>
        <v>Stage 3 Nozzles</v>
      </c>
      <c r="X41" s="678">
        <f>IF($AD$6=1,'GTDB(7FA)'!B22,'GTDB(7FA)'!G22)</f>
        <v>24000</v>
      </c>
      <c r="Y41" s="678">
        <f>IF($AD$6=1,'GTDB(7FA)'!C22,'GTDB(7FA)'!H22)</f>
        <v>3</v>
      </c>
      <c r="Z41" s="679">
        <v>1</v>
      </c>
      <c r="AA41" s="834">
        <f>'Initial_Spares(7FA)'!$E$16</f>
        <v>0</v>
      </c>
      <c r="AB41" s="642">
        <f>'GT schd cost(7FA)'!X19+'GT schd cost(7FA)'!X42</f>
        <v>7166.4719999999998</v>
      </c>
    </row>
    <row r="42" spans="1:28" s="102" customFormat="1">
      <c r="A42" s="140" t="s">
        <v>936</v>
      </c>
      <c r="B42" s="603" t="s">
        <v>278</v>
      </c>
      <c r="C42" s="603">
        <f>IF(INT(C$6/$X41)*$X$7&gt;C40*($X$7+$Z41)*$Y41,C40*($X$7+$Z41)-SUM($B42:B42),INT(C$6/$X41)*$X$7-C40*($X$7+$Z41)*($Y41-1)-SUM($B42:B42))+IF($Y41&gt;1,IF(INT(C$6/$X41)&gt;0,$Z41-$AA41,0),-$AA41)</f>
        <v>0</v>
      </c>
      <c r="D42" s="603">
        <f>IF(INT(D$6/$X41)*$X$7&gt;D40*($X$7+$Z41)*$Y41,D40*($X$7+$Z41)-SUM($B42:C42),INT(D$6/$X41)*$X$7-D40*($X$7+$Z41)*($Y41-1)-SUM($B42:C42))+IF($Y41&gt;1,IF(INT(D$6/$X41)&gt;0,$Z41-$AA41,0),-$AA41)</f>
        <v>0</v>
      </c>
      <c r="E42" s="603">
        <f>IF(INT(E$6/$X41)*$X$7&gt;E40*($X$7+$Z41)*$Y41,E40*($X$7+$Z41)-SUM($B42:D42),INT(E$6/$X41)*$X$7-E40*($X$7+$Z41)*($Y41-1)-SUM($B42:D42))+IF($Y41&gt;1,IF(INT(E$6/$X41)&gt;0,$Z41-$AA41,0),-$AA41)</f>
        <v>1</v>
      </c>
      <c r="F42" s="603">
        <f>IF(INT(F$6/$X41)*$X$7&gt;F40*($X$7+$Z41)*$Y41,F40*($X$7+$Z41)-SUM($B42:E42),INT(F$6/$X41)*$X$7-F40*($X$7+$Z41)*($Y41-1)-SUM($B42:E42))+IF($Y41&gt;1,IF(INT(F$6/$X41)&gt;0,$Z41-$AA41,0),-$AA41)</f>
        <v>0</v>
      </c>
      <c r="G42" s="603">
        <f>IF(INT(G$6/$X41)*$X$7&gt;G40*($X$7+$Z41)*$Y41,G40*($X$7+$Z41)-SUM($B42:F42),INT(G$6/$X41)*$X$7-G40*($X$7+$Z41)*($Y41-1)-SUM($B42:F42))+IF($Y41&gt;1,IF(INT(G$6/$X41)&gt;0,$Z41-$AA41,0),-$AA41)</f>
        <v>0</v>
      </c>
      <c r="H42" s="603">
        <f>IF(INT(H$6/$X41)*$X$7&gt;H40*($X$7+$Z41)*$Y41,H40*($X$7+$Z41)-SUM($B42:G42),INT(H$6/$X41)*$X$7-H40*($X$7+$Z41)*($Y41-1)-SUM($B42:G42))+IF($Y41&gt;1,IF(INT(H$6/$X41)&gt;0,$Z41-$AA41,0),-$AA41)</f>
        <v>0</v>
      </c>
      <c r="I42" s="603">
        <f>IF(INT(I$6/$X41)*$X$7&gt;I40*($X$7+$Z41)*$Y41,I40*($X$7+$Z41)-SUM($B42:H42),INT(I$6/$X41)*$X$7-I40*($X$7+$Z41)*($Y41-1)-SUM($B42:H42))+IF($Y41&gt;1,IF(INT(I$6/$X41)&gt;0,$Z41-$AA41,0),-$AA41)</f>
        <v>0</v>
      </c>
      <c r="J42" s="603">
        <f>IF(INT(J$6/$X41)*$X$7&gt;J40*($X$7+$Z41)*$Y41,J40*($X$7+$Z41)-SUM($B42:I42),INT(J$6/$X41)*$X$7-J40*($X$7+$Z41)*($Y41-1)-SUM($B42:I42))+IF($Y41&gt;1,IF(INT(J$6/$X41)&gt;0,$Z41-$AA41,0),-$AA41)</f>
        <v>0</v>
      </c>
      <c r="K42" s="603">
        <f>IF(INT(K$6/$X41)*$X$7&gt;K40*($X$7+$Z41)*$Y41,K40*($X$7+$Z41)-SUM($B42:J42),INT(K$6/$X41)*$X$7-K40*($X$7+$Z41)*($Y41-1)-SUM($B42:J42))+IF($Y41&gt;1,IF(INT(K$6/$X41)&gt;0,$Z41-$AA41,0),-$AA41)</f>
        <v>0</v>
      </c>
      <c r="L42" s="603">
        <f>IF(INT(L$6/$X41)*$X$7&gt;L40*($X$7+$Z41)*$Y41,L40*($X$7+$Z41)-SUM($B42:K42),INT(L$6/$X41)*$X$7-L40*($X$7+$Z41)*($Y41-1)-SUM($B42:K42))+IF($Y41&gt;1,IF(INT(L$6/$X41)&gt;0,$Z41-$AA41,0),-$AA41)</f>
        <v>0</v>
      </c>
      <c r="M42" s="603">
        <f>IF(INT(M$6/$X41)*$X$7&gt;M40*($X$7+$Z41)*$Y41,M40*($X$7+$Z41)-SUM($B42:L42),INT(M$6/$X41)*$X$7-M40*($X$7+$Z41)*($Y41-1)-SUM($B42:L42))+IF($Y41&gt;1,IF(INT(M$6/$X41)&gt;0,$Z41-$AA41,0),-$AA41)</f>
        <v>0</v>
      </c>
      <c r="N42" s="603">
        <f>IF(INT(N$6/$X41)*$X$7&gt;N40*($X$7+$Z41)*$Y41,N40*($X$7+$Z41)-SUM($B42:M42),INT(N$6/$X41)*$X$7-N40*($X$7+$Z41)*($Y41-1)-SUM($B42:M42))+IF($Y41&gt;1,IF(INT(N$6/$X41)&gt;0,$Z41-$AA41,0),-$AA41)</f>
        <v>2</v>
      </c>
      <c r="O42" s="603">
        <f>IF(INT(O$6/$X41)*$X$7&gt;O40*($X$7+$Z41)*$Y41,O40*($X$7+$Z41)-SUM($B42:N42),INT(O$6/$X41)*$X$7-O40*($X$7+$Z41)*($Y41-1)-SUM($B42:N42))+IF($Y41&gt;1,IF(INT(O$6/$X41)&gt;0,$Z41-$AA41,0),-$AA41)</f>
        <v>0</v>
      </c>
      <c r="P42" s="603">
        <f>IF(INT(P$6/$X41)*$X$7&gt;P40*($X$7+$Z41)*$Y41,P40*($X$7+$Z41)-SUM($B42:O42),INT(P$6/$X41)*$X$7-P40*($X$7+$Z41)*($Y41-1)-SUM($B42:O42))+IF($Y41&gt;1,IF(INT(P$6/$X41)&gt;0,$Z41-$AA41,0),-$AA41)</f>
        <v>0</v>
      </c>
      <c r="Q42" s="603">
        <f>IF(INT(Q$6/$X41)*$X$7&gt;Q40*($X$7+$Z41)*$Y41,Q40*($X$7+$Z41)-SUM($B42:P42),INT(Q$6/$X41)*$X$7-Q40*($X$7+$Z41)*($Y41-1)-SUM($B42:P42))+IF($Y41&gt;1,IF(INT(Q$6/$X41)&gt;0,$Z41-$AA41,0),-$AA41)</f>
        <v>1</v>
      </c>
      <c r="R42" s="603">
        <f>IF(INT(R$6/$X41)*$X$7&gt;R40*($X$7+$Z41)*$Y41,R40*($X$7+$Z41)-SUM($B42:Q42),INT(R$6/$X41)*$X$7-R40*($X$7+$Z41)*($Y41-1)-SUM($B42:Q42))+IF($Y41&gt;1,IF(INT(R$6/$X41)&gt;0,$Z41-$AA41,0),-$AA41)</f>
        <v>0</v>
      </c>
      <c r="S42" s="603">
        <f>IF(INT(S$6/$X41)*$X$7&gt;S40*($X$7+$Z41)*$Y41,S40*($X$7+$Z41)-SUM($B42:R42),INT(S$6/$X41)*$X$7-S40*($X$7+$Z41)*($Y41-1)-SUM($B42:R42))+IF($Y41&gt;1,IF(INT(S$6/$X41)&gt;0,$Z41-$AA41,0),-$AA41)</f>
        <v>0</v>
      </c>
      <c r="T42" s="603">
        <f>IF(INT(T$6/$X41)*$X$7&gt;T40*($X$7+$Z41)*$Y41,T40*($X$7+$Z41)-SUM($B42:S42),INT(T$6/$X41)*$X$7-T40*($X$7+$Z41)*($Y41-1)-SUM($B42:S42))+IF($Y41&gt;1,IF(INT(T$6/$X41)&gt;0,$Z41-$AA41,0),-$AA41)</f>
        <v>0</v>
      </c>
      <c r="U42" s="603">
        <f>IF(INT(U$6/$X41)*$X$7&gt;U40*($X$7+$Z41)*$Y41,U40*($X$7+$Z41)-SUM($B42:T42),INT(U$6/$X41)*$X$7-U40*($X$7+$Z41)*($Y41-1)-SUM($B42:T42))+IF($Y41&gt;1,IF(INT(U$6/$X41)&gt;0,$Z41-$AA41,0),-$AA41)</f>
        <v>0</v>
      </c>
      <c r="V42" s="603">
        <f>IF(INT(V$6/$X41)*$X$7&gt;V40*($X$7+$Z41)*$Y41,V40*($X$7+$Z41)-SUM($B42:U42),INT(V$6/$X41)*$X$7-V40*($X$7+$Z41)*($Y41-1)-SUM($B42:U42))+IF($Y41&gt;1,IF(INT(V$6/$X41)&gt;0,$Z41-$AA41,0),-$AA41)</f>
        <v>0</v>
      </c>
      <c r="W42" s="681"/>
      <c r="X42"/>
      <c r="Y42"/>
      <c r="Z42"/>
    </row>
    <row r="43" spans="1:28" s="102" customFormat="1">
      <c r="W43" s="663"/>
    </row>
    <row r="44" spans="1:28" s="102" customFormat="1" hidden="1">
      <c r="A44" s="140" t="s">
        <v>934</v>
      </c>
      <c r="B44" s="603"/>
      <c r="C44" s="140">
        <f t="shared" ref="C44:V44" si="14">INT((INT(C$6/$X45)*$X$7+$X$7+$Z45-1)/($X$7+$Z45)/$Y45)</f>
        <v>0</v>
      </c>
      <c r="D44" s="140">
        <f t="shared" si="14"/>
        <v>0</v>
      </c>
      <c r="E44" s="140">
        <f t="shared" si="14"/>
        <v>0</v>
      </c>
      <c r="F44" s="140">
        <f t="shared" si="14"/>
        <v>0</v>
      </c>
      <c r="G44" s="140">
        <f t="shared" si="14"/>
        <v>0</v>
      </c>
      <c r="H44" s="140">
        <f t="shared" si="14"/>
        <v>0</v>
      </c>
      <c r="I44" s="140">
        <f t="shared" si="14"/>
        <v>0</v>
      </c>
      <c r="J44" s="140">
        <f t="shared" si="14"/>
        <v>0</v>
      </c>
      <c r="K44" s="140">
        <f t="shared" si="14"/>
        <v>0</v>
      </c>
      <c r="L44" s="140">
        <f t="shared" si="14"/>
        <v>0</v>
      </c>
      <c r="M44" s="140">
        <f t="shared" si="14"/>
        <v>0</v>
      </c>
      <c r="N44" s="140">
        <f t="shared" si="14"/>
        <v>1</v>
      </c>
      <c r="O44" s="140">
        <f t="shared" si="14"/>
        <v>1</v>
      </c>
      <c r="P44" s="140">
        <f t="shared" si="14"/>
        <v>1</v>
      </c>
      <c r="Q44" s="140">
        <f t="shared" si="14"/>
        <v>1</v>
      </c>
      <c r="R44" s="140">
        <f t="shared" si="14"/>
        <v>1</v>
      </c>
      <c r="S44" s="140">
        <f t="shared" si="14"/>
        <v>1</v>
      </c>
      <c r="T44" s="140">
        <f t="shared" si="14"/>
        <v>1</v>
      </c>
      <c r="U44" s="140">
        <f t="shared" si="14"/>
        <v>1</v>
      </c>
      <c r="V44" s="140">
        <f t="shared" si="14"/>
        <v>1</v>
      </c>
    </row>
    <row r="45" spans="1:28" s="102" customFormat="1">
      <c r="A45" s="140" t="s">
        <v>935</v>
      </c>
      <c r="B45" s="603" t="s">
        <v>278</v>
      </c>
      <c r="C45" s="603">
        <f>IF($Y45=1,0,$X$7*(INT(C$6/$X45)-INT(B$6/$X45))-IF(SUM($B45:B45)&gt;0,C46,0))</f>
        <v>0</v>
      </c>
      <c r="D45" s="603">
        <f>IF($Y45=1,0,$X$7*(INT(D$6/$X45)-INT(C$6/$X45))-IF(SUM($B45:C45)&gt;0,D46,0))</f>
        <v>0</v>
      </c>
      <c r="E45" s="603">
        <f>IF($Y45=1,0,$X$7*(INT(E$6/$X45)-INT(D$6/$X45))-IF(SUM($B45:D45)&gt;0,E46,0))</f>
        <v>2</v>
      </c>
      <c r="F45" s="603">
        <f>IF($Y45=1,0,$X$7*(INT(F$6/$X45)-INT(E$6/$X45))-IF(SUM($B45:E45)&gt;0,F46,0))</f>
        <v>0</v>
      </c>
      <c r="G45" s="603">
        <f>IF($Y45=1,0,$X$7*(INT(G$6/$X45)-INT(F$6/$X45))-IF(SUM($B45:F45)&gt;0,G46,0))</f>
        <v>0</v>
      </c>
      <c r="H45" s="603">
        <f>IF($Y45=1,0,$X$7*(INT(H$6/$X45)-INT(G$6/$X45))-IF(SUM($B45:G45)&gt;0,H46,0))</f>
        <v>2</v>
      </c>
      <c r="I45" s="603">
        <f>IF($Y45=1,0,$X$7*(INT(I$6/$X45)-INT(H$6/$X45))-IF(SUM($B45:H45)&gt;0,I46,0))</f>
        <v>0</v>
      </c>
      <c r="J45" s="603">
        <f>IF($Y45=1,0,$X$7*(INT(J$6/$X45)-INT(I$6/$X45))-IF(SUM($B45:I45)&gt;0,J46,0))</f>
        <v>0</v>
      </c>
      <c r="K45" s="603">
        <f>IF($Y45=1,0,$X$7*(INT(K$6/$X45)-INT(J$6/$X45))-IF(SUM($B45:J45)&gt;0,K46,0))</f>
        <v>2</v>
      </c>
      <c r="L45" s="603">
        <f>IF($Y45=1,0,$X$7*(INT(L$6/$X45)-INT(K$6/$X45))-IF(SUM($B45:K45)&gt;0,L46,0))</f>
        <v>0</v>
      </c>
      <c r="M45" s="603">
        <f>IF($Y45=1,0,$X$7*(INT(M$6/$X45)-INT(L$6/$X45))-IF(SUM($B45:L45)&gt;0,M46,0))</f>
        <v>0</v>
      </c>
      <c r="N45" s="603">
        <f>IF($Y45=1,0,$X$7*(INT(N$6/$X45)-INT(M$6/$X45))-IF(SUM($B45:M45)&gt;0,N46,0))</f>
        <v>0</v>
      </c>
      <c r="O45" s="603">
        <f>IF($Y45=1,0,$X$7*(INT(O$6/$X45)-INT(N$6/$X45))-IF(SUM($B45:N45)&gt;0,O46,0))</f>
        <v>0</v>
      </c>
      <c r="P45" s="603">
        <f>IF($Y45=1,0,$X$7*(INT(P$6/$X45)-INT(O$6/$X45))-IF(SUM($B45:O45)&gt;0,P46,0))</f>
        <v>0</v>
      </c>
      <c r="Q45" s="603">
        <f>IF($Y45=1,0,$X$7*(INT(Q$6/$X45)-INT(P$6/$X45))-IF(SUM($B45:P45)&gt;0,Q46,0))</f>
        <v>1</v>
      </c>
      <c r="R45" s="603">
        <f>IF($Y45=1,0,$X$7*(INT(R$6/$X45)-INT(Q$6/$X45))-IF(SUM($B45:Q45)&gt;0,R46,0))</f>
        <v>0</v>
      </c>
      <c r="S45" s="603">
        <f>IF($Y45=1,0,$X$7*(INT(S$6/$X45)-INT(R$6/$X45))-IF(SUM($B45:R45)&gt;0,S46,0))</f>
        <v>0</v>
      </c>
      <c r="T45" s="603">
        <f>IF($Y45=1,0,$X$7*(INT(T$6/$X45)-INT(S$6/$X45))-IF(SUM($B45:S45)&gt;0,T46,0))</f>
        <v>2</v>
      </c>
      <c r="U45" s="603">
        <f>IF($Y45=1,0,$X$7*(INT(U$6/$X45)-INT(T$6/$X45))-IF(SUM($B45:T45)&gt;0,U46,0))</f>
        <v>0</v>
      </c>
      <c r="V45" s="603">
        <f>IF($Y45=1,0,$X$7*(INT(V$6/$X45)-INT(U$6/$X45))-IF(SUM($B45:U45)&gt;0,V46,0))</f>
        <v>0</v>
      </c>
      <c r="W45" s="678" t="str">
        <f xml:space="preserve"> 'GT schd cost(7FA)'!A20</f>
        <v>Stage 1 Buckets</v>
      </c>
      <c r="X45" s="678">
        <f>IF($AD$6=1,'GTDB(7FA)'!B23,'GTDB(7FA)'!G23)</f>
        <v>24000</v>
      </c>
      <c r="Y45" s="678">
        <f>IF($AD$6=1,'GTDB(7FA)'!C23,'GTDB(7FA)'!H23)</f>
        <v>3</v>
      </c>
      <c r="Z45" s="679">
        <v>1</v>
      </c>
      <c r="AA45" s="834">
        <f>'Initial_Spares(7FA)'!$E$17</f>
        <v>1</v>
      </c>
      <c r="AB45" s="642">
        <f>'GT schd cost(7FA)'!X20+'GT schd cost(7FA)'!X43</f>
        <v>18408.834000000003</v>
      </c>
    </row>
    <row r="46" spans="1:28" s="102" customFormat="1">
      <c r="A46" s="140" t="s">
        <v>936</v>
      </c>
      <c r="B46" s="603" t="s">
        <v>278</v>
      </c>
      <c r="C46" s="603">
        <f>IF(INT(C$6/$X45)*$X$7&gt;C44*($X$7+$Z45)*$Y45,C44*($X$7+$Z45)-SUM($B46:B46),INT(C$6/$X45)*$X$7-C44*($X$7+$Z45)*($Y45-1)-SUM($B46:B46))+IF($Y45&gt;1,IF(INT(C$6/$X45)&gt;0,$Z45-$AA45,0),-$AA45)</f>
        <v>0</v>
      </c>
      <c r="D46" s="603">
        <f>IF(INT(D$6/$X45)*$X$7&gt;D44*($X$7+$Z45)*$Y45,D44*($X$7+$Z45)-SUM($B46:C46),INT(D$6/$X45)*$X$7-D44*($X$7+$Z45)*($Y45-1)-SUM($B46:C46))+IF($Y45&gt;1,IF(INT(D$6/$X45)&gt;0,$Z45-$AA45,0),-$AA45)</f>
        <v>0</v>
      </c>
      <c r="E46" s="603">
        <f>IF(INT(E$6/$X45)*$X$7&gt;E44*($X$7+$Z45)*$Y45,E44*($X$7+$Z45)-SUM($B46:D46),INT(E$6/$X45)*$X$7-E44*($X$7+$Z45)*($Y45-1)-SUM($B46:D46))+IF($Y45&gt;1,IF(INT(E$6/$X45)&gt;0,$Z45-$AA45,0),-$AA45)</f>
        <v>0</v>
      </c>
      <c r="F46" s="603">
        <f>IF(INT(F$6/$X45)*$X$7&gt;F44*($X$7+$Z45)*$Y45,F44*($X$7+$Z45)-SUM($B46:E46),INT(F$6/$X45)*$X$7-F44*($X$7+$Z45)*($Y45-1)-SUM($B46:E46))+IF($Y45&gt;1,IF(INT(F$6/$X45)&gt;0,$Z45-$AA45,0),-$AA45)</f>
        <v>0</v>
      </c>
      <c r="G46" s="603">
        <f>IF(INT(G$6/$X45)*$X$7&gt;G44*($X$7+$Z45)*$Y45,G44*($X$7+$Z45)-SUM($B46:F46),INT(G$6/$X45)*$X$7-G44*($X$7+$Z45)*($Y45-1)-SUM($B46:F46))+IF($Y45&gt;1,IF(INT(G$6/$X45)&gt;0,$Z45-$AA45,0),-$AA45)</f>
        <v>0</v>
      </c>
      <c r="H46" s="603">
        <f>IF(INT(H$6/$X45)*$X$7&gt;H44*($X$7+$Z45)*$Y45,H44*($X$7+$Z45)-SUM($B46:G46),INT(H$6/$X45)*$X$7-H44*($X$7+$Z45)*($Y45-1)-SUM($B46:G46))+IF($Y45&gt;1,IF(INT(H$6/$X45)&gt;0,$Z45-$AA45,0),-$AA45)</f>
        <v>0</v>
      </c>
      <c r="I46" s="603">
        <f>IF(INT(I$6/$X45)*$X$7&gt;I44*($X$7+$Z45)*$Y45,I44*($X$7+$Z45)-SUM($B46:H46),INT(I$6/$X45)*$X$7-I44*($X$7+$Z45)*($Y45-1)-SUM($B46:H46))+IF($Y45&gt;1,IF(INT(I$6/$X45)&gt;0,$Z45-$AA45,0),-$AA45)</f>
        <v>0</v>
      </c>
      <c r="J46" s="603">
        <f>IF(INT(J$6/$X45)*$X$7&gt;J44*($X$7+$Z45)*$Y45,J44*($X$7+$Z45)-SUM($B46:I46),INT(J$6/$X45)*$X$7-J44*($X$7+$Z45)*($Y45-1)-SUM($B46:I46))+IF($Y45&gt;1,IF(INT(J$6/$X45)&gt;0,$Z45-$AA45,0),-$AA45)</f>
        <v>0</v>
      </c>
      <c r="K46" s="603">
        <f>IF(INT(K$6/$X45)*$X$7&gt;K44*($X$7+$Z45)*$Y45,K44*($X$7+$Z45)-SUM($B46:J46),INT(K$6/$X45)*$X$7-K44*($X$7+$Z45)*($Y45-1)-SUM($B46:J46))+IF($Y45&gt;1,IF(INT(K$6/$X45)&gt;0,$Z45-$AA45,0),-$AA45)</f>
        <v>0</v>
      </c>
      <c r="L46" s="603">
        <f>IF(INT(L$6/$X45)*$X$7&gt;L44*($X$7+$Z45)*$Y45,L44*($X$7+$Z45)-SUM($B46:K46),INT(L$6/$X45)*$X$7-L44*($X$7+$Z45)*($Y45-1)-SUM($B46:K46))+IF($Y45&gt;1,IF(INT(L$6/$X45)&gt;0,$Z45-$AA45,0),-$AA45)</f>
        <v>0</v>
      </c>
      <c r="M46" s="603">
        <f>IF(INT(M$6/$X45)*$X$7&gt;M44*($X$7+$Z45)*$Y45,M44*($X$7+$Z45)-SUM($B46:L46),INT(M$6/$X45)*$X$7-M44*($X$7+$Z45)*($Y45-1)-SUM($B46:L46))+IF($Y45&gt;1,IF(INT(M$6/$X45)&gt;0,$Z45-$AA45,0),-$AA45)</f>
        <v>0</v>
      </c>
      <c r="N46" s="603">
        <f>IF(INT(N$6/$X45)*$X$7&gt;N44*($X$7+$Z45)*$Y45,N44*($X$7+$Z45)-SUM($B46:M46),INT(N$6/$X45)*$X$7-N44*($X$7+$Z45)*($Y45-1)-SUM($B46:M46))+IF($Y45&gt;1,IF(INT(N$6/$X45)&gt;0,$Z45-$AA45,0),-$AA45)</f>
        <v>2</v>
      </c>
      <c r="O46" s="603">
        <f>IF(INT(O$6/$X45)*$X$7&gt;O44*($X$7+$Z45)*$Y45,O44*($X$7+$Z45)-SUM($B46:N46),INT(O$6/$X45)*$X$7-O44*($X$7+$Z45)*($Y45-1)-SUM($B46:N46))+IF($Y45&gt;1,IF(INT(O$6/$X45)&gt;0,$Z45-$AA45,0),-$AA45)</f>
        <v>0</v>
      </c>
      <c r="P46" s="603">
        <f>IF(INT(P$6/$X45)*$X$7&gt;P44*($X$7+$Z45)*$Y45,P44*($X$7+$Z45)-SUM($B46:O46),INT(P$6/$X45)*$X$7-P44*($X$7+$Z45)*($Y45-1)-SUM($B46:O46))+IF($Y45&gt;1,IF(INT(P$6/$X45)&gt;0,$Z45-$AA45,0),-$AA45)</f>
        <v>0</v>
      </c>
      <c r="Q46" s="603">
        <f>IF(INT(Q$6/$X45)*$X$7&gt;Q44*($X$7+$Z45)*$Y45,Q44*($X$7+$Z45)-SUM($B46:P46),INT(Q$6/$X45)*$X$7-Q44*($X$7+$Z45)*($Y45-1)-SUM($B46:P46))+IF($Y45&gt;1,IF(INT(Q$6/$X45)&gt;0,$Z45-$AA45,0),-$AA45)</f>
        <v>1</v>
      </c>
      <c r="R46" s="603">
        <f>IF(INT(R$6/$X45)*$X$7&gt;R44*($X$7+$Z45)*$Y45,R44*($X$7+$Z45)-SUM($B46:Q46),INT(R$6/$X45)*$X$7-R44*($X$7+$Z45)*($Y45-1)-SUM($B46:Q46))+IF($Y45&gt;1,IF(INT(R$6/$X45)&gt;0,$Z45-$AA45,0),-$AA45)</f>
        <v>0</v>
      </c>
      <c r="S46" s="603">
        <f>IF(INT(S$6/$X45)*$X$7&gt;S44*($X$7+$Z45)*$Y45,S44*($X$7+$Z45)-SUM($B46:R46),INT(S$6/$X45)*$X$7-S44*($X$7+$Z45)*($Y45-1)-SUM($B46:R46))+IF($Y45&gt;1,IF(INT(S$6/$X45)&gt;0,$Z45-$AA45,0),-$AA45)</f>
        <v>0</v>
      </c>
      <c r="T46" s="603">
        <f>IF(INT(T$6/$X45)*$X$7&gt;T44*($X$7+$Z45)*$Y45,T44*($X$7+$Z45)-SUM($B46:S46),INT(T$6/$X45)*$X$7-T44*($X$7+$Z45)*($Y45-1)-SUM($B46:S46))+IF($Y45&gt;1,IF(INT(T$6/$X45)&gt;0,$Z45-$AA45,0),-$AA45)</f>
        <v>0</v>
      </c>
      <c r="U46" s="603">
        <f>IF(INT(U$6/$X45)*$X$7&gt;U44*($X$7+$Z45)*$Y45,U44*($X$7+$Z45)-SUM($B46:T46),INT(U$6/$X45)*$X$7-U44*($X$7+$Z45)*($Y45-1)-SUM($B46:T46))+IF($Y45&gt;1,IF(INT(U$6/$X45)&gt;0,$Z45-$AA45,0),-$AA45)</f>
        <v>0</v>
      </c>
      <c r="V46" s="603">
        <f>IF(INT(V$6/$X45)*$X$7&gt;V44*($X$7+$Z45)*$Y45,V44*($X$7+$Z45)-SUM($B46:U46),INT(V$6/$X45)*$X$7-V44*($X$7+$Z45)*($Y45-1)-SUM($B46:U46))+IF($Y45&gt;1,IF(INT(V$6/$X45)&gt;0,$Z45-$AA45,0),-$AA45)</f>
        <v>0</v>
      </c>
      <c r="W46" s="681"/>
      <c r="X46"/>
      <c r="Y46"/>
      <c r="Z46"/>
    </row>
    <row r="47" spans="1:28" s="102" customFormat="1">
      <c r="B47" s="615"/>
      <c r="C47" s="615"/>
      <c r="D47" s="615"/>
      <c r="E47" s="615"/>
      <c r="F47" s="615"/>
      <c r="G47" s="615"/>
      <c r="H47" s="615"/>
      <c r="I47" s="615"/>
      <c r="J47" s="615"/>
      <c r="K47" s="615"/>
      <c r="W47" s="663"/>
    </row>
    <row r="48" spans="1:28" s="102" customFormat="1" hidden="1">
      <c r="A48" s="140" t="s">
        <v>934</v>
      </c>
      <c r="B48" s="603"/>
      <c r="C48" s="140">
        <f t="shared" ref="C48:V48" si="15">INT((INT(C$6/$X49)*$X$7+$X$7+$Z49-1)/($X$7+$Z49)/$Y49)</f>
        <v>0</v>
      </c>
      <c r="D48" s="140">
        <f t="shared" si="15"/>
        <v>0</v>
      </c>
      <c r="E48" s="140">
        <f t="shared" si="15"/>
        <v>0</v>
      </c>
      <c r="F48" s="140">
        <f t="shared" si="15"/>
        <v>0</v>
      </c>
      <c r="G48" s="140">
        <f t="shared" si="15"/>
        <v>0</v>
      </c>
      <c r="H48" s="140">
        <f t="shared" si="15"/>
        <v>1</v>
      </c>
      <c r="I48" s="140">
        <f t="shared" si="15"/>
        <v>1</v>
      </c>
      <c r="J48" s="140">
        <f t="shared" si="15"/>
        <v>1</v>
      </c>
      <c r="K48" s="140">
        <f t="shared" si="15"/>
        <v>1</v>
      </c>
      <c r="L48" s="140">
        <f t="shared" si="15"/>
        <v>1</v>
      </c>
      <c r="M48" s="140">
        <f t="shared" si="15"/>
        <v>1</v>
      </c>
      <c r="N48" s="140">
        <f t="shared" si="15"/>
        <v>1</v>
      </c>
      <c r="O48" s="140">
        <f t="shared" si="15"/>
        <v>1</v>
      </c>
      <c r="P48" s="140">
        <f t="shared" si="15"/>
        <v>1</v>
      </c>
      <c r="Q48" s="140">
        <f t="shared" si="15"/>
        <v>2</v>
      </c>
      <c r="R48" s="140">
        <f t="shared" si="15"/>
        <v>2</v>
      </c>
      <c r="S48" s="140">
        <f t="shared" si="15"/>
        <v>2</v>
      </c>
      <c r="T48" s="140">
        <f t="shared" si="15"/>
        <v>2</v>
      </c>
      <c r="U48" s="140">
        <f t="shared" si="15"/>
        <v>2</v>
      </c>
      <c r="V48" s="140">
        <f t="shared" si="15"/>
        <v>2</v>
      </c>
    </row>
    <row r="49" spans="1:28" s="102" customFormat="1">
      <c r="A49" s="140" t="s">
        <v>935</v>
      </c>
      <c r="B49" s="603" t="s">
        <v>278</v>
      </c>
      <c r="C49" s="603">
        <f>IF($Y49=1,0,$X$7*(INT(C$6/$X49)-INT(B$6/$X49))-IF(SUM($B49:B49)&gt;0,C50,0))</f>
        <v>0</v>
      </c>
      <c r="D49" s="603">
        <f>IF($Y49=1,0,$X$7*(INT(D$6/$X49)-INT(C$6/$X49))-IF(SUM($B49:C49)&gt;0,D50,0))</f>
        <v>0</v>
      </c>
      <c r="E49" s="603">
        <f>IF($Y49=1,0,$X$7*(INT(E$6/$X49)-INT(D$6/$X49))-IF(SUM($B49:D49)&gt;0,E50,0))</f>
        <v>2</v>
      </c>
      <c r="F49" s="603">
        <f>IF($Y49=1,0,$X$7*(INT(F$6/$X49)-INT(E$6/$X49))-IF(SUM($B49:E49)&gt;0,F50,0))</f>
        <v>0</v>
      </c>
      <c r="G49" s="603">
        <f>IF($Y49=1,0,$X$7*(INT(G$6/$X49)-INT(F$6/$X49))-IF(SUM($B49:F49)&gt;0,G50,0))</f>
        <v>0</v>
      </c>
      <c r="H49" s="603">
        <f>IF($Y49=1,0,$X$7*(INT(H$6/$X49)-INT(G$6/$X49))-IF(SUM($B49:G49)&gt;0,H50,0))</f>
        <v>1</v>
      </c>
      <c r="I49" s="603">
        <f>IF($Y49=1,0,$X$7*(INT(I$6/$X49)-INT(H$6/$X49))-IF(SUM($B49:H49)&gt;0,I50,0))</f>
        <v>0</v>
      </c>
      <c r="J49" s="603">
        <f>IF($Y49=1,0,$X$7*(INT(J$6/$X49)-INT(I$6/$X49))-IF(SUM($B49:I49)&gt;0,J50,0))</f>
        <v>0</v>
      </c>
      <c r="K49" s="603">
        <f>IF($Y49=1,0,$X$7*(INT(K$6/$X49)-INT(J$6/$X49))-IF(SUM($B49:J49)&gt;0,K50,0))</f>
        <v>0</v>
      </c>
      <c r="L49" s="603">
        <f>IF($Y49=1,0,$X$7*(INT(L$6/$X49)-INT(K$6/$X49))-IF(SUM($B49:K49)&gt;0,L50,0))</f>
        <v>0</v>
      </c>
      <c r="M49" s="603">
        <f>IF($Y49=1,0,$X$7*(INT(M$6/$X49)-INT(L$6/$X49))-IF(SUM($B49:L49)&gt;0,M50,0))</f>
        <v>0</v>
      </c>
      <c r="N49" s="603">
        <f>IF($Y49=1,0,$X$7*(INT(N$6/$X49)-INT(M$6/$X49))-IF(SUM($B49:M49)&gt;0,N50,0))</f>
        <v>2</v>
      </c>
      <c r="O49" s="603">
        <f>IF($Y49=1,0,$X$7*(INT(O$6/$X49)-INT(N$6/$X49))-IF(SUM($B49:N49)&gt;0,O50,0))</f>
        <v>0</v>
      </c>
      <c r="P49" s="603">
        <f>IF($Y49=1,0,$X$7*(INT(P$6/$X49)-INT(O$6/$X49))-IF(SUM($B49:O49)&gt;0,P50,0))</f>
        <v>0</v>
      </c>
      <c r="Q49" s="603">
        <f>IF($Y49=1,0,$X$7*(INT(Q$6/$X49)-INT(P$6/$X49))-IF(SUM($B49:P49)&gt;0,Q50,0))</f>
        <v>1</v>
      </c>
      <c r="R49" s="603">
        <f>IF($Y49=1,0,$X$7*(INT(R$6/$X49)-INT(Q$6/$X49))-IF(SUM($B49:Q49)&gt;0,R50,0))</f>
        <v>0</v>
      </c>
      <c r="S49" s="603">
        <f>IF($Y49=1,0,$X$7*(INT(S$6/$X49)-INT(R$6/$X49))-IF(SUM($B49:R49)&gt;0,S50,0))</f>
        <v>0</v>
      </c>
      <c r="T49" s="603">
        <f>IF($Y49=1,0,$X$7*(INT(T$6/$X49)-INT(S$6/$X49))-IF(SUM($B49:S49)&gt;0,T50,0))</f>
        <v>0</v>
      </c>
      <c r="U49" s="603">
        <f>IF($Y49=1,0,$X$7*(INT(U$6/$X49)-INT(T$6/$X49))-IF(SUM($B49:T49)&gt;0,U50,0))</f>
        <v>0</v>
      </c>
      <c r="V49" s="603">
        <f>IF($Y49=1,0,$X$7*(INT(V$6/$X49)-INT(U$6/$X49))-IF(SUM($B49:U49)&gt;0,V50,0))</f>
        <v>0</v>
      </c>
      <c r="W49" s="678" t="str">
        <f xml:space="preserve"> 'GT schd cost(7FA)'!A21</f>
        <v>Stage 2 Buckets</v>
      </c>
      <c r="X49" s="678">
        <f>IF($AD$6=1,'GTDB(7FA)'!B24,'GTDB(7FA)'!G24)</f>
        <v>24000</v>
      </c>
      <c r="Y49" s="678">
        <f>IF($AD$6=1,'GTDB(7FA)'!C24,'GTDB(7FA)'!H24)</f>
        <v>2</v>
      </c>
      <c r="Z49" s="679">
        <v>1</v>
      </c>
      <c r="AA49" s="834">
        <f>'Initial_Spares(7FA)'!$E$18</f>
        <v>0</v>
      </c>
      <c r="AB49" s="642">
        <f>'GT schd cost(7FA)'!X21+'GT schd cost(7FA)'!X44</f>
        <v>16067.951000000001</v>
      </c>
    </row>
    <row r="50" spans="1:28" s="102" customFormat="1">
      <c r="A50" s="140" t="s">
        <v>936</v>
      </c>
      <c r="B50" s="603" t="s">
        <v>278</v>
      </c>
      <c r="C50" s="603">
        <f>IF(INT(C$6/$X49)*$X$7&gt;C48*($X$7+$Z49)*$Y49,C48*($X$7+$Z49)-SUM($B50:B50),INT(C$6/$X49)*$X$7-C48*($X$7+$Z49)*($Y49-1)-SUM($B50:B50))+IF($Y49&gt;1,IF(INT(C$6/$X49)&gt;0,$Z49-$AA49,0),-$AA49)</f>
        <v>0</v>
      </c>
      <c r="D50" s="603">
        <f>IF(INT(D$6/$X49)*$X$7&gt;D48*($X$7+$Z49)*$Y49,D48*($X$7+$Z49)-SUM($B50:C50),INT(D$6/$X49)*$X$7-D48*($X$7+$Z49)*($Y49-1)-SUM($B50:C50))+IF($Y49&gt;1,IF(INT(D$6/$X49)&gt;0,$Z49-$AA49,0),-$AA49)</f>
        <v>0</v>
      </c>
      <c r="E50" s="603">
        <f>IF(INT(E$6/$X49)*$X$7&gt;E48*($X$7+$Z49)*$Y49,E48*($X$7+$Z49)-SUM($B50:D50),INT(E$6/$X49)*$X$7-E48*($X$7+$Z49)*($Y49-1)-SUM($B50:D50))+IF($Y49&gt;1,IF(INT(E$6/$X49)&gt;0,$Z49-$AA49,0),-$AA49)</f>
        <v>1</v>
      </c>
      <c r="F50" s="603">
        <f>IF(INT(F$6/$X49)*$X$7&gt;F48*($X$7+$Z49)*$Y49,F48*($X$7+$Z49)-SUM($B50:E50),INT(F$6/$X49)*$X$7-F48*($X$7+$Z49)*($Y49-1)-SUM($B50:E50))+IF($Y49&gt;1,IF(INT(F$6/$X49)&gt;0,$Z49-$AA49,0),-$AA49)</f>
        <v>0</v>
      </c>
      <c r="G50" s="603">
        <f>IF(INT(G$6/$X49)*$X$7&gt;G48*($X$7+$Z49)*$Y49,G48*($X$7+$Z49)-SUM($B50:F50),INT(G$6/$X49)*$X$7-G48*($X$7+$Z49)*($Y49-1)-SUM($B50:F50))+IF($Y49&gt;1,IF(INT(G$6/$X49)&gt;0,$Z49-$AA49,0),-$AA49)</f>
        <v>0</v>
      </c>
      <c r="H50" s="603">
        <f>IF(INT(H$6/$X49)*$X$7&gt;H48*($X$7+$Z49)*$Y49,H48*($X$7+$Z49)-SUM($B50:G50),INT(H$6/$X49)*$X$7-H48*($X$7+$Z49)*($Y49-1)-SUM($B50:G50))+IF($Y49&gt;1,IF(INT(H$6/$X49)&gt;0,$Z49-$AA49,0),-$AA49)</f>
        <v>1</v>
      </c>
      <c r="I50" s="603">
        <f>IF(INT(I$6/$X49)*$X$7&gt;I48*($X$7+$Z49)*$Y49,I48*($X$7+$Z49)-SUM($B50:H50),INT(I$6/$X49)*$X$7-I48*($X$7+$Z49)*($Y49-1)-SUM($B50:H50))+IF($Y49&gt;1,IF(INT(I$6/$X49)&gt;0,$Z49-$AA49,0),-$AA49)</f>
        <v>0</v>
      </c>
      <c r="J50" s="603">
        <f>IF(INT(J$6/$X49)*$X$7&gt;J48*($X$7+$Z49)*$Y49,J48*($X$7+$Z49)-SUM($B50:I50),INT(J$6/$X49)*$X$7-J48*($X$7+$Z49)*($Y49-1)-SUM($B50:I50))+IF($Y49&gt;1,IF(INT(J$6/$X49)&gt;0,$Z49-$AA49,0),-$AA49)</f>
        <v>0</v>
      </c>
      <c r="K50" s="603">
        <f>IF(INT(K$6/$X49)*$X$7&gt;K48*($X$7+$Z49)*$Y49,K48*($X$7+$Z49)-SUM($B50:J50),INT(K$6/$X49)*$X$7-K48*($X$7+$Z49)*($Y49-1)-SUM($B50:J50))+IF($Y49&gt;1,IF(INT(K$6/$X49)&gt;0,$Z49-$AA49,0),-$AA49)</f>
        <v>2</v>
      </c>
      <c r="L50" s="603">
        <f>IF(INT(L$6/$X49)*$X$7&gt;L48*($X$7+$Z49)*$Y49,L48*($X$7+$Z49)-SUM($B50:K50),INT(L$6/$X49)*$X$7-L48*($X$7+$Z49)*($Y49-1)-SUM($B50:K50))+IF($Y49&gt;1,IF(INT(L$6/$X49)&gt;0,$Z49-$AA49,0),-$AA49)</f>
        <v>0</v>
      </c>
      <c r="M50" s="603">
        <f>IF(INT(M$6/$X49)*$X$7&gt;M48*($X$7+$Z49)*$Y49,M48*($X$7+$Z49)-SUM($B50:L50),INT(M$6/$X49)*$X$7-M48*($X$7+$Z49)*($Y49-1)-SUM($B50:L50))+IF($Y49&gt;1,IF(INT(M$6/$X49)&gt;0,$Z49-$AA49,0),-$AA49)</f>
        <v>0</v>
      </c>
      <c r="N50" s="603">
        <f>IF(INT(N$6/$X49)*$X$7&gt;N48*($X$7+$Z49)*$Y49,N48*($X$7+$Z49)-SUM($B50:M50),INT(N$6/$X49)*$X$7-N48*($X$7+$Z49)*($Y49-1)-SUM($B50:M50))+IF($Y49&gt;1,IF(INT(N$6/$X49)&gt;0,$Z49-$AA49,0),-$AA49)</f>
        <v>0</v>
      </c>
      <c r="O50" s="603">
        <f>IF(INT(O$6/$X49)*$X$7&gt;O48*($X$7+$Z49)*$Y49,O48*($X$7+$Z49)-SUM($B50:N50),INT(O$6/$X49)*$X$7-O48*($X$7+$Z49)*($Y49-1)-SUM($B50:N50))+IF($Y49&gt;1,IF(INT(O$6/$X49)&gt;0,$Z49-$AA49,0),-$AA49)</f>
        <v>0</v>
      </c>
      <c r="P50" s="603">
        <f>IF(INT(P$6/$X49)*$X$7&gt;P48*($X$7+$Z49)*$Y49,P48*($X$7+$Z49)-SUM($B50:O50),INT(P$6/$X49)*$X$7-P48*($X$7+$Z49)*($Y49-1)-SUM($B50:O50))+IF($Y49&gt;1,IF(INT(P$6/$X49)&gt;0,$Z49-$AA49,0),-$AA49)</f>
        <v>0</v>
      </c>
      <c r="Q50" s="603">
        <f>IF(INT(Q$6/$X49)*$X$7&gt;Q48*($X$7+$Z49)*$Y49,Q48*($X$7+$Z49)-SUM($B50:P50),INT(Q$6/$X49)*$X$7-Q48*($X$7+$Z49)*($Y49-1)-SUM($B50:P50))+IF($Y49&gt;1,IF(INT(Q$6/$X49)&gt;0,$Z49-$AA49,0),-$AA49)</f>
        <v>1</v>
      </c>
      <c r="R50" s="603">
        <f>IF(INT(R$6/$X49)*$X$7&gt;R48*($X$7+$Z49)*$Y49,R48*($X$7+$Z49)-SUM($B50:Q50),INT(R$6/$X49)*$X$7-R48*($X$7+$Z49)*($Y49-1)-SUM($B50:Q50))+IF($Y49&gt;1,IF(INT(R$6/$X49)&gt;0,$Z49-$AA49,0),-$AA49)</f>
        <v>0</v>
      </c>
      <c r="S50" s="603">
        <f>IF(INT(S$6/$X49)*$X$7&gt;S48*($X$7+$Z49)*$Y49,S48*($X$7+$Z49)-SUM($B50:R50),INT(S$6/$X49)*$X$7-S48*($X$7+$Z49)*($Y49-1)-SUM($B50:R50))+IF($Y49&gt;1,IF(INT(S$6/$X49)&gt;0,$Z49-$AA49,0),-$AA49)</f>
        <v>0</v>
      </c>
      <c r="T50" s="603">
        <f>IF(INT(T$6/$X49)*$X$7&gt;T48*($X$7+$Z49)*$Y49,T48*($X$7+$Z49)-SUM($B50:S50),INT(T$6/$X49)*$X$7-T48*($X$7+$Z49)*($Y49-1)-SUM($B50:S50))+IF($Y49&gt;1,IF(INT(T$6/$X49)&gt;0,$Z49-$AA49,0),-$AA49)</f>
        <v>2</v>
      </c>
      <c r="U50" s="603">
        <f>IF(INT(U$6/$X49)*$X$7&gt;U48*($X$7+$Z49)*$Y49,U48*($X$7+$Z49)-SUM($B50:T50),INT(U$6/$X49)*$X$7-U48*($X$7+$Z49)*($Y49-1)-SUM($B50:T50))+IF($Y49&gt;1,IF(INT(U$6/$X49)&gt;0,$Z49-$AA49,0),-$AA49)</f>
        <v>0</v>
      </c>
      <c r="V50" s="603">
        <f>IF(INT(V$6/$X49)*$X$7&gt;V48*($X$7+$Z49)*$Y49,V48*($X$7+$Z49)-SUM($B50:U50),INT(V$6/$X49)*$X$7-V48*($X$7+$Z49)*($Y49-1)-SUM($B50:U50))+IF($Y49&gt;1,IF(INT(V$6/$X49)&gt;0,$Z49-$AA49,0),-$AA49)</f>
        <v>0</v>
      </c>
      <c r="W50" s="681"/>
      <c r="X50"/>
      <c r="Y50"/>
      <c r="Z50"/>
    </row>
    <row r="51" spans="1:28" s="102" customFormat="1">
      <c r="C51" s="615"/>
      <c r="D51" s="615"/>
      <c r="E51" s="615"/>
      <c r="F51" s="615"/>
      <c r="G51" s="615"/>
      <c r="H51" s="615"/>
      <c r="I51" s="615"/>
      <c r="J51" s="615"/>
      <c r="K51" s="615"/>
      <c r="L51" s="615"/>
      <c r="M51" s="615"/>
      <c r="N51" s="615"/>
      <c r="O51" s="615"/>
      <c r="P51" s="615"/>
      <c r="Q51" s="615"/>
      <c r="R51" s="615"/>
      <c r="S51" s="615"/>
      <c r="T51" s="615"/>
      <c r="U51" s="615"/>
      <c r="V51" s="615"/>
      <c r="W51" s="663"/>
    </row>
    <row r="52" spans="1:28" s="102" customFormat="1" hidden="1">
      <c r="A52" s="140" t="s">
        <v>934</v>
      </c>
      <c r="B52" s="603"/>
      <c r="C52" s="140">
        <f t="shared" ref="C52:V52" si="16">INT((INT(C$6/$X53)*$X$7+$X$7+$Z53-1)/($X$7+$Z53)/$Y53)</f>
        <v>0</v>
      </c>
      <c r="D52" s="140">
        <f t="shared" si="16"/>
        <v>0</v>
      </c>
      <c r="E52" s="140">
        <f t="shared" si="16"/>
        <v>1</v>
      </c>
      <c r="F52" s="140">
        <f t="shared" si="16"/>
        <v>1</v>
      </c>
      <c r="G52" s="140">
        <f t="shared" si="16"/>
        <v>1</v>
      </c>
      <c r="H52" s="140">
        <f t="shared" si="16"/>
        <v>2</v>
      </c>
      <c r="I52" s="140">
        <f t="shared" si="16"/>
        <v>2</v>
      </c>
      <c r="J52" s="140">
        <f t="shared" si="16"/>
        <v>2</v>
      </c>
      <c r="K52" s="140">
        <f t="shared" si="16"/>
        <v>2</v>
      </c>
      <c r="L52" s="140">
        <f t="shared" si="16"/>
        <v>2</v>
      </c>
      <c r="M52" s="140">
        <f t="shared" si="16"/>
        <v>2</v>
      </c>
      <c r="N52" s="140">
        <f t="shared" si="16"/>
        <v>3</v>
      </c>
      <c r="O52" s="140">
        <f t="shared" si="16"/>
        <v>3</v>
      </c>
      <c r="P52" s="140">
        <f t="shared" si="16"/>
        <v>3</v>
      </c>
      <c r="Q52" s="140">
        <f t="shared" si="16"/>
        <v>4</v>
      </c>
      <c r="R52" s="140">
        <f t="shared" si="16"/>
        <v>4</v>
      </c>
      <c r="S52" s="140">
        <f t="shared" si="16"/>
        <v>4</v>
      </c>
      <c r="T52" s="140">
        <f t="shared" si="16"/>
        <v>4</v>
      </c>
      <c r="U52" s="140">
        <f t="shared" si="16"/>
        <v>4</v>
      </c>
      <c r="V52" s="140">
        <f t="shared" si="16"/>
        <v>4</v>
      </c>
    </row>
    <row r="53" spans="1:28" s="102" customFormat="1">
      <c r="A53" s="140" t="s">
        <v>935</v>
      </c>
      <c r="B53" s="603" t="s">
        <v>278</v>
      </c>
      <c r="C53" s="603">
        <f>IF($Y53=1,0,$X$7*(INT(C$6/$X53)-INT(B$6/$X53))-IF(SUM($B53:B53)&gt;0,C54,0))</f>
        <v>0</v>
      </c>
      <c r="D53" s="603">
        <f>IF($Y53=1,0,$X$7*(INT(D$6/$X53)-INT(C$6/$X53))-IF(SUM($B53:C53)&gt;0,D54,0))</f>
        <v>0</v>
      </c>
      <c r="E53" s="603">
        <f>IF($Y53=1,0,$X$7*(INT(E$6/$X53)-INT(D$6/$X53))-IF(SUM($B53:D53)&gt;0,E54,0))</f>
        <v>0</v>
      </c>
      <c r="F53" s="603">
        <f>IF($Y53=1,0,$X$7*(INT(F$6/$X53)-INT(E$6/$X53))-IF(SUM($B53:E53)&gt;0,F54,0))</f>
        <v>0</v>
      </c>
      <c r="G53" s="603">
        <f>IF($Y53=1,0,$X$7*(INT(G$6/$X53)-INT(F$6/$X53))-IF(SUM($B53:F53)&gt;0,G54,0))</f>
        <v>0</v>
      </c>
      <c r="H53" s="603">
        <f>IF($Y53=1,0,$X$7*(INT(H$6/$X53)-INT(G$6/$X53))-IF(SUM($B53:G53)&gt;0,H54,0))</f>
        <v>0</v>
      </c>
      <c r="I53" s="603">
        <f>IF($Y53=1,0,$X$7*(INT(I$6/$X53)-INT(H$6/$X53))-IF(SUM($B53:H53)&gt;0,I54,0))</f>
        <v>0</v>
      </c>
      <c r="J53" s="603">
        <f>IF($Y53=1,0,$X$7*(INT(J$6/$X53)-INT(I$6/$X53))-IF(SUM($B53:I53)&gt;0,J54,0))</f>
        <v>0</v>
      </c>
      <c r="K53" s="603">
        <f>IF($Y53=1,0,$X$7*(INT(K$6/$X53)-INT(J$6/$X53))-IF(SUM($B53:J53)&gt;0,K54,0))</f>
        <v>0</v>
      </c>
      <c r="L53" s="603">
        <f>IF($Y53=1,0,$X$7*(INT(L$6/$X53)-INT(K$6/$X53))-IF(SUM($B53:K53)&gt;0,L54,0))</f>
        <v>0</v>
      </c>
      <c r="M53" s="603">
        <f>IF($Y53=1,0,$X$7*(INT(M$6/$X53)-INT(L$6/$X53))-IF(SUM($B53:L53)&gt;0,M54,0))</f>
        <v>0</v>
      </c>
      <c r="N53" s="603">
        <f>IF($Y53=1,0,$X$7*(INT(N$6/$X53)-INT(M$6/$X53))-IF(SUM($B53:M53)&gt;0,N54,0))</f>
        <v>0</v>
      </c>
      <c r="O53" s="603">
        <f>IF($Y53=1,0,$X$7*(INT(O$6/$X53)-INT(N$6/$X53))-IF(SUM($B53:N53)&gt;0,O54,0))</f>
        <v>0</v>
      </c>
      <c r="P53" s="603">
        <f>IF($Y53=1,0,$X$7*(INT(P$6/$X53)-INT(O$6/$X53))-IF(SUM($B53:O53)&gt;0,P54,0))</f>
        <v>0</v>
      </c>
      <c r="Q53" s="603">
        <f>IF($Y53=1,0,$X$7*(INT(Q$6/$X53)-INT(P$6/$X53))-IF(SUM($B53:P53)&gt;0,Q54,0))</f>
        <v>0</v>
      </c>
      <c r="R53" s="603">
        <f>IF($Y53=1,0,$X$7*(INT(R$6/$X53)-INT(Q$6/$X53))-IF(SUM($B53:Q53)&gt;0,R54,0))</f>
        <v>0</v>
      </c>
      <c r="S53" s="603">
        <f>IF($Y53=1,0,$X$7*(INT(S$6/$X53)-INT(R$6/$X53))-IF(SUM($B53:R53)&gt;0,S54,0))</f>
        <v>0</v>
      </c>
      <c r="T53" s="603">
        <f>IF($Y53=1,0,$X$7*(INT(T$6/$X53)-INT(S$6/$X53))-IF(SUM($B53:S53)&gt;0,T54,0))</f>
        <v>0</v>
      </c>
      <c r="U53" s="603">
        <f>IF($Y53=1,0,$X$7*(INT(U$6/$X53)-INT(T$6/$X53))-IF(SUM($B53:T53)&gt;0,U54,0))</f>
        <v>0</v>
      </c>
      <c r="V53" s="603">
        <f>IF($Y53=1,0,$X$7*(INT(V$6/$X53)-INT(U$6/$X53))-IF(SUM($B53:U53)&gt;0,V54,0))</f>
        <v>0</v>
      </c>
      <c r="W53" s="678" t="str">
        <f xml:space="preserve"> 'GT schd cost(7FA)'!A22</f>
        <v>Stage 3 Buckets</v>
      </c>
      <c r="X53" s="678">
        <f>IF($AD$6=1,'GTDB(7FA)'!B25,'GTDB(7FA)'!G25)</f>
        <v>24000</v>
      </c>
      <c r="Y53" s="678">
        <f>IF($AD$6=1,'GTDB(7FA)'!C25,'GTDB(7FA)'!H25)</f>
        <v>1</v>
      </c>
      <c r="Z53" s="679">
        <v>1</v>
      </c>
      <c r="AA53" s="834">
        <f>'Initial_Spares(7FA)'!$E$19</f>
        <v>0</v>
      </c>
      <c r="AB53" s="642">
        <f>'GT schd cost(7FA)'!X22+'GT schd cost(7FA)'!X45</f>
        <v>27021.360000000004</v>
      </c>
    </row>
    <row r="54" spans="1:28" s="102" customFormat="1">
      <c r="A54" s="140" t="s">
        <v>936</v>
      </c>
      <c r="B54" s="603" t="s">
        <v>278</v>
      </c>
      <c r="C54" s="603">
        <f>IF(INT(C$6/$X53)*$X$7&gt;C52*($X$7+$Z53)*$Y53,C52*($X$7+$Z53)-SUM($B54:B54),INT(C$6/$X53)*$X$7-C52*($X$7+$Z53)*($Y53-1)-SUM($B54:B54))+IF($Y53&gt;1,IF(INT(C$6/$X53)&gt;0,$Z53-$AA53,0),-$AA53)</f>
        <v>0</v>
      </c>
      <c r="D54" s="603">
        <f>IF(INT(D$6/$X53)*$X$7&gt;D52*($X$7+$Z53)*$Y53,D52*($X$7+$Z53)-SUM($B54:C54),INT(D$6/$X53)*$X$7-D52*($X$7+$Z53)*($Y53-1)-SUM($B54:C54))+IF($Y53&gt;1,IF(INT(D$6/$X53)&gt;0,$Z53-$AA53,0),-$AA53)</f>
        <v>0</v>
      </c>
      <c r="E54" s="603">
        <f>IF(INT(E$6/$X53)*$X$7&gt;E52*($X$7+$Z53)*$Y53,E52*($X$7+$Z53)-SUM($B54:D54),INT(E$6/$X53)*$X$7-E52*($X$7+$Z53)*($Y53-1)-SUM($B54:D54))+IF($Y53&gt;1,IF(INT(E$6/$X53)&gt;0,$Z53-$AA53,0),-$AA53)</f>
        <v>2</v>
      </c>
      <c r="F54" s="603">
        <f>IF(INT(F$6/$X53)*$X$7&gt;F52*($X$7+$Z53)*$Y53,F52*($X$7+$Z53)-SUM($B54:E54),INT(F$6/$X53)*$X$7-F52*($X$7+$Z53)*($Y53-1)-SUM($B54:E54))+IF($Y53&gt;1,IF(INT(F$6/$X53)&gt;0,$Z53-$AA53,0),-$AA53)</f>
        <v>0</v>
      </c>
      <c r="G54" s="603">
        <f>IF(INT(G$6/$X53)*$X$7&gt;G52*($X$7+$Z53)*$Y53,G52*($X$7+$Z53)-SUM($B54:F54),INT(G$6/$X53)*$X$7-G52*($X$7+$Z53)*($Y53-1)-SUM($B54:F54))+IF($Y53&gt;1,IF(INT(G$6/$X53)&gt;0,$Z53-$AA53,0),-$AA53)</f>
        <v>0</v>
      </c>
      <c r="H54" s="603">
        <f>IF(INT(H$6/$X53)*$X$7&gt;H52*($X$7+$Z53)*$Y53,H52*($X$7+$Z53)-SUM($B54:G54),INT(H$6/$X53)*$X$7-H52*($X$7+$Z53)*($Y53-1)-SUM($B54:G54))+IF($Y53&gt;1,IF(INT(H$6/$X53)&gt;0,$Z53-$AA53,0),-$AA53)</f>
        <v>2</v>
      </c>
      <c r="I54" s="603">
        <f>IF(INT(I$6/$X53)*$X$7&gt;I52*($X$7+$Z53)*$Y53,I52*($X$7+$Z53)-SUM($B54:H54),INT(I$6/$X53)*$X$7-I52*($X$7+$Z53)*($Y53-1)-SUM($B54:H54))+IF($Y53&gt;1,IF(INT(I$6/$X53)&gt;0,$Z53-$AA53,0),-$AA53)</f>
        <v>0</v>
      </c>
      <c r="J54" s="603">
        <f>IF(INT(J$6/$X53)*$X$7&gt;J52*($X$7+$Z53)*$Y53,J52*($X$7+$Z53)-SUM($B54:I54),INT(J$6/$X53)*$X$7-J52*($X$7+$Z53)*($Y53-1)-SUM($B54:I54))+IF($Y53&gt;1,IF(INT(J$6/$X53)&gt;0,$Z53-$AA53,0),-$AA53)</f>
        <v>0</v>
      </c>
      <c r="K54" s="603">
        <f>IF(INT(K$6/$X53)*$X$7&gt;K52*($X$7+$Z53)*$Y53,K52*($X$7+$Z53)-SUM($B54:J54),INT(K$6/$X53)*$X$7-K52*($X$7+$Z53)*($Y53-1)-SUM($B54:J54))+IF($Y53&gt;1,IF(INT(K$6/$X53)&gt;0,$Z53-$AA53,0),-$AA53)</f>
        <v>2</v>
      </c>
      <c r="L54" s="603">
        <f>IF(INT(L$6/$X53)*$X$7&gt;L52*($X$7+$Z53)*$Y53,L52*($X$7+$Z53)-SUM($B54:K54),INT(L$6/$X53)*$X$7-L52*($X$7+$Z53)*($Y53-1)-SUM($B54:K54))+IF($Y53&gt;1,IF(INT(L$6/$X53)&gt;0,$Z53-$AA53,0),-$AA53)</f>
        <v>0</v>
      </c>
      <c r="M54" s="603">
        <f>IF(INT(M$6/$X53)*$X$7&gt;M52*($X$7+$Z53)*$Y53,M52*($X$7+$Z53)-SUM($B54:L54),INT(M$6/$X53)*$X$7-M52*($X$7+$Z53)*($Y53-1)-SUM($B54:L54))+IF($Y53&gt;1,IF(INT(M$6/$X53)&gt;0,$Z53-$AA53,0),-$AA53)</f>
        <v>0</v>
      </c>
      <c r="N54" s="603">
        <f>IF(INT(N$6/$X53)*$X$7&gt;N52*($X$7+$Z53)*$Y53,N52*($X$7+$Z53)-SUM($B54:M54),INT(N$6/$X53)*$X$7-N52*($X$7+$Z53)*($Y53-1)-SUM($B54:M54))+IF($Y53&gt;1,IF(INT(N$6/$X53)&gt;0,$Z53-$AA53,0),-$AA53)</f>
        <v>2</v>
      </c>
      <c r="O54" s="603">
        <f>IF(INT(O$6/$X53)*$X$7&gt;O52*($X$7+$Z53)*$Y53,O52*($X$7+$Z53)-SUM($B54:N54),INT(O$6/$X53)*$X$7-O52*($X$7+$Z53)*($Y53-1)-SUM($B54:N54))+IF($Y53&gt;1,IF(INT(O$6/$X53)&gt;0,$Z53-$AA53,0),-$AA53)</f>
        <v>0</v>
      </c>
      <c r="P54" s="603">
        <f>IF(INT(P$6/$X53)*$X$7&gt;P52*($X$7+$Z53)*$Y53,P52*($X$7+$Z53)-SUM($B54:O54),INT(P$6/$X53)*$X$7-P52*($X$7+$Z53)*($Y53-1)-SUM($B54:O54))+IF($Y53&gt;1,IF(INT(P$6/$X53)&gt;0,$Z53-$AA53,0),-$AA53)</f>
        <v>0</v>
      </c>
      <c r="Q54" s="603">
        <f>IF(INT(Q$6/$X53)*$X$7&gt;Q52*($X$7+$Z53)*$Y53,Q52*($X$7+$Z53)-SUM($B54:P54),INT(Q$6/$X53)*$X$7-Q52*($X$7+$Z53)*($Y53-1)-SUM($B54:P54))+IF($Y53&gt;1,IF(INT(Q$6/$X53)&gt;0,$Z53-$AA53,0),-$AA53)</f>
        <v>2</v>
      </c>
      <c r="R54" s="603">
        <f>IF(INT(R$6/$X53)*$X$7&gt;R52*($X$7+$Z53)*$Y53,R52*($X$7+$Z53)-SUM($B54:Q54),INT(R$6/$X53)*$X$7-R52*($X$7+$Z53)*($Y53-1)-SUM($B54:Q54))+IF($Y53&gt;1,IF(INT(R$6/$X53)&gt;0,$Z53-$AA53,0),-$AA53)</f>
        <v>0</v>
      </c>
      <c r="S54" s="603">
        <f>IF(INT(S$6/$X53)*$X$7&gt;S52*($X$7+$Z53)*$Y53,S52*($X$7+$Z53)-SUM($B54:R54),INT(S$6/$X53)*$X$7-S52*($X$7+$Z53)*($Y53-1)-SUM($B54:R54))+IF($Y53&gt;1,IF(INT(S$6/$X53)&gt;0,$Z53-$AA53,0),-$AA53)</f>
        <v>0</v>
      </c>
      <c r="T54" s="603">
        <f>IF(INT(T$6/$X53)*$X$7&gt;T52*($X$7+$Z53)*$Y53,T52*($X$7+$Z53)-SUM($B54:S54),INT(T$6/$X53)*$X$7-T52*($X$7+$Z53)*($Y53-1)-SUM($B54:S54))+IF($Y53&gt;1,IF(INT(T$6/$X53)&gt;0,$Z53-$AA53,0),-$AA53)</f>
        <v>2</v>
      </c>
      <c r="U54" s="603">
        <f>IF(INT(U$6/$X53)*$X$7&gt;U52*($X$7+$Z53)*$Y53,U52*($X$7+$Z53)-SUM($B54:T54),INT(U$6/$X53)*$X$7-U52*($X$7+$Z53)*($Y53-1)-SUM($B54:T54))+IF($Y53&gt;1,IF(INT(U$6/$X53)&gt;0,$Z53-$AA53,0),-$AA53)</f>
        <v>0</v>
      </c>
      <c r="V54" s="603">
        <f>IF(INT(V$6/$X53)*$X$7&gt;V52*($X$7+$Z53)*$Y53,V52*($X$7+$Z53)-SUM($B54:U54),INT(V$6/$X53)*$X$7-V52*($X$7+$Z53)*($Y53-1)-SUM($B54:U54))+IF($Y53&gt;1,IF(INT(V$6/$X53)&gt;0,$Z53-$AA53,0),-$AA53)</f>
        <v>0</v>
      </c>
      <c r="W54" s="681"/>
      <c r="X54"/>
      <c r="Y54"/>
      <c r="Z54"/>
    </row>
    <row r="55" spans="1:28" s="102" customFormat="1">
      <c r="W55" s="668"/>
    </row>
    <row r="56" spans="1:28" s="102" customFormat="1" hidden="1">
      <c r="A56" s="140" t="s">
        <v>934</v>
      </c>
      <c r="B56" s="603"/>
      <c r="C56" s="140">
        <f t="shared" ref="C56:V56" si="17">INT((INT(C$6/$X57)*$X$7+$X$7+$Z57-1)/($X$7+$Z57)/$Y57)</f>
        <v>0</v>
      </c>
      <c r="D56" s="140">
        <f t="shared" si="17"/>
        <v>0</v>
      </c>
      <c r="E56" s="140">
        <f t="shared" si="17"/>
        <v>0</v>
      </c>
      <c r="F56" s="140">
        <f t="shared" si="17"/>
        <v>0</v>
      </c>
      <c r="G56" s="140">
        <f t="shared" si="17"/>
        <v>0</v>
      </c>
      <c r="H56" s="140">
        <f t="shared" si="17"/>
        <v>1</v>
      </c>
      <c r="I56" s="140">
        <f t="shared" si="17"/>
        <v>1</v>
      </c>
      <c r="J56" s="140">
        <f t="shared" si="17"/>
        <v>1</v>
      </c>
      <c r="K56" s="140">
        <f t="shared" si="17"/>
        <v>1</v>
      </c>
      <c r="L56" s="140">
        <f t="shared" si="17"/>
        <v>1</v>
      </c>
      <c r="M56" s="140">
        <f t="shared" si="17"/>
        <v>1</v>
      </c>
      <c r="N56" s="140">
        <f t="shared" si="17"/>
        <v>1</v>
      </c>
      <c r="O56" s="140">
        <f t="shared" si="17"/>
        <v>1</v>
      </c>
      <c r="P56" s="140">
        <f t="shared" si="17"/>
        <v>1</v>
      </c>
      <c r="Q56" s="140">
        <f t="shared" si="17"/>
        <v>2</v>
      </c>
      <c r="R56" s="140">
        <f t="shared" si="17"/>
        <v>2</v>
      </c>
      <c r="S56" s="140">
        <f t="shared" si="17"/>
        <v>2</v>
      </c>
      <c r="T56" s="140">
        <f t="shared" si="17"/>
        <v>2</v>
      </c>
      <c r="U56" s="140">
        <f t="shared" si="17"/>
        <v>2</v>
      </c>
      <c r="V56" s="140">
        <f t="shared" si="17"/>
        <v>2</v>
      </c>
    </row>
    <row r="57" spans="1:28" s="102" customFormat="1">
      <c r="A57" s="140" t="s">
        <v>935</v>
      </c>
      <c r="B57" s="603" t="s">
        <v>278</v>
      </c>
      <c r="C57" s="603">
        <f>IF($Y57=1,0,$X$7*(INT(C$6/$X57)-INT(B$6/$X57))-IF(SUM($B57:B57)&gt;0,C58,0))</f>
        <v>0</v>
      </c>
      <c r="D57" s="603">
        <f>IF($Y57=1,0,$X$7*(INT(D$6/$X57)-INT(C$6/$X57))-IF(SUM($B57:C57)&gt;0,D58,0))</f>
        <v>0</v>
      </c>
      <c r="E57" s="603">
        <f>IF($Y57=1,0,$X$7*(INT(E$6/$X57)-INT(D$6/$X57))-IF(SUM($B57:D57)&gt;0,E58,0))</f>
        <v>2</v>
      </c>
      <c r="F57" s="603">
        <f>IF($Y57=1,0,$X$7*(INT(F$6/$X57)-INT(E$6/$X57))-IF(SUM($B57:E57)&gt;0,F58,0))</f>
        <v>0</v>
      </c>
      <c r="G57" s="603">
        <f>IF($Y57=1,0,$X$7*(INT(G$6/$X57)-INT(F$6/$X57))-IF(SUM($B57:F57)&gt;0,G58,0))</f>
        <v>0</v>
      </c>
      <c r="H57" s="603">
        <f>IF($Y57=1,0,$X$7*(INT(H$6/$X57)-INT(G$6/$X57))-IF(SUM($B57:G57)&gt;0,H58,0))</f>
        <v>1</v>
      </c>
      <c r="I57" s="603">
        <f>IF($Y57=1,0,$X$7*(INT(I$6/$X57)-INT(H$6/$X57))-IF(SUM($B57:H57)&gt;0,I58,0))</f>
        <v>0</v>
      </c>
      <c r="J57" s="603">
        <f>IF($Y57=1,0,$X$7*(INT(J$6/$X57)-INT(I$6/$X57))-IF(SUM($B57:I57)&gt;0,J58,0))</f>
        <v>0</v>
      </c>
      <c r="K57" s="603">
        <f>IF($Y57=1,0,$X$7*(INT(K$6/$X57)-INT(J$6/$X57))-IF(SUM($B57:J57)&gt;0,K58,0))</f>
        <v>0</v>
      </c>
      <c r="L57" s="603">
        <f>IF($Y57=1,0,$X$7*(INT(L$6/$X57)-INT(K$6/$X57))-IF(SUM($B57:K57)&gt;0,L58,0))</f>
        <v>0</v>
      </c>
      <c r="M57" s="603">
        <f>IF($Y57=1,0,$X$7*(INT(M$6/$X57)-INT(L$6/$X57))-IF(SUM($B57:L57)&gt;0,M58,0))</f>
        <v>0</v>
      </c>
      <c r="N57" s="603">
        <f>IF($Y57=1,0,$X$7*(INT(N$6/$X57)-INT(M$6/$X57))-IF(SUM($B57:M57)&gt;0,N58,0))</f>
        <v>2</v>
      </c>
      <c r="O57" s="603">
        <f>IF($Y57=1,0,$X$7*(INT(O$6/$X57)-INT(N$6/$X57))-IF(SUM($B57:N57)&gt;0,O58,0))</f>
        <v>0</v>
      </c>
      <c r="P57" s="603">
        <f>IF($Y57=1,0,$X$7*(INT(P$6/$X57)-INT(O$6/$X57))-IF(SUM($B57:O57)&gt;0,P58,0))</f>
        <v>0</v>
      </c>
      <c r="Q57" s="603">
        <f>IF($Y57=1,0,$X$7*(INT(Q$6/$X57)-INT(P$6/$X57))-IF(SUM($B57:P57)&gt;0,Q58,0))</f>
        <v>1</v>
      </c>
      <c r="R57" s="603">
        <f>IF($Y57=1,0,$X$7*(INT(R$6/$X57)-INT(Q$6/$X57))-IF(SUM($B57:Q57)&gt;0,R58,0))</f>
        <v>0</v>
      </c>
      <c r="S57" s="603">
        <f>IF($Y57=1,0,$X$7*(INT(S$6/$X57)-INT(R$6/$X57))-IF(SUM($B57:R57)&gt;0,S58,0))</f>
        <v>0</v>
      </c>
      <c r="T57" s="603">
        <f>IF($Y57=1,0,$X$7*(INT(T$6/$X57)-INT(S$6/$X57))-IF(SUM($B57:S57)&gt;0,T58,0))</f>
        <v>0</v>
      </c>
      <c r="U57" s="603">
        <f>IF($Y57=1,0,$X$7*(INT(U$6/$X57)-INT(T$6/$X57))-IF(SUM($B57:T57)&gt;0,U58,0))</f>
        <v>0</v>
      </c>
      <c r="V57" s="603">
        <f>IF($Y57=1,0,$X$7*(INT(V$6/$X57)-INT(U$6/$X57))-IF(SUM($B57:U57)&gt;0,V58,0))</f>
        <v>0</v>
      </c>
      <c r="W57" s="678" t="str">
        <f xml:space="preserve"> 'GT schd cost(7FA)'!A23</f>
        <v>Row 1 Support Ring</v>
      </c>
      <c r="X57" s="678">
        <f>IF($AD$6=1,'GTDB(7FA)'!B26,'GTDB(7FA)'!G26)</f>
        <v>24000</v>
      </c>
      <c r="Y57" s="678">
        <f>IF($AD$6=1,'GTDB(7FA)'!C26,'GTDB(7FA)'!H26)</f>
        <v>2</v>
      </c>
      <c r="Z57" s="679">
        <v>1</v>
      </c>
      <c r="AA57" s="834">
        <f>'Initial_Spares(7FA)'!$E$20</f>
        <v>0</v>
      </c>
      <c r="AB57" s="642">
        <f>'GT schd cost(7FA)'!X23+'GT schd cost(7FA)'!X46</f>
        <v>450.66199999999998</v>
      </c>
    </row>
    <row r="58" spans="1:28" s="102" customFormat="1">
      <c r="A58" s="140" t="s">
        <v>936</v>
      </c>
      <c r="B58" s="603" t="s">
        <v>278</v>
      </c>
      <c r="C58" s="603">
        <f>IF(INT(C$6/$X57)*$X$7&gt;C56*($X$7+$Z57)*$Y57,C56*($X$7+$Z57)-SUM($B58:B58),INT(C$6/$X57)*$X$7-C56*($X$7+$Z57)*($Y57-1)-SUM($B58:B58))+IF($Y57&gt;1,IF(INT(C$6/$X57)&gt;0,$Z57-$AA57,0),-$AA57)</f>
        <v>0</v>
      </c>
      <c r="D58" s="603">
        <f>IF(INT(D$6/$X57)*$X$7&gt;D56*($X$7+$Z57)*$Y57,D56*($X$7+$Z57)-SUM($B58:C58),INT(D$6/$X57)*$X$7-D56*($X$7+$Z57)*($Y57-1)-SUM($B58:C58))+IF($Y57&gt;1,IF(INT(D$6/$X57)&gt;0,$Z57-$AA57,0),-$AA57)</f>
        <v>0</v>
      </c>
      <c r="E58" s="603">
        <f>IF(INT(E$6/$X57)*$X$7&gt;E56*($X$7+$Z57)*$Y57,E56*($X$7+$Z57)-SUM($B58:D58),INT(E$6/$X57)*$X$7-E56*($X$7+$Z57)*($Y57-1)-SUM($B58:D58))+IF($Y57&gt;1,IF(INT(E$6/$X57)&gt;0,$Z57-$AA57,0),-$AA57)</f>
        <v>1</v>
      </c>
      <c r="F58" s="603">
        <f>IF(INT(F$6/$X57)*$X$7&gt;F56*($X$7+$Z57)*$Y57,F56*($X$7+$Z57)-SUM($B58:E58),INT(F$6/$X57)*$X$7-F56*($X$7+$Z57)*($Y57-1)-SUM($B58:E58))+IF($Y57&gt;1,IF(INT(F$6/$X57)&gt;0,$Z57-$AA57,0),-$AA57)</f>
        <v>0</v>
      </c>
      <c r="G58" s="603">
        <f>IF(INT(G$6/$X57)*$X$7&gt;G56*($X$7+$Z57)*$Y57,G56*($X$7+$Z57)-SUM($B58:F58),INT(G$6/$X57)*$X$7-G56*($X$7+$Z57)*($Y57-1)-SUM($B58:F58))+IF($Y57&gt;1,IF(INT(G$6/$X57)&gt;0,$Z57-$AA57,0),-$AA57)</f>
        <v>0</v>
      </c>
      <c r="H58" s="603">
        <f>IF(INT(H$6/$X57)*$X$7&gt;H56*($X$7+$Z57)*$Y57,H56*($X$7+$Z57)-SUM($B58:G58),INT(H$6/$X57)*$X$7-H56*($X$7+$Z57)*($Y57-1)-SUM($B58:G58))+IF($Y57&gt;1,IF(INT(H$6/$X57)&gt;0,$Z57-$AA57,0),-$AA57)</f>
        <v>1</v>
      </c>
      <c r="I58" s="603">
        <f>IF(INT(I$6/$X57)*$X$7&gt;I56*($X$7+$Z57)*$Y57,I56*($X$7+$Z57)-SUM($B58:H58),INT(I$6/$X57)*$X$7-I56*($X$7+$Z57)*($Y57-1)-SUM($B58:H58))+IF($Y57&gt;1,IF(INT(I$6/$X57)&gt;0,$Z57-$AA57,0),-$AA57)</f>
        <v>0</v>
      </c>
      <c r="J58" s="603">
        <f>IF(INT(J$6/$X57)*$X$7&gt;J56*($X$7+$Z57)*$Y57,J56*($X$7+$Z57)-SUM($B58:I58),INT(J$6/$X57)*$X$7-J56*($X$7+$Z57)*($Y57-1)-SUM($B58:I58))+IF($Y57&gt;1,IF(INT(J$6/$X57)&gt;0,$Z57-$AA57,0),-$AA57)</f>
        <v>0</v>
      </c>
      <c r="K58" s="603">
        <f>IF(INT(K$6/$X57)*$X$7&gt;K56*($X$7+$Z57)*$Y57,K56*($X$7+$Z57)-SUM($B58:J58),INT(K$6/$X57)*$X$7-K56*($X$7+$Z57)*($Y57-1)-SUM($B58:J58))+IF($Y57&gt;1,IF(INT(K$6/$X57)&gt;0,$Z57-$AA57,0),-$AA57)</f>
        <v>2</v>
      </c>
      <c r="L58" s="603">
        <f>IF(INT(L$6/$X57)*$X$7&gt;L56*($X$7+$Z57)*$Y57,L56*($X$7+$Z57)-SUM($B58:K58),INT(L$6/$X57)*$X$7-L56*($X$7+$Z57)*($Y57-1)-SUM($B58:K58))+IF($Y57&gt;1,IF(INT(L$6/$X57)&gt;0,$Z57-$AA57,0),-$AA57)</f>
        <v>0</v>
      </c>
      <c r="M58" s="603">
        <f>IF(INT(M$6/$X57)*$X$7&gt;M56*($X$7+$Z57)*$Y57,M56*($X$7+$Z57)-SUM($B58:L58),INT(M$6/$X57)*$X$7-M56*($X$7+$Z57)*($Y57-1)-SUM($B58:L58))+IF($Y57&gt;1,IF(INT(M$6/$X57)&gt;0,$Z57-$AA57,0),-$AA57)</f>
        <v>0</v>
      </c>
      <c r="N58" s="603">
        <f>IF(INT(N$6/$X57)*$X$7&gt;N56*($X$7+$Z57)*$Y57,N56*($X$7+$Z57)-SUM($B58:M58),INT(N$6/$X57)*$X$7-N56*($X$7+$Z57)*($Y57-1)-SUM($B58:M58))+IF($Y57&gt;1,IF(INT(N$6/$X57)&gt;0,$Z57-$AA57,0),-$AA57)</f>
        <v>0</v>
      </c>
      <c r="O58" s="603">
        <f>IF(INT(O$6/$X57)*$X$7&gt;O56*($X$7+$Z57)*$Y57,O56*($X$7+$Z57)-SUM($B58:N58),INT(O$6/$X57)*$X$7-O56*($X$7+$Z57)*($Y57-1)-SUM($B58:N58))+IF($Y57&gt;1,IF(INT(O$6/$X57)&gt;0,$Z57-$AA57,0),-$AA57)</f>
        <v>0</v>
      </c>
      <c r="P58" s="603">
        <f>IF(INT(P$6/$X57)*$X$7&gt;P56*($X$7+$Z57)*$Y57,P56*($X$7+$Z57)-SUM($B58:O58),INT(P$6/$X57)*$X$7-P56*($X$7+$Z57)*($Y57-1)-SUM($B58:O58))+IF($Y57&gt;1,IF(INT(P$6/$X57)&gt;0,$Z57-$AA57,0),-$AA57)</f>
        <v>0</v>
      </c>
      <c r="Q58" s="603">
        <f>IF(INT(Q$6/$X57)*$X$7&gt;Q56*($X$7+$Z57)*$Y57,Q56*($X$7+$Z57)-SUM($B58:P58),INT(Q$6/$X57)*$X$7-Q56*($X$7+$Z57)*($Y57-1)-SUM($B58:P58))+IF($Y57&gt;1,IF(INT(Q$6/$X57)&gt;0,$Z57-$AA57,0),-$AA57)</f>
        <v>1</v>
      </c>
      <c r="R58" s="603">
        <f>IF(INT(R$6/$X57)*$X$7&gt;R56*($X$7+$Z57)*$Y57,R56*($X$7+$Z57)-SUM($B58:Q58),INT(R$6/$X57)*$X$7-R56*($X$7+$Z57)*($Y57-1)-SUM($B58:Q58))+IF($Y57&gt;1,IF(INT(R$6/$X57)&gt;0,$Z57-$AA57,0),-$AA57)</f>
        <v>0</v>
      </c>
      <c r="S58" s="603">
        <f>IF(INT(S$6/$X57)*$X$7&gt;S56*($X$7+$Z57)*$Y57,S56*($X$7+$Z57)-SUM($B58:R58),INT(S$6/$X57)*$X$7-S56*($X$7+$Z57)*($Y57-1)-SUM($B58:R58))+IF($Y57&gt;1,IF(INT(S$6/$X57)&gt;0,$Z57-$AA57,0),-$AA57)</f>
        <v>0</v>
      </c>
      <c r="T58" s="603">
        <f>IF(INT(T$6/$X57)*$X$7&gt;T56*($X$7+$Z57)*$Y57,T56*($X$7+$Z57)-SUM($B58:S58),INT(T$6/$X57)*$X$7-T56*($X$7+$Z57)*($Y57-1)-SUM($B58:S58))+IF($Y57&gt;1,IF(INT(T$6/$X57)&gt;0,$Z57-$AA57,0),-$AA57)</f>
        <v>2</v>
      </c>
      <c r="U58" s="603">
        <f>IF(INT(U$6/$X57)*$X$7&gt;U56*($X$7+$Z57)*$Y57,U56*($X$7+$Z57)-SUM($B58:T58),INT(U$6/$X57)*$X$7-U56*($X$7+$Z57)*($Y57-1)-SUM($B58:T58))+IF($Y57&gt;1,IF(INT(U$6/$X57)&gt;0,$Z57-$AA57,0),-$AA57)</f>
        <v>0</v>
      </c>
      <c r="V58" s="603">
        <f>IF(INT(V$6/$X57)*$X$7&gt;V56*($X$7+$Z57)*$Y57,V56*($X$7+$Z57)-SUM($B58:U58),INT(V$6/$X57)*$X$7-V56*($X$7+$Z57)*($Y57-1)-SUM($B58:U58))+IF($Y57&gt;1,IF(INT(V$6/$X57)&gt;0,$Z57-$AA57,0),-$AA57)</f>
        <v>0</v>
      </c>
      <c r="W58" s="681"/>
      <c r="X58"/>
      <c r="Y58"/>
      <c r="Z58"/>
    </row>
    <row r="59" spans="1:28" s="102" customFormat="1">
      <c r="B59" s="615"/>
      <c r="C59" s="615"/>
      <c r="D59" s="615"/>
      <c r="E59" s="615"/>
      <c r="F59" s="615"/>
      <c r="G59" s="615"/>
      <c r="H59" s="615"/>
      <c r="I59" s="615"/>
      <c r="J59" s="615"/>
      <c r="K59" s="615"/>
      <c r="W59" s="663"/>
    </row>
    <row r="60" spans="1:28" s="102" customFormat="1" hidden="1">
      <c r="A60" s="140" t="s">
        <v>934</v>
      </c>
      <c r="B60" s="603"/>
      <c r="C60" s="140">
        <f t="shared" ref="C60:V60" si="18">INT((INT(C$6/$X61)*$X$7+$X$7+$Z61-1)/($X$7+$Z61)/$Y61)</f>
        <v>0</v>
      </c>
      <c r="D60" s="140">
        <f t="shared" si="18"/>
        <v>0</v>
      </c>
      <c r="E60" s="140">
        <f t="shared" si="18"/>
        <v>0</v>
      </c>
      <c r="F60" s="140">
        <f t="shared" si="18"/>
        <v>0</v>
      </c>
      <c r="G60" s="140">
        <f t="shared" si="18"/>
        <v>0</v>
      </c>
      <c r="H60" s="140">
        <f t="shared" si="18"/>
        <v>0</v>
      </c>
      <c r="I60" s="140">
        <f t="shared" si="18"/>
        <v>0</v>
      </c>
      <c r="J60" s="140">
        <f t="shared" si="18"/>
        <v>0</v>
      </c>
      <c r="K60" s="140">
        <f t="shared" si="18"/>
        <v>0</v>
      </c>
      <c r="L60" s="140">
        <f t="shared" si="18"/>
        <v>0</v>
      </c>
      <c r="M60" s="140">
        <f t="shared" si="18"/>
        <v>0</v>
      </c>
      <c r="N60" s="140">
        <f t="shared" si="18"/>
        <v>1</v>
      </c>
      <c r="O60" s="140">
        <f t="shared" si="18"/>
        <v>1</v>
      </c>
      <c r="P60" s="140">
        <f t="shared" si="18"/>
        <v>1</v>
      </c>
      <c r="Q60" s="140">
        <f t="shared" si="18"/>
        <v>1</v>
      </c>
      <c r="R60" s="140">
        <f t="shared" si="18"/>
        <v>1</v>
      </c>
      <c r="S60" s="140">
        <f t="shared" si="18"/>
        <v>1</v>
      </c>
      <c r="T60" s="140">
        <f t="shared" si="18"/>
        <v>1</v>
      </c>
      <c r="U60" s="140">
        <f t="shared" si="18"/>
        <v>1</v>
      </c>
      <c r="V60" s="140">
        <f t="shared" si="18"/>
        <v>1</v>
      </c>
    </row>
    <row r="61" spans="1:28" s="102" customFormat="1">
      <c r="A61" s="140" t="s">
        <v>935</v>
      </c>
      <c r="B61" s="603" t="s">
        <v>278</v>
      </c>
      <c r="C61" s="603">
        <f>IF($Y61=1,0,$X$7*(INT(C$6/$X61)-INT(B$6/$X61))-IF(SUM($B61:B61)&gt;0,C62,0))</f>
        <v>0</v>
      </c>
      <c r="D61" s="603">
        <f>IF($Y61=1,0,$X$7*(INT(D$6/$X61)-INT(C$6/$X61))-IF(SUM($B61:C61)&gt;0,D62,0))</f>
        <v>0</v>
      </c>
      <c r="E61" s="603">
        <f>IF($Y61=1,0,$X$7*(INT(E$6/$X61)-INT(D$6/$X61))-IF(SUM($B61:D61)&gt;0,E62,0))</f>
        <v>2</v>
      </c>
      <c r="F61" s="603">
        <f>IF($Y61=1,0,$X$7*(INT(F$6/$X61)-INT(E$6/$X61))-IF(SUM($B61:E61)&gt;0,F62,0))</f>
        <v>0</v>
      </c>
      <c r="G61" s="603">
        <f>IF($Y61=1,0,$X$7*(INT(G$6/$X61)-INT(F$6/$X61))-IF(SUM($B61:F61)&gt;0,G62,0))</f>
        <v>0</v>
      </c>
      <c r="H61" s="603">
        <f>IF($Y61=1,0,$X$7*(INT(H$6/$X61)-INT(G$6/$X61))-IF(SUM($B61:G61)&gt;0,H62,0))</f>
        <v>2</v>
      </c>
      <c r="I61" s="603">
        <f>IF($Y61=1,0,$X$7*(INT(I$6/$X61)-INT(H$6/$X61))-IF(SUM($B61:H61)&gt;0,I62,0))</f>
        <v>0</v>
      </c>
      <c r="J61" s="603">
        <f>IF($Y61=1,0,$X$7*(INT(J$6/$X61)-INT(I$6/$X61))-IF(SUM($B61:I61)&gt;0,J62,0))</f>
        <v>0</v>
      </c>
      <c r="K61" s="603">
        <f>IF($Y61=1,0,$X$7*(INT(K$6/$X61)-INT(J$6/$X61))-IF(SUM($B61:J61)&gt;0,K62,0))</f>
        <v>2</v>
      </c>
      <c r="L61" s="603">
        <f>IF($Y61=1,0,$X$7*(INT(L$6/$X61)-INT(K$6/$X61))-IF(SUM($B61:K61)&gt;0,L62,0))</f>
        <v>0</v>
      </c>
      <c r="M61" s="603">
        <f>IF($Y61=1,0,$X$7*(INT(M$6/$X61)-INT(L$6/$X61))-IF(SUM($B61:L61)&gt;0,M62,0))</f>
        <v>0</v>
      </c>
      <c r="N61" s="603">
        <f>IF($Y61=1,0,$X$7*(INT(N$6/$X61)-INT(M$6/$X61))-IF(SUM($B61:M61)&gt;0,N62,0))</f>
        <v>0</v>
      </c>
      <c r="O61" s="603">
        <f>IF($Y61=1,0,$X$7*(INT(O$6/$X61)-INT(N$6/$X61))-IF(SUM($B61:N61)&gt;0,O62,0))</f>
        <v>0</v>
      </c>
      <c r="P61" s="603">
        <f>IF($Y61=1,0,$X$7*(INT(P$6/$X61)-INT(O$6/$X61))-IF(SUM($B61:O61)&gt;0,P62,0))</f>
        <v>0</v>
      </c>
      <c r="Q61" s="603">
        <f>IF($Y61=1,0,$X$7*(INT(Q$6/$X61)-INT(P$6/$X61))-IF(SUM($B61:P61)&gt;0,Q62,0))</f>
        <v>1</v>
      </c>
      <c r="R61" s="603">
        <f>IF($Y61=1,0,$X$7*(INT(R$6/$X61)-INT(Q$6/$X61))-IF(SUM($B61:Q61)&gt;0,R62,0))</f>
        <v>0</v>
      </c>
      <c r="S61" s="603">
        <f>IF($Y61=1,0,$X$7*(INT(S$6/$X61)-INT(R$6/$X61))-IF(SUM($B61:R61)&gt;0,S62,0))</f>
        <v>0</v>
      </c>
      <c r="T61" s="603">
        <f>IF($Y61=1,0,$X$7*(INT(T$6/$X61)-INT(S$6/$X61))-IF(SUM($B61:S61)&gt;0,T62,0))</f>
        <v>2</v>
      </c>
      <c r="U61" s="603">
        <f>IF($Y61=1,0,$X$7*(INT(U$6/$X61)-INT(T$6/$X61))-IF(SUM($B61:T61)&gt;0,U62,0))</f>
        <v>0</v>
      </c>
      <c r="V61" s="603">
        <f>IF($Y61=1,0,$X$7*(INT(V$6/$X61)-INT(U$6/$X61))-IF(SUM($B61:U61)&gt;0,V62,0))</f>
        <v>0</v>
      </c>
      <c r="W61" s="678" t="str">
        <f xml:space="preserve"> 'GT schd cost(7FA)'!A24</f>
        <v xml:space="preserve">1st Stage Shroud Blocks </v>
      </c>
      <c r="X61" s="678">
        <f>IF($AD$6=1,'GTDB(7FA)'!B27,'GTDB(7FA)'!G27)</f>
        <v>24000</v>
      </c>
      <c r="Y61" s="678">
        <f>IF($AD$6=1,'GTDB(7FA)'!C27,'GTDB(7FA)'!H27)</f>
        <v>3</v>
      </c>
      <c r="Z61" s="679">
        <v>1</v>
      </c>
      <c r="AA61" s="834">
        <f>'Initial_Spares(7FA)'!$E$21</f>
        <v>1</v>
      </c>
      <c r="AB61" s="642">
        <f>'GT schd cost(7FA)'!X24+'GT schd cost(7FA)'!X47</f>
        <v>3276.7289999999994</v>
      </c>
    </row>
    <row r="62" spans="1:28" s="102" customFormat="1">
      <c r="A62" s="140" t="s">
        <v>936</v>
      </c>
      <c r="B62" s="603" t="s">
        <v>278</v>
      </c>
      <c r="C62" s="603">
        <f>IF(INT(C$6/$X61)*$X$7&gt;C60*($X$7+$Z61)*$Y61,C60*($X$7+$Z61)-SUM($B62:B62),INT(C$6/$X61)*$X$7-C60*($X$7+$Z61)*($Y61-1)-SUM($B62:B62))+IF($Y61&gt;1,IF(INT(C$6/$X61)&gt;0,$Z61-$AA61,0),-$AA61)</f>
        <v>0</v>
      </c>
      <c r="D62" s="603">
        <f>IF(INT(D$6/$X61)*$X$7&gt;D60*($X$7+$Z61)*$Y61,D60*($X$7+$Z61)-SUM($B62:C62),INT(D$6/$X61)*$X$7-D60*($X$7+$Z61)*($Y61-1)-SUM($B62:C62))+IF($Y61&gt;1,IF(INT(D$6/$X61)&gt;0,$Z61-$AA61,0),-$AA61)</f>
        <v>0</v>
      </c>
      <c r="E62" s="603">
        <f>IF(INT(E$6/$X61)*$X$7&gt;E60*($X$7+$Z61)*$Y61,E60*($X$7+$Z61)-SUM($B62:D62),INT(E$6/$X61)*$X$7-E60*($X$7+$Z61)*($Y61-1)-SUM($B62:D62))+IF($Y61&gt;1,IF(INT(E$6/$X61)&gt;0,$Z61-$AA61,0),-$AA61)</f>
        <v>0</v>
      </c>
      <c r="F62" s="603">
        <f>IF(INT(F$6/$X61)*$X$7&gt;F60*($X$7+$Z61)*$Y61,F60*($X$7+$Z61)-SUM($B62:E62),INT(F$6/$X61)*$X$7-F60*($X$7+$Z61)*($Y61-1)-SUM($B62:E62))+IF($Y61&gt;1,IF(INT(F$6/$X61)&gt;0,$Z61-$AA61,0),-$AA61)</f>
        <v>0</v>
      </c>
      <c r="G62" s="603">
        <f>IF(INT(G$6/$X61)*$X$7&gt;G60*($X$7+$Z61)*$Y61,G60*($X$7+$Z61)-SUM($B62:F62),INT(G$6/$X61)*$X$7-G60*($X$7+$Z61)*($Y61-1)-SUM($B62:F62))+IF($Y61&gt;1,IF(INT(G$6/$X61)&gt;0,$Z61-$AA61,0),-$AA61)</f>
        <v>0</v>
      </c>
      <c r="H62" s="603">
        <f>IF(INT(H$6/$X61)*$X$7&gt;H60*($X$7+$Z61)*$Y61,H60*($X$7+$Z61)-SUM($B62:G62),INT(H$6/$X61)*$X$7-H60*($X$7+$Z61)*($Y61-1)-SUM($B62:G62))+IF($Y61&gt;1,IF(INT(H$6/$X61)&gt;0,$Z61-$AA61,0),-$AA61)</f>
        <v>0</v>
      </c>
      <c r="I62" s="603">
        <f>IF(INT(I$6/$X61)*$X$7&gt;I60*($X$7+$Z61)*$Y61,I60*($X$7+$Z61)-SUM($B62:H62),INT(I$6/$X61)*$X$7-I60*($X$7+$Z61)*($Y61-1)-SUM($B62:H62))+IF($Y61&gt;1,IF(INT(I$6/$X61)&gt;0,$Z61-$AA61,0),-$AA61)</f>
        <v>0</v>
      </c>
      <c r="J62" s="603">
        <f>IF(INT(J$6/$X61)*$X$7&gt;J60*($X$7+$Z61)*$Y61,J60*($X$7+$Z61)-SUM($B62:I62),INT(J$6/$X61)*$X$7-J60*($X$7+$Z61)*($Y61-1)-SUM($B62:I62))+IF($Y61&gt;1,IF(INT(J$6/$X61)&gt;0,$Z61-$AA61,0),-$AA61)</f>
        <v>0</v>
      </c>
      <c r="K62" s="603">
        <f>IF(INT(K$6/$X61)*$X$7&gt;K60*($X$7+$Z61)*$Y61,K60*($X$7+$Z61)-SUM($B62:J62),INT(K$6/$X61)*$X$7-K60*($X$7+$Z61)*($Y61-1)-SUM($B62:J62))+IF($Y61&gt;1,IF(INT(K$6/$X61)&gt;0,$Z61-$AA61,0),-$AA61)</f>
        <v>0</v>
      </c>
      <c r="L62" s="603">
        <f>IF(INT(L$6/$X61)*$X$7&gt;L60*($X$7+$Z61)*$Y61,L60*($X$7+$Z61)-SUM($B62:K62),INT(L$6/$X61)*$X$7-L60*($X$7+$Z61)*($Y61-1)-SUM($B62:K62))+IF($Y61&gt;1,IF(INT(L$6/$X61)&gt;0,$Z61-$AA61,0),-$AA61)</f>
        <v>0</v>
      </c>
      <c r="M62" s="603">
        <f>IF(INT(M$6/$X61)*$X$7&gt;M60*($X$7+$Z61)*$Y61,M60*($X$7+$Z61)-SUM($B62:L62),INT(M$6/$X61)*$X$7-M60*($X$7+$Z61)*($Y61-1)-SUM($B62:L62))+IF($Y61&gt;1,IF(INT(M$6/$X61)&gt;0,$Z61-$AA61,0),-$AA61)</f>
        <v>0</v>
      </c>
      <c r="N62" s="603">
        <f>IF(INT(N$6/$X61)*$X$7&gt;N60*($X$7+$Z61)*$Y61,N60*($X$7+$Z61)-SUM($B62:M62),INT(N$6/$X61)*$X$7-N60*($X$7+$Z61)*($Y61-1)-SUM($B62:M62))+IF($Y61&gt;1,IF(INT(N$6/$X61)&gt;0,$Z61-$AA61,0),-$AA61)</f>
        <v>2</v>
      </c>
      <c r="O62" s="603">
        <f>IF(INT(O$6/$X61)*$X$7&gt;O60*($X$7+$Z61)*$Y61,O60*($X$7+$Z61)-SUM($B62:N62),INT(O$6/$X61)*$X$7-O60*($X$7+$Z61)*($Y61-1)-SUM($B62:N62))+IF($Y61&gt;1,IF(INT(O$6/$X61)&gt;0,$Z61-$AA61,0),-$AA61)</f>
        <v>0</v>
      </c>
      <c r="P62" s="603">
        <f>IF(INT(P$6/$X61)*$X$7&gt;P60*($X$7+$Z61)*$Y61,P60*($X$7+$Z61)-SUM($B62:O62),INT(P$6/$X61)*$X$7-P60*($X$7+$Z61)*($Y61-1)-SUM($B62:O62))+IF($Y61&gt;1,IF(INT(P$6/$X61)&gt;0,$Z61-$AA61,0),-$AA61)</f>
        <v>0</v>
      </c>
      <c r="Q62" s="603">
        <f>IF(INT(Q$6/$X61)*$X$7&gt;Q60*($X$7+$Z61)*$Y61,Q60*($X$7+$Z61)-SUM($B62:P62),INT(Q$6/$X61)*$X$7-Q60*($X$7+$Z61)*($Y61-1)-SUM($B62:P62))+IF($Y61&gt;1,IF(INT(Q$6/$X61)&gt;0,$Z61-$AA61,0),-$AA61)</f>
        <v>1</v>
      </c>
      <c r="R62" s="603">
        <f>IF(INT(R$6/$X61)*$X$7&gt;R60*($X$7+$Z61)*$Y61,R60*($X$7+$Z61)-SUM($B62:Q62),INT(R$6/$X61)*$X$7-R60*($X$7+$Z61)*($Y61-1)-SUM($B62:Q62))+IF($Y61&gt;1,IF(INT(R$6/$X61)&gt;0,$Z61-$AA61,0),-$AA61)</f>
        <v>0</v>
      </c>
      <c r="S62" s="603">
        <f>IF(INT(S$6/$X61)*$X$7&gt;S60*($X$7+$Z61)*$Y61,S60*($X$7+$Z61)-SUM($B62:R62),INT(S$6/$X61)*$X$7-S60*($X$7+$Z61)*($Y61-1)-SUM($B62:R62))+IF($Y61&gt;1,IF(INT(S$6/$X61)&gt;0,$Z61-$AA61,0),-$AA61)</f>
        <v>0</v>
      </c>
      <c r="T62" s="603">
        <f>IF(INT(T$6/$X61)*$X$7&gt;T60*($X$7+$Z61)*$Y61,T60*($X$7+$Z61)-SUM($B62:S62),INT(T$6/$X61)*$X$7-T60*($X$7+$Z61)*($Y61-1)-SUM($B62:S62))+IF($Y61&gt;1,IF(INT(T$6/$X61)&gt;0,$Z61-$AA61,0),-$AA61)</f>
        <v>0</v>
      </c>
      <c r="U62" s="603">
        <f>IF(INT(U$6/$X61)*$X$7&gt;U60*($X$7+$Z61)*$Y61,U60*($X$7+$Z61)-SUM($B62:T62),INT(U$6/$X61)*$X$7-U60*($X$7+$Z61)*($Y61-1)-SUM($B62:T62))+IF($Y61&gt;1,IF(INT(U$6/$X61)&gt;0,$Z61-$AA61,0),-$AA61)</f>
        <v>0</v>
      </c>
      <c r="V62" s="603">
        <f>IF(INT(V$6/$X61)*$X$7&gt;V60*($X$7+$Z61)*$Y61,V60*($X$7+$Z61)-SUM($B62:U62),INT(V$6/$X61)*$X$7-V60*($X$7+$Z61)*($Y61-1)-SUM($B62:U62))+IF($Y61&gt;1,IF(INT(V$6/$X61)&gt;0,$Z61-$AA61,0),-$AA61)</f>
        <v>0</v>
      </c>
      <c r="W62" s="681"/>
      <c r="X62"/>
      <c r="Y62"/>
      <c r="Z62"/>
    </row>
    <row r="63" spans="1:28" s="102" customFormat="1">
      <c r="B63" s="615"/>
      <c r="C63" s="615"/>
      <c r="D63" s="615"/>
      <c r="E63" s="615"/>
      <c r="F63" s="615"/>
      <c r="G63" s="615"/>
      <c r="H63" s="615"/>
      <c r="I63" s="615"/>
      <c r="J63" s="615"/>
      <c r="K63" s="615"/>
      <c r="L63" s="615"/>
      <c r="M63" s="615"/>
      <c r="N63" s="615"/>
      <c r="O63" s="615"/>
      <c r="P63" s="615"/>
      <c r="Q63" s="615"/>
      <c r="R63" s="615"/>
      <c r="S63" s="615"/>
      <c r="T63" s="615"/>
      <c r="U63" s="615"/>
      <c r="V63" s="615"/>
      <c r="W63" s="663"/>
    </row>
    <row r="64" spans="1:28" s="102" customFormat="1" hidden="1">
      <c r="A64" s="140" t="s">
        <v>934</v>
      </c>
      <c r="B64" s="603"/>
      <c r="C64" s="140">
        <f t="shared" ref="C64:V64" si="19">INT((INT(C$6/$X65)*$X$7+$X$7+$Z65-1)/($X$7+$Z65)/$Y65)</f>
        <v>0</v>
      </c>
      <c r="D64" s="140">
        <f t="shared" si="19"/>
        <v>0</v>
      </c>
      <c r="E64" s="140">
        <f t="shared" si="19"/>
        <v>0</v>
      </c>
      <c r="F64" s="140">
        <f t="shared" si="19"/>
        <v>0</v>
      </c>
      <c r="G64" s="140">
        <f t="shared" si="19"/>
        <v>0</v>
      </c>
      <c r="H64" s="140">
        <f t="shared" si="19"/>
        <v>0</v>
      </c>
      <c r="I64" s="140">
        <f t="shared" si="19"/>
        <v>0</v>
      </c>
      <c r="J64" s="140">
        <f t="shared" si="19"/>
        <v>0</v>
      </c>
      <c r="K64" s="140">
        <f t="shared" si="19"/>
        <v>0</v>
      </c>
      <c r="L64" s="140">
        <f t="shared" si="19"/>
        <v>0</v>
      </c>
      <c r="M64" s="140">
        <f t="shared" si="19"/>
        <v>0</v>
      </c>
      <c r="N64" s="140">
        <f t="shared" si="19"/>
        <v>1</v>
      </c>
      <c r="O64" s="140">
        <f t="shared" si="19"/>
        <v>1</v>
      </c>
      <c r="P64" s="140">
        <f t="shared" si="19"/>
        <v>1</v>
      </c>
      <c r="Q64" s="140">
        <f t="shared" si="19"/>
        <v>1</v>
      </c>
      <c r="R64" s="140">
        <f t="shared" si="19"/>
        <v>1</v>
      </c>
      <c r="S64" s="140">
        <f t="shared" si="19"/>
        <v>1</v>
      </c>
      <c r="T64" s="140">
        <f t="shared" si="19"/>
        <v>1</v>
      </c>
      <c r="U64" s="140">
        <f t="shared" si="19"/>
        <v>1</v>
      </c>
      <c r="V64" s="140">
        <f t="shared" si="19"/>
        <v>1</v>
      </c>
    </row>
    <row r="65" spans="1:28" s="102" customFormat="1">
      <c r="A65" s="140" t="s">
        <v>935</v>
      </c>
      <c r="B65" s="603" t="s">
        <v>278</v>
      </c>
      <c r="C65" s="603">
        <f>IF($Y65=1,0,$X$7*(INT(C$6/$X65)-INT(B$6/$X65))-IF(SUM($B65:B65)&gt;0,C66,0))</f>
        <v>0</v>
      </c>
      <c r="D65" s="603">
        <f>IF($Y65=1,0,$X$7*(INT(D$6/$X65)-INT(C$6/$X65))-IF(SUM($B65:C65)&gt;0,D66,0))</f>
        <v>0</v>
      </c>
      <c r="E65" s="603">
        <f>IF($Y65=1,0,$X$7*(INT(E$6/$X65)-INT(D$6/$X65))-IF(SUM($B65:D65)&gt;0,E66,0))</f>
        <v>2</v>
      </c>
      <c r="F65" s="603">
        <f>IF($Y65=1,0,$X$7*(INT(F$6/$X65)-INT(E$6/$X65))-IF(SUM($B65:E65)&gt;0,F66,0))</f>
        <v>0</v>
      </c>
      <c r="G65" s="603">
        <f>IF($Y65=1,0,$X$7*(INT(G$6/$X65)-INT(F$6/$X65))-IF(SUM($B65:F65)&gt;0,G66,0))</f>
        <v>0</v>
      </c>
      <c r="H65" s="603">
        <f>IF($Y65=1,0,$X$7*(INT(H$6/$X65)-INT(G$6/$X65))-IF(SUM($B65:G65)&gt;0,H66,0))</f>
        <v>2</v>
      </c>
      <c r="I65" s="603">
        <f>IF($Y65=1,0,$X$7*(INT(I$6/$X65)-INT(H$6/$X65))-IF(SUM($B65:H65)&gt;0,I66,0))</f>
        <v>0</v>
      </c>
      <c r="J65" s="603">
        <f>IF($Y65=1,0,$X$7*(INT(J$6/$X65)-INT(I$6/$X65))-IF(SUM($B65:I65)&gt;0,J66,0))</f>
        <v>0</v>
      </c>
      <c r="K65" s="603">
        <f>IF($Y65=1,0,$X$7*(INT(K$6/$X65)-INT(J$6/$X65))-IF(SUM($B65:J65)&gt;0,K66,0))</f>
        <v>2</v>
      </c>
      <c r="L65" s="603">
        <f>IF($Y65=1,0,$X$7*(INT(L$6/$X65)-INT(K$6/$X65))-IF(SUM($B65:K65)&gt;0,L66,0))</f>
        <v>0</v>
      </c>
      <c r="M65" s="603">
        <f>IF($Y65=1,0,$X$7*(INT(M$6/$X65)-INT(L$6/$X65))-IF(SUM($B65:L65)&gt;0,M66,0))</f>
        <v>0</v>
      </c>
      <c r="N65" s="603">
        <f>IF($Y65=1,0,$X$7*(INT(N$6/$X65)-INT(M$6/$X65))-IF(SUM($B65:M65)&gt;0,N66,0))</f>
        <v>0</v>
      </c>
      <c r="O65" s="603">
        <f>IF($Y65=1,0,$X$7*(INT(O$6/$X65)-INT(N$6/$X65))-IF(SUM($B65:N65)&gt;0,O66,0))</f>
        <v>0</v>
      </c>
      <c r="P65" s="603">
        <f>IF($Y65=1,0,$X$7*(INT(P$6/$X65)-INT(O$6/$X65))-IF(SUM($B65:O65)&gt;0,P66,0))</f>
        <v>0</v>
      </c>
      <c r="Q65" s="603">
        <f>IF($Y65=1,0,$X$7*(INT(Q$6/$X65)-INT(P$6/$X65))-IF(SUM($B65:P65)&gt;0,Q66,0))</f>
        <v>1</v>
      </c>
      <c r="R65" s="603">
        <f>IF($Y65=1,0,$X$7*(INT(R$6/$X65)-INT(Q$6/$X65))-IF(SUM($B65:Q65)&gt;0,R66,0))</f>
        <v>0</v>
      </c>
      <c r="S65" s="603">
        <f>IF($Y65=1,0,$X$7*(INT(S$6/$X65)-INT(R$6/$X65))-IF(SUM($B65:R65)&gt;0,S66,0))</f>
        <v>0</v>
      </c>
      <c r="T65" s="603">
        <f>IF($Y65=1,0,$X$7*(INT(T$6/$X65)-INT(S$6/$X65))-IF(SUM($B65:S65)&gt;0,T66,0))</f>
        <v>2</v>
      </c>
      <c r="U65" s="603">
        <f>IF($Y65=1,0,$X$7*(INT(U$6/$X65)-INT(T$6/$X65))-IF(SUM($B65:T65)&gt;0,U66,0))</f>
        <v>0</v>
      </c>
      <c r="V65" s="603">
        <f>IF($Y65=1,0,$X$7*(INT(V$6/$X65)-INT(U$6/$X65))-IF(SUM($B65:U65)&gt;0,V66,0))</f>
        <v>0</v>
      </c>
      <c r="W65" s="683" t="str">
        <f xml:space="preserve"> 'GT schd cost(7FA)'!A25</f>
        <v>2nd Stage Shroud Blocks</v>
      </c>
      <c r="X65" s="678">
        <f>IF($AD$6=1,'GTDB(7FA)'!B28,'GTDB(7FA)'!G28)</f>
        <v>24000</v>
      </c>
      <c r="Y65" s="678">
        <f>IF($AD$6=1,'GTDB(7FA)'!C28,'GTDB(7FA)'!H28)</f>
        <v>3</v>
      </c>
      <c r="Z65" s="679">
        <v>1</v>
      </c>
      <c r="AA65" s="834">
        <f>'Initial_Spares(7FA)'!$E$22</f>
        <v>0</v>
      </c>
      <c r="AB65" s="642">
        <f>'GT schd cost(7FA)'!X25+'GT schd cost(7FA)'!X48</f>
        <v>3064.232</v>
      </c>
    </row>
    <row r="66" spans="1:28" s="102" customFormat="1">
      <c r="A66" s="140" t="s">
        <v>936</v>
      </c>
      <c r="B66" s="603" t="s">
        <v>278</v>
      </c>
      <c r="C66" s="603">
        <f>IF(INT(C$6/$X65)*$X$7&gt;C64*($X$7+$Z65)*$Y65,C64*($X$7+$Z65)-SUM($B66:B66),INT(C$6/$X65)*$X$7-C64*($X$7+$Z65)*($Y65-1)-SUM($B66:B66))+IF($Y65&gt;1,IF(INT(C$6/$X65)&gt;0,$Z65-$AA65,0),-$AA65)</f>
        <v>0</v>
      </c>
      <c r="D66" s="603">
        <f>IF(INT(D$6/$X65)*$X$7&gt;D64*($X$7+$Z65)*$Y65,D64*($X$7+$Z65)-SUM($B66:C66),INT(D$6/$X65)*$X$7-D64*($X$7+$Z65)*($Y65-1)-SUM($B66:C66))+IF($Y65&gt;1,IF(INT(D$6/$X65)&gt;0,$Z65-$AA65,0),-$AA65)</f>
        <v>0</v>
      </c>
      <c r="E66" s="603">
        <f>IF(INT(E$6/$X65)*$X$7&gt;E64*($X$7+$Z65)*$Y65,E64*($X$7+$Z65)-SUM($B66:D66),INT(E$6/$X65)*$X$7-E64*($X$7+$Z65)*($Y65-1)-SUM($B66:D66))+IF($Y65&gt;1,IF(INT(E$6/$X65)&gt;0,$Z65-$AA65,0),-$AA65)</f>
        <v>1</v>
      </c>
      <c r="F66" s="603">
        <f>IF(INT(F$6/$X65)*$X$7&gt;F64*($X$7+$Z65)*$Y65,F64*($X$7+$Z65)-SUM($B66:E66),INT(F$6/$X65)*$X$7-F64*($X$7+$Z65)*($Y65-1)-SUM($B66:E66))+IF($Y65&gt;1,IF(INT(F$6/$X65)&gt;0,$Z65-$AA65,0),-$AA65)</f>
        <v>0</v>
      </c>
      <c r="G66" s="603">
        <f>IF(INT(G$6/$X65)*$X$7&gt;G64*($X$7+$Z65)*$Y65,G64*($X$7+$Z65)-SUM($B66:F66),INT(G$6/$X65)*$X$7-G64*($X$7+$Z65)*($Y65-1)-SUM($B66:F66))+IF($Y65&gt;1,IF(INT(G$6/$X65)&gt;0,$Z65-$AA65,0),-$AA65)</f>
        <v>0</v>
      </c>
      <c r="H66" s="603">
        <f>IF(INT(H$6/$X65)*$X$7&gt;H64*($X$7+$Z65)*$Y65,H64*($X$7+$Z65)-SUM($B66:G66),INT(H$6/$X65)*$X$7-H64*($X$7+$Z65)*($Y65-1)-SUM($B66:G66))+IF($Y65&gt;1,IF(INT(H$6/$X65)&gt;0,$Z65-$AA65,0),-$AA65)</f>
        <v>0</v>
      </c>
      <c r="I66" s="603">
        <f>IF(INT(I$6/$X65)*$X$7&gt;I64*($X$7+$Z65)*$Y65,I64*($X$7+$Z65)-SUM($B66:H66),INT(I$6/$X65)*$X$7-I64*($X$7+$Z65)*($Y65-1)-SUM($B66:H66))+IF($Y65&gt;1,IF(INT(I$6/$X65)&gt;0,$Z65-$AA65,0),-$AA65)</f>
        <v>0</v>
      </c>
      <c r="J66" s="603">
        <f>IF(INT(J$6/$X65)*$X$7&gt;J64*($X$7+$Z65)*$Y65,J64*($X$7+$Z65)-SUM($B66:I66),INT(J$6/$X65)*$X$7-J64*($X$7+$Z65)*($Y65-1)-SUM($B66:I66))+IF($Y65&gt;1,IF(INT(J$6/$X65)&gt;0,$Z65-$AA65,0),-$AA65)</f>
        <v>0</v>
      </c>
      <c r="K66" s="603">
        <f>IF(INT(K$6/$X65)*$X$7&gt;K64*($X$7+$Z65)*$Y65,K64*($X$7+$Z65)-SUM($B66:J66),INT(K$6/$X65)*$X$7-K64*($X$7+$Z65)*($Y65-1)-SUM($B66:J66))+IF($Y65&gt;1,IF(INT(K$6/$X65)&gt;0,$Z65-$AA65,0),-$AA65)</f>
        <v>0</v>
      </c>
      <c r="L66" s="603">
        <f>IF(INT(L$6/$X65)*$X$7&gt;L64*($X$7+$Z65)*$Y65,L64*($X$7+$Z65)-SUM($B66:K66),INT(L$6/$X65)*$X$7-L64*($X$7+$Z65)*($Y65-1)-SUM($B66:K66))+IF($Y65&gt;1,IF(INT(L$6/$X65)&gt;0,$Z65-$AA65,0),-$AA65)</f>
        <v>0</v>
      </c>
      <c r="M66" s="603">
        <f>IF(INT(M$6/$X65)*$X$7&gt;M64*($X$7+$Z65)*$Y65,M64*($X$7+$Z65)-SUM($B66:L66),INT(M$6/$X65)*$X$7-M64*($X$7+$Z65)*($Y65-1)-SUM($B66:L66))+IF($Y65&gt;1,IF(INT(M$6/$X65)&gt;0,$Z65-$AA65,0),-$AA65)</f>
        <v>0</v>
      </c>
      <c r="N66" s="603">
        <f>IF(INT(N$6/$X65)*$X$7&gt;N64*($X$7+$Z65)*$Y65,N64*($X$7+$Z65)-SUM($B66:M66),INT(N$6/$X65)*$X$7-N64*($X$7+$Z65)*($Y65-1)-SUM($B66:M66))+IF($Y65&gt;1,IF(INT(N$6/$X65)&gt;0,$Z65-$AA65,0),-$AA65)</f>
        <v>2</v>
      </c>
      <c r="O66" s="603">
        <f>IF(INT(O$6/$X65)*$X$7&gt;O64*($X$7+$Z65)*$Y65,O64*($X$7+$Z65)-SUM($B66:N66),INT(O$6/$X65)*$X$7-O64*($X$7+$Z65)*($Y65-1)-SUM($B66:N66))+IF($Y65&gt;1,IF(INT(O$6/$X65)&gt;0,$Z65-$AA65,0),-$AA65)</f>
        <v>0</v>
      </c>
      <c r="P66" s="603">
        <f>IF(INT(P$6/$X65)*$X$7&gt;P64*($X$7+$Z65)*$Y65,P64*($X$7+$Z65)-SUM($B66:O66),INT(P$6/$X65)*$X$7-P64*($X$7+$Z65)*($Y65-1)-SUM($B66:O66))+IF($Y65&gt;1,IF(INT(P$6/$X65)&gt;0,$Z65-$AA65,0),-$AA65)</f>
        <v>0</v>
      </c>
      <c r="Q66" s="603">
        <f>IF(INT(Q$6/$X65)*$X$7&gt;Q64*($X$7+$Z65)*$Y65,Q64*($X$7+$Z65)-SUM($B66:P66),INT(Q$6/$X65)*$X$7-Q64*($X$7+$Z65)*($Y65-1)-SUM($B66:P66))+IF($Y65&gt;1,IF(INT(Q$6/$X65)&gt;0,$Z65-$AA65,0),-$AA65)</f>
        <v>1</v>
      </c>
      <c r="R66" s="603">
        <f>IF(INT(R$6/$X65)*$X$7&gt;R64*($X$7+$Z65)*$Y65,R64*($X$7+$Z65)-SUM($B66:Q66),INT(R$6/$X65)*$X$7-R64*($X$7+$Z65)*($Y65-1)-SUM($B66:Q66))+IF($Y65&gt;1,IF(INT(R$6/$X65)&gt;0,$Z65-$AA65,0),-$AA65)</f>
        <v>0</v>
      </c>
      <c r="S66" s="603">
        <f>IF(INT(S$6/$X65)*$X$7&gt;S64*($X$7+$Z65)*$Y65,S64*($X$7+$Z65)-SUM($B66:R66),INT(S$6/$X65)*$X$7-S64*($X$7+$Z65)*($Y65-1)-SUM($B66:R66))+IF($Y65&gt;1,IF(INT(S$6/$X65)&gt;0,$Z65-$AA65,0),-$AA65)</f>
        <v>0</v>
      </c>
      <c r="T66" s="603">
        <f>IF(INT(T$6/$X65)*$X$7&gt;T64*($X$7+$Z65)*$Y65,T64*($X$7+$Z65)-SUM($B66:S66),INT(T$6/$X65)*$X$7-T64*($X$7+$Z65)*($Y65-1)-SUM($B66:S66))+IF($Y65&gt;1,IF(INT(T$6/$X65)&gt;0,$Z65-$AA65,0),-$AA65)</f>
        <v>0</v>
      </c>
      <c r="U66" s="603">
        <f>IF(INT(U$6/$X65)*$X$7&gt;U64*($X$7+$Z65)*$Y65,U64*($X$7+$Z65)-SUM($B66:T66),INT(U$6/$X65)*$X$7-U64*($X$7+$Z65)*($Y65-1)-SUM($B66:T66))+IF($Y65&gt;1,IF(INT(U$6/$X65)&gt;0,$Z65-$AA65,0),-$AA65)</f>
        <v>0</v>
      </c>
      <c r="V66" s="603">
        <f>IF(INT(V$6/$X65)*$X$7&gt;V64*($X$7+$Z65)*$Y65,V64*($X$7+$Z65)-SUM($B66:U66),INT(V$6/$X65)*$X$7-V64*($X$7+$Z65)*($Y65-1)-SUM($B66:U66))+IF($Y65&gt;1,IF(INT(V$6/$X65)&gt;0,$Z65-$AA65,0),-$AA65)</f>
        <v>0</v>
      </c>
      <c r="W66" s="681"/>
      <c r="X66"/>
      <c r="Y66"/>
      <c r="Z66"/>
    </row>
    <row r="67" spans="1:28" s="102" customFormat="1">
      <c r="W67" s="663"/>
    </row>
    <row r="68" spans="1:28" s="102" customFormat="1" hidden="1">
      <c r="A68" s="140" t="s">
        <v>934</v>
      </c>
      <c r="B68" s="603"/>
      <c r="C68" s="140">
        <f t="shared" ref="C68:V68" si="20">INT((INT(C$6/$X69)*$X$7+$X$7+$Z69-1)/($X$7+$Z69)/$Y69)</f>
        <v>0</v>
      </c>
      <c r="D68" s="140">
        <f t="shared" si="20"/>
        <v>0</v>
      </c>
      <c r="E68" s="140">
        <f t="shared" si="20"/>
        <v>0</v>
      </c>
      <c r="F68" s="140">
        <f t="shared" si="20"/>
        <v>0</v>
      </c>
      <c r="G68" s="140">
        <f t="shared" si="20"/>
        <v>0</v>
      </c>
      <c r="H68" s="140">
        <f t="shared" si="20"/>
        <v>0</v>
      </c>
      <c r="I68" s="140">
        <f t="shared" si="20"/>
        <v>0</v>
      </c>
      <c r="J68" s="140">
        <f t="shared" si="20"/>
        <v>0</v>
      </c>
      <c r="K68" s="140">
        <f t="shared" si="20"/>
        <v>0</v>
      </c>
      <c r="L68" s="140">
        <f t="shared" si="20"/>
        <v>0</v>
      </c>
      <c r="M68" s="140">
        <f t="shared" si="20"/>
        <v>0</v>
      </c>
      <c r="N68" s="140">
        <f t="shared" si="20"/>
        <v>1</v>
      </c>
      <c r="O68" s="140">
        <f t="shared" si="20"/>
        <v>1</v>
      </c>
      <c r="P68" s="140">
        <f t="shared" si="20"/>
        <v>1</v>
      </c>
      <c r="Q68" s="140">
        <f t="shared" si="20"/>
        <v>1</v>
      </c>
      <c r="R68" s="140">
        <f t="shared" si="20"/>
        <v>1</v>
      </c>
      <c r="S68" s="140">
        <f t="shared" si="20"/>
        <v>1</v>
      </c>
      <c r="T68" s="140">
        <f t="shared" si="20"/>
        <v>1</v>
      </c>
      <c r="U68" s="140">
        <f t="shared" si="20"/>
        <v>1</v>
      </c>
      <c r="V68" s="140">
        <f t="shared" si="20"/>
        <v>1</v>
      </c>
    </row>
    <row r="69" spans="1:28" s="102" customFormat="1">
      <c r="A69" s="140" t="s">
        <v>935</v>
      </c>
      <c r="B69" s="603" t="s">
        <v>278</v>
      </c>
      <c r="C69" s="603">
        <f>IF($Y69=1,0,$X$7*(INT(C$6/$X69)-INT(B$6/$X69))-IF(SUM($B69:B69)&gt;0,C70,0))</f>
        <v>0</v>
      </c>
      <c r="D69" s="603">
        <f>IF($Y69=1,0,$X$7*(INT(D$6/$X69)-INT(C$6/$X69))-IF(SUM($B69:C69)&gt;0,D70,0))</f>
        <v>0</v>
      </c>
      <c r="E69" s="603">
        <f>IF($Y69=1,0,$X$7*(INT(E$6/$X69)-INT(D$6/$X69))-IF(SUM($B69:D69)&gt;0,E70,0))</f>
        <v>2</v>
      </c>
      <c r="F69" s="603">
        <f>IF($Y69=1,0,$X$7*(INT(F$6/$X69)-INT(E$6/$X69))-IF(SUM($B69:E69)&gt;0,F70,0))</f>
        <v>0</v>
      </c>
      <c r="G69" s="603">
        <f>IF($Y69=1,0,$X$7*(INT(G$6/$X69)-INT(F$6/$X69))-IF(SUM($B69:F69)&gt;0,G70,0))</f>
        <v>0</v>
      </c>
      <c r="H69" s="603">
        <f>IF($Y69=1,0,$X$7*(INT(H$6/$X69)-INT(G$6/$X69))-IF(SUM($B69:G69)&gt;0,H70,0))</f>
        <v>2</v>
      </c>
      <c r="I69" s="603">
        <f>IF($Y69=1,0,$X$7*(INT(I$6/$X69)-INT(H$6/$X69))-IF(SUM($B69:H69)&gt;0,I70,0))</f>
        <v>0</v>
      </c>
      <c r="J69" s="603">
        <f>IF($Y69=1,0,$X$7*(INT(J$6/$X69)-INT(I$6/$X69))-IF(SUM($B69:I69)&gt;0,J70,0))</f>
        <v>0</v>
      </c>
      <c r="K69" s="603">
        <f>IF($Y69=1,0,$X$7*(INT(K$6/$X69)-INT(J$6/$X69))-IF(SUM($B69:J69)&gt;0,K70,0))</f>
        <v>2</v>
      </c>
      <c r="L69" s="603">
        <f>IF($Y69=1,0,$X$7*(INT(L$6/$X69)-INT(K$6/$X69))-IF(SUM($B69:K69)&gt;0,L70,0))</f>
        <v>0</v>
      </c>
      <c r="M69" s="603">
        <f>IF($Y69=1,0,$X$7*(INT(M$6/$X69)-INT(L$6/$X69))-IF(SUM($B69:L69)&gt;0,M70,0))</f>
        <v>0</v>
      </c>
      <c r="N69" s="603">
        <f>IF($Y69=1,0,$X$7*(INT(N$6/$X69)-INT(M$6/$X69))-IF(SUM($B69:M69)&gt;0,N70,0))</f>
        <v>0</v>
      </c>
      <c r="O69" s="603">
        <f>IF($Y69=1,0,$X$7*(INT(O$6/$X69)-INT(N$6/$X69))-IF(SUM($B69:N69)&gt;0,O70,0))</f>
        <v>0</v>
      </c>
      <c r="P69" s="603">
        <f>IF($Y69=1,0,$X$7*(INT(P$6/$X69)-INT(O$6/$X69))-IF(SUM($B69:O69)&gt;0,P70,0))</f>
        <v>0</v>
      </c>
      <c r="Q69" s="603">
        <f>IF($Y69=1,0,$X$7*(INT(Q$6/$X69)-INT(P$6/$X69))-IF(SUM($B69:P69)&gt;0,Q70,0))</f>
        <v>1</v>
      </c>
      <c r="R69" s="603">
        <f>IF($Y69=1,0,$X$7*(INT(R$6/$X69)-INT(Q$6/$X69))-IF(SUM($B69:Q69)&gt;0,R70,0))</f>
        <v>0</v>
      </c>
      <c r="S69" s="603">
        <f>IF($Y69=1,0,$X$7*(INT(S$6/$X69)-INT(R$6/$X69))-IF(SUM($B69:R69)&gt;0,S70,0))</f>
        <v>0</v>
      </c>
      <c r="T69" s="603">
        <f>IF($Y69=1,0,$X$7*(INT(T$6/$X69)-INT(S$6/$X69))-IF(SUM($B69:S69)&gt;0,T70,0))</f>
        <v>2</v>
      </c>
      <c r="U69" s="603">
        <f>IF($Y69=1,0,$X$7*(INT(U$6/$X69)-INT(T$6/$X69))-IF(SUM($B69:T69)&gt;0,U70,0))</f>
        <v>0</v>
      </c>
      <c r="V69" s="603">
        <f>IF($Y69=1,0,$X$7*(INT(V$6/$X69)-INT(U$6/$X69))-IF(SUM($B69:U69)&gt;0,V70,0))</f>
        <v>0</v>
      </c>
      <c r="W69" s="678" t="str">
        <f xml:space="preserve"> 'GT schd cost(7FA)'!A26</f>
        <v>3rd Stage Shroud Blocks</v>
      </c>
      <c r="X69" s="678">
        <f>IF($AD$6=1,'GTDB(7FA)'!B29,'GTDB(7FA)'!G29)</f>
        <v>24000</v>
      </c>
      <c r="Y69" s="678">
        <f>IF($AD$6=1,'GTDB(7FA)'!C29,'GTDB(7FA)'!H29)</f>
        <v>3</v>
      </c>
      <c r="Z69" s="679">
        <v>1</v>
      </c>
      <c r="AA69" s="834">
        <f>'Initial_Spares(7FA)'!$E$23</f>
        <v>0</v>
      </c>
      <c r="AB69" s="684">
        <f>'GT schd cost(7FA)'!X26+'GT schd cost(7FA)'!X49</f>
        <v>2782.3159999999998</v>
      </c>
    </row>
    <row r="70" spans="1:28" s="102" customFormat="1">
      <c r="A70" s="140" t="s">
        <v>936</v>
      </c>
      <c r="B70" s="603" t="s">
        <v>278</v>
      </c>
      <c r="C70" s="603">
        <f>IF(INT(C$6/$X69)*$X$7&gt;C68*($X$7+$Z69)*$Y69,C68*($X$7+$Z69)-SUM($B70:B70),INT(C$6/$X69)*$X$7-C68*($X$7+$Z69)*($Y69-1)-SUM($B70:B70))+IF($Y69&gt;1,IF(INT(C$6/$X69)&gt;0,$Z69-$AA69,0),-$AA69)</f>
        <v>0</v>
      </c>
      <c r="D70" s="603">
        <f>IF(INT(D$6/$X69)*$X$7&gt;D68*($X$7+$Z69)*$Y69,D68*($X$7+$Z69)-SUM($B70:C70),INT(D$6/$X69)*$X$7-D68*($X$7+$Z69)*($Y69-1)-SUM($B70:C70))+IF($Y69&gt;1,IF(INT(D$6/$X69)&gt;0,$Z69-$AA69,0),-$AA69)</f>
        <v>0</v>
      </c>
      <c r="E70" s="603">
        <f>IF(INT(E$6/$X69)*$X$7&gt;E68*($X$7+$Z69)*$Y69,E68*($X$7+$Z69)-SUM($B70:D70),INT(E$6/$X69)*$X$7-E68*($X$7+$Z69)*($Y69-1)-SUM($B70:D70))+IF($Y69&gt;1,IF(INT(E$6/$X69)&gt;0,$Z69-$AA69,0),-$AA69)</f>
        <v>1</v>
      </c>
      <c r="F70" s="603">
        <f>IF(INT(F$6/$X69)*$X$7&gt;F68*($X$7+$Z69)*$Y69,F68*($X$7+$Z69)-SUM($B70:E70),INT(F$6/$X69)*$X$7-F68*($X$7+$Z69)*($Y69-1)-SUM($B70:E70))+IF($Y69&gt;1,IF(INT(F$6/$X69)&gt;0,$Z69-$AA69,0),-$AA69)</f>
        <v>0</v>
      </c>
      <c r="G70" s="603">
        <f>IF(INT(G$6/$X69)*$X$7&gt;G68*($X$7+$Z69)*$Y69,G68*($X$7+$Z69)-SUM($B70:F70),INT(G$6/$X69)*$X$7-G68*($X$7+$Z69)*($Y69-1)-SUM($B70:F70))+IF($Y69&gt;1,IF(INT(G$6/$X69)&gt;0,$Z69-$AA69,0),-$AA69)</f>
        <v>0</v>
      </c>
      <c r="H70" s="603">
        <f>IF(INT(H$6/$X69)*$X$7&gt;H68*($X$7+$Z69)*$Y69,H68*($X$7+$Z69)-SUM($B70:G70),INT(H$6/$X69)*$X$7-H68*($X$7+$Z69)*($Y69-1)-SUM($B70:G70))+IF($Y69&gt;1,IF(INT(H$6/$X69)&gt;0,$Z69-$AA69,0),-$AA69)</f>
        <v>0</v>
      </c>
      <c r="I70" s="603">
        <f>IF(INT(I$6/$X69)*$X$7&gt;I68*($X$7+$Z69)*$Y69,I68*($X$7+$Z69)-SUM($B70:H70),INT(I$6/$X69)*$X$7-I68*($X$7+$Z69)*($Y69-1)-SUM($B70:H70))+IF($Y69&gt;1,IF(INT(I$6/$X69)&gt;0,$Z69-$AA69,0),-$AA69)</f>
        <v>0</v>
      </c>
      <c r="J70" s="603">
        <f>IF(INT(J$6/$X69)*$X$7&gt;J68*($X$7+$Z69)*$Y69,J68*($X$7+$Z69)-SUM($B70:I70),INT(J$6/$X69)*$X$7-J68*($X$7+$Z69)*($Y69-1)-SUM($B70:I70))+IF($Y69&gt;1,IF(INT(J$6/$X69)&gt;0,$Z69-$AA69,0),-$AA69)</f>
        <v>0</v>
      </c>
      <c r="K70" s="603">
        <f>IF(INT(K$6/$X69)*$X$7&gt;K68*($X$7+$Z69)*$Y69,K68*($X$7+$Z69)-SUM($B70:J70),INT(K$6/$X69)*$X$7-K68*($X$7+$Z69)*($Y69-1)-SUM($B70:J70))+IF($Y69&gt;1,IF(INT(K$6/$X69)&gt;0,$Z69-$AA69,0),-$AA69)</f>
        <v>0</v>
      </c>
      <c r="L70" s="603">
        <f>IF(INT(L$6/$X69)*$X$7&gt;L68*($X$7+$Z69)*$Y69,L68*($X$7+$Z69)-SUM($B70:K70),INT(L$6/$X69)*$X$7-L68*($X$7+$Z69)*($Y69-1)-SUM($B70:K70))+IF($Y69&gt;1,IF(INT(L$6/$X69)&gt;0,$Z69-$AA69,0),-$AA69)</f>
        <v>0</v>
      </c>
      <c r="M70" s="603">
        <f>IF(INT(M$6/$X69)*$X$7&gt;M68*($X$7+$Z69)*$Y69,M68*($X$7+$Z69)-SUM($B70:L70),INT(M$6/$X69)*$X$7-M68*($X$7+$Z69)*($Y69-1)-SUM($B70:L70))+IF($Y69&gt;1,IF(INT(M$6/$X69)&gt;0,$Z69-$AA69,0),-$AA69)</f>
        <v>0</v>
      </c>
      <c r="N70" s="603">
        <f>IF(INT(N$6/$X69)*$X$7&gt;N68*($X$7+$Z69)*$Y69,N68*($X$7+$Z69)-SUM($B70:M70),INT(N$6/$X69)*$X$7-N68*($X$7+$Z69)*($Y69-1)-SUM($B70:M70))+IF($Y69&gt;1,IF(INT(N$6/$X69)&gt;0,$Z69-$AA69,0),-$AA69)</f>
        <v>2</v>
      </c>
      <c r="O70" s="603">
        <f>IF(INT(O$6/$X69)*$X$7&gt;O68*($X$7+$Z69)*$Y69,O68*($X$7+$Z69)-SUM($B70:N70),INT(O$6/$X69)*$X$7-O68*($X$7+$Z69)*($Y69-1)-SUM($B70:N70))+IF($Y69&gt;1,IF(INT(O$6/$X69)&gt;0,$Z69-$AA69,0),-$AA69)</f>
        <v>0</v>
      </c>
      <c r="P70" s="603">
        <f>IF(INT(P$6/$X69)*$X$7&gt;P68*($X$7+$Z69)*$Y69,P68*($X$7+$Z69)-SUM($B70:O70),INT(P$6/$X69)*$X$7-P68*($X$7+$Z69)*($Y69-1)-SUM($B70:O70))+IF($Y69&gt;1,IF(INT(P$6/$X69)&gt;0,$Z69-$AA69,0),-$AA69)</f>
        <v>0</v>
      </c>
      <c r="Q70" s="603">
        <f>IF(INT(Q$6/$X69)*$X$7&gt;Q68*($X$7+$Z69)*$Y69,Q68*($X$7+$Z69)-SUM($B70:P70),INT(Q$6/$X69)*$X$7-Q68*($X$7+$Z69)*($Y69-1)-SUM($B70:P70))+IF($Y69&gt;1,IF(INT(Q$6/$X69)&gt;0,$Z69-$AA69,0),-$AA69)</f>
        <v>1</v>
      </c>
      <c r="R70" s="603">
        <f>IF(INT(R$6/$X69)*$X$7&gt;R68*($X$7+$Z69)*$Y69,R68*($X$7+$Z69)-SUM($B70:Q70),INT(R$6/$X69)*$X$7-R68*($X$7+$Z69)*($Y69-1)-SUM($B70:Q70))+IF($Y69&gt;1,IF(INT(R$6/$X69)&gt;0,$Z69-$AA69,0),-$AA69)</f>
        <v>0</v>
      </c>
      <c r="S70" s="603">
        <f>IF(INT(S$6/$X69)*$X$7&gt;S68*($X$7+$Z69)*$Y69,S68*($X$7+$Z69)-SUM($B70:R70),INT(S$6/$X69)*$X$7-S68*($X$7+$Z69)*($Y69-1)-SUM($B70:R70))+IF($Y69&gt;1,IF(INT(S$6/$X69)&gt;0,$Z69-$AA69,0),-$AA69)</f>
        <v>0</v>
      </c>
      <c r="T70" s="603">
        <f>IF(INT(T$6/$X69)*$X$7&gt;T68*($X$7+$Z69)*$Y69,T68*($X$7+$Z69)-SUM($B70:S70),INT(T$6/$X69)*$X$7-T68*($X$7+$Z69)*($Y69-1)-SUM($B70:S70))+IF($Y69&gt;1,IF(INT(T$6/$X69)&gt;0,$Z69-$AA69,0),-$AA69)</f>
        <v>0</v>
      </c>
      <c r="U70" s="603">
        <f>IF(INT(U$6/$X69)*$X$7&gt;U68*($X$7+$Z69)*$Y69,U68*($X$7+$Z69)-SUM($B70:T70),INT(U$6/$X69)*$X$7-U68*($X$7+$Z69)*($Y69-1)-SUM($B70:T70))+IF($Y69&gt;1,IF(INT(U$6/$X69)&gt;0,$Z69-$AA69,0),-$AA69)</f>
        <v>0</v>
      </c>
      <c r="V70" s="603">
        <f>IF(INT(V$6/$X69)*$X$7&gt;V68*($X$7+$Z69)*$Y69,V68*($X$7+$Z69)-SUM($B70:U70),INT(V$6/$X69)*$X$7-V68*($X$7+$Z69)*($Y69-1)-SUM($B70:U70))+IF($Y69&gt;1,IF(INT(V$6/$X69)&gt;0,$Z69-$AA69,0),-$AA69)</f>
        <v>0</v>
      </c>
      <c r="W70" s="681"/>
      <c r="X70"/>
      <c r="Y70"/>
      <c r="Z70"/>
    </row>
  </sheetData>
  <pageMargins left="0.75" right="0.75" top="1" bottom="1" header="0.5" footer="0.5"/>
  <pageSetup scale="47" firstPageNumber="34" orientation="landscape" useFirstPageNumber="1" horizontalDpi="4294967292" r:id="rId1"/>
  <headerFooter alignWithMargins="0">
    <oddHeader>&amp;LHERMOSILLO</oddHeader>
    <oddFooter xml:space="preserve">&amp;Ldkwok&amp;C
&amp;R&amp;F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Option Button 1">
              <controlPr defaultSize="0" autoFill="0" autoLine="0" autoPict="0">
                <anchor moveWithCells="1">
                  <from>
                    <xdr:col>26</xdr:col>
                    <xdr:colOff>123825</xdr:colOff>
                    <xdr:row>4</xdr:row>
                    <xdr:rowOff>76200</xdr:rowOff>
                  </from>
                  <to>
                    <xdr:col>27</xdr:col>
                    <xdr:colOff>647700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Option Button 2">
              <controlPr defaultSize="0" autoFill="0" autoLine="0" autoPict="0">
                <anchor moveWithCells="1">
                  <from>
                    <xdr:col>26</xdr:col>
                    <xdr:colOff>142875</xdr:colOff>
                    <xdr:row>5</xdr:row>
                    <xdr:rowOff>161925</xdr:rowOff>
                  </from>
                  <to>
                    <xdr:col>27</xdr:col>
                    <xdr:colOff>523875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1"/>
  <dimension ref="A2:P48"/>
  <sheetViews>
    <sheetView zoomScale="75" zoomScaleNormal="100" workbookViewId="0">
      <selection activeCell="F34" sqref="F34"/>
    </sheetView>
  </sheetViews>
  <sheetFormatPr defaultRowHeight="12.75"/>
  <cols>
    <col min="1" max="1" width="26" customWidth="1"/>
    <col min="2" max="2" width="10.140625" bestFit="1" customWidth="1"/>
    <col min="7" max="7" width="9.28515625" bestFit="1" customWidth="1"/>
  </cols>
  <sheetData>
    <row r="2" spans="1:13" ht="21" customHeight="1">
      <c r="A2" s="685" t="s">
        <v>937</v>
      </c>
      <c r="B2" s="102"/>
      <c r="C2" s="102"/>
      <c r="D2" s="102"/>
      <c r="E2" s="102"/>
    </row>
    <row r="3" spans="1:13" ht="11.25" customHeight="1">
      <c r="A3" s="685"/>
      <c r="B3" s="102"/>
      <c r="C3" s="102"/>
      <c r="D3" s="102"/>
      <c r="E3" s="102"/>
    </row>
    <row r="4" spans="1:13">
      <c r="A4" s="615" t="s">
        <v>938</v>
      </c>
      <c r="B4" s="686" t="s">
        <v>992</v>
      </c>
      <c r="C4" s="686"/>
      <c r="D4" s="102"/>
      <c r="E4" s="102"/>
    </row>
    <row r="5" spans="1:13">
      <c r="A5" s="615" t="s">
        <v>939</v>
      </c>
      <c r="B5" s="686" t="s">
        <v>993</v>
      </c>
      <c r="C5" s="686"/>
      <c r="D5" s="102"/>
      <c r="E5" s="102" t="s">
        <v>278</v>
      </c>
    </row>
    <row r="6" spans="1:13">
      <c r="A6" s="615" t="s">
        <v>940</v>
      </c>
      <c r="B6" s="720">
        <v>36600</v>
      </c>
      <c r="C6" s="102"/>
      <c r="D6" s="102"/>
      <c r="E6" s="102" t="s">
        <v>278</v>
      </c>
    </row>
    <row r="7" spans="1:13">
      <c r="A7" s="615" t="s">
        <v>941</v>
      </c>
      <c r="B7" s="102" t="s">
        <v>1011</v>
      </c>
      <c r="C7" s="102"/>
      <c r="D7" s="102"/>
      <c r="E7" s="102"/>
    </row>
    <row r="8" spans="1:13">
      <c r="A8" s="615" t="s">
        <v>278</v>
      </c>
      <c r="B8" s="102"/>
      <c r="C8" s="102"/>
      <c r="D8" s="102"/>
      <c r="E8" s="102"/>
    </row>
    <row r="9" spans="1:13">
      <c r="A9" s="615" t="s">
        <v>278</v>
      </c>
      <c r="B9" s="102" t="s">
        <v>278</v>
      </c>
      <c r="C9" s="102"/>
      <c r="D9" s="102"/>
      <c r="E9" s="102"/>
    </row>
    <row r="10" spans="1:13" s="687" customFormat="1"/>
    <row r="11" spans="1:13" s="687" customFormat="1" ht="26.25" thickBot="1">
      <c r="A11" s="688" t="s">
        <v>278</v>
      </c>
      <c r="B11" s="688" t="s">
        <v>942</v>
      </c>
      <c r="C11" s="688" t="s">
        <v>943</v>
      </c>
      <c r="D11" s="688" t="s">
        <v>944</v>
      </c>
      <c r="G11" s="688" t="s">
        <v>945</v>
      </c>
    </row>
    <row r="12" spans="1:13">
      <c r="A12" s="689" t="s">
        <v>946</v>
      </c>
      <c r="B12" s="690">
        <v>8000</v>
      </c>
      <c r="C12" s="716">
        <v>57.8</v>
      </c>
      <c r="D12" s="716">
        <v>54.253999999999998</v>
      </c>
      <c r="G12" s="690">
        <v>400</v>
      </c>
    </row>
    <row r="13" spans="1:13">
      <c r="A13" s="140" t="s">
        <v>947</v>
      </c>
      <c r="B13" s="691">
        <v>24000</v>
      </c>
      <c r="C13" s="648">
        <v>172.38</v>
      </c>
      <c r="D13" s="648">
        <v>62.031999999999996</v>
      </c>
      <c r="G13" s="691">
        <v>900</v>
      </c>
    </row>
    <row r="14" spans="1:13">
      <c r="A14" s="140" t="s">
        <v>948</v>
      </c>
      <c r="B14" s="691">
        <v>48000</v>
      </c>
      <c r="C14" s="648">
        <v>430.95</v>
      </c>
      <c r="D14" s="648">
        <v>209.215</v>
      </c>
      <c r="G14" s="691">
        <v>2400</v>
      </c>
      <c r="M14" s="670"/>
    </row>
    <row r="16" spans="1:13" s="687" customFormat="1" ht="39" thickBot="1">
      <c r="A16" s="692" t="s">
        <v>949</v>
      </c>
      <c r="B16" s="692" t="s">
        <v>950</v>
      </c>
      <c r="C16" s="692" t="s">
        <v>951</v>
      </c>
      <c r="D16" s="692" t="s">
        <v>952</v>
      </c>
      <c r="E16" s="692" t="s">
        <v>953</v>
      </c>
      <c r="F16" s="693"/>
      <c r="G16" s="688" t="s">
        <v>954</v>
      </c>
      <c r="H16" s="688" t="s">
        <v>955</v>
      </c>
    </row>
    <row r="17" spans="1:16">
      <c r="A17" s="694" t="s">
        <v>961</v>
      </c>
      <c r="B17" s="695">
        <v>8000</v>
      </c>
      <c r="C17" s="695">
        <v>5</v>
      </c>
      <c r="D17" s="694">
        <v>191.58</v>
      </c>
      <c r="E17" s="694">
        <v>573.25599999999997</v>
      </c>
      <c r="F17" s="663"/>
      <c r="G17" s="713">
        <v>400</v>
      </c>
      <c r="H17" s="714">
        <v>5</v>
      </c>
      <c r="L17" s="670"/>
    </row>
    <row r="18" spans="1:16">
      <c r="A18" s="641" t="s">
        <v>774</v>
      </c>
      <c r="B18" s="696">
        <v>8000</v>
      </c>
      <c r="C18" s="696">
        <v>5</v>
      </c>
      <c r="D18" s="641">
        <v>196.73</v>
      </c>
      <c r="E18" s="694">
        <v>1246.1310000000001</v>
      </c>
      <c r="F18" s="663"/>
      <c r="G18" s="713">
        <v>400</v>
      </c>
      <c r="H18" s="715">
        <v>6</v>
      </c>
      <c r="P18" s="670"/>
    </row>
    <row r="19" spans="1:16">
      <c r="A19" s="710" t="s">
        <v>956</v>
      </c>
      <c r="B19" s="696">
        <v>8000</v>
      </c>
      <c r="C19" s="711">
        <v>3</v>
      </c>
      <c r="D19" s="710">
        <v>73.13</v>
      </c>
      <c r="E19" s="694">
        <v>1297.423</v>
      </c>
      <c r="F19" s="663"/>
      <c r="G19" s="713">
        <v>400</v>
      </c>
      <c r="H19" s="715">
        <v>3</v>
      </c>
    </row>
    <row r="20" spans="1:16">
      <c r="A20" s="697" t="s">
        <v>966</v>
      </c>
      <c r="B20" s="698">
        <v>24000</v>
      </c>
      <c r="C20" s="698">
        <v>2</v>
      </c>
      <c r="D20" s="697">
        <v>400.67</v>
      </c>
      <c r="E20" s="694">
        <v>1604.924</v>
      </c>
      <c r="F20" s="663"/>
      <c r="G20" s="699">
        <v>900</v>
      </c>
      <c r="H20" s="700">
        <v>3</v>
      </c>
    </row>
    <row r="21" spans="1:16">
      <c r="A21" s="697" t="s">
        <v>967</v>
      </c>
      <c r="B21" s="698">
        <v>24000</v>
      </c>
      <c r="C21" s="698">
        <v>3</v>
      </c>
      <c r="D21" s="697">
        <v>306.94</v>
      </c>
      <c r="E21" s="694">
        <v>1540.7270000000001</v>
      </c>
      <c r="F21" s="663"/>
      <c r="G21" s="699">
        <v>900</v>
      </c>
      <c r="H21" s="700">
        <v>3</v>
      </c>
    </row>
    <row r="22" spans="1:16">
      <c r="A22" s="697" t="s">
        <v>968</v>
      </c>
      <c r="B22" s="698">
        <v>24000</v>
      </c>
      <c r="C22" s="698">
        <v>3</v>
      </c>
      <c r="D22" s="697">
        <v>144.19999999999999</v>
      </c>
      <c r="E22" s="694">
        <v>1467.1679999999999</v>
      </c>
      <c r="F22" s="663"/>
      <c r="G22" s="699">
        <v>900</v>
      </c>
      <c r="H22" s="700">
        <v>3</v>
      </c>
      <c r="K22" s="670"/>
    </row>
    <row r="23" spans="1:16">
      <c r="A23" s="697" t="s">
        <v>969</v>
      </c>
      <c r="B23" s="698">
        <v>24000</v>
      </c>
      <c r="C23" s="698">
        <v>3</v>
      </c>
      <c r="D23" s="697">
        <v>973.76200000000006</v>
      </c>
      <c r="E23" s="694">
        <v>3214.9920000000002</v>
      </c>
      <c r="F23" s="663"/>
      <c r="G23" s="699">
        <v>900</v>
      </c>
      <c r="H23" s="700">
        <v>3</v>
      </c>
    </row>
    <row r="24" spans="1:16">
      <c r="A24" s="697" t="s">
        <v>970</v>
      </c>
      <c r="B24" s="698">
        <v>24000</v>
      </c>
      <c r="C24" s="698">
        <v>2</v>
      </c>
      <c r="D24" s="697">
        <v>370.8</v>
      </c>
      <c r="E24" s="694">
        <v>1977.5930000000001</v>
      </c>
      <c r="F24" s="663"/>
      <c r="G24" s="699">
        <v>900</v>
      </c>
      <c r="H24" s="700">
        <v>4</v>
      </c>
    </row>
    <row r="25" spans="1:16">
      <c r="A25" s="697" t="s">
        <v>971</v>
      </c>
      <c r="B25" s="698">
        <v>24000</v>
      </c>
      <c r="C25" s="698">
        <v>1</v>
      </c>
      <c r="D25" s="697">
        <v>422.16461071789689</v>
      </c>
      <c r="E25" s="694">
        <v>2251.7800000000002</v>
      </c>
      <c r="F25" s="663"/>
      <c r="G25" s="699">
        <v>900</v>
      </c>
      <c r="H25" s="700">
        <v>4</v>
      </c>
    </row>
    <row r="26" spans="1:16">
      <c r="A26" s="697" t="s">
        <v>962</v>
      </c>
      <c r="B26" s="698">
        <v>24000</v>
      </c>
      <c r="C26" s="698">
        <v>2</v>
      </c>
      <c r="D26" s="697">
        <v>23.175000000000001</v>
      </c>
      <c r="E26" s="694">
        <v>44.515999999999998</v>
      </c>
      <c r="F26" s="663"/>
      <c r="G26" s="699">
        <v>900</v>
      </c>
      <c r="H26" s="700">
        <v>3</v>
      </c>
    </row>
    <row r="27" spans="1:16">
      <c r="A27" s="697" t="s">
        <v>963</v>
      </c>
      <c r="B27" s="698">
        <v>24000</v>
      </c>
      <c r="C27" s="698">
        <v>3</v>
      </c>
      <c r="D27" s="697">
        <v>123.6</v>
      </c>
      <c r="E27" s="694">
        <v>721.44299999999998</v>
      </c>
      <c r="F27" s="663"/>
      <c r="G27" s="699">
        <v>900</v>
      </c>
      <c r="H27" s="700">
        <v>2</v>
      </c>
      <c r="K27" s="670"/>
    </row>
    <row r="28" spans="1:16">
      <c r="A28" s="697" t="s">
        <v>965</v>
      </c>
      <c r="B28" s="698">
        <v>24000</v>
      </c>
      <c r="C28" s="698">
        <v>3</v>
      </c>
      <c r="D28" s="697">
        <v>123.6</v>
      </c>
      <c r="E28" s="694">
        <v>487.95800000000003</v>
      </c>
      <c r="F28" s="663"/>
      <c r="G28" s="699">
        <v>900</v>
      </c>
      <c r="H28" s="700">
        <v>4</v>
      </c>
    </row>
    <row r="29" spans="1:16">
      <c r="A29" s="697" t="s">
        <v>964</v>
      </c>
      <c r="B29" s="698">
        <v>24000</v>
      </c>
      <c r="C29" s="698">
        <v>3</v>
      </c>
      <c r="D29" s="697">
        <v>123.6</v>
      </c>
      <c r="E29" s="694">
        <v>417.47899999999998</v>
      </c>
      <c r="F29" s="663"/>
      <c r="G29" s="699">
        <v>900</v>
      </c>
      <c r="H29" s="700">
        <v>4</v>
      </c>
    </row>
    <row r="30" spans="1:16">
      <c r="A30" s="650"/>
      <c r="B30" s="701"/>
      <c r="C30" s="701"/>
      <c r="D30" s="650"/>
      <c r="E30" s="650"/>
      <c r="F30" s="721"/>
      <c r="G30" s="702"/>
      <c r="H30" s="703"/>
    </row>
    <row r="31" spans="1:16">
      <c r="A31" s="650"/>
      <c r="B31" s="701"/>
      <c r="C31" s="701"/>
      <c r="D31" s="650"/>
      <c r="E31" s="650"/>
      <c r="F31" s="663"/>
      <c r="G31" s="702"/>
      <c r="H31" s="704"/>
    </row>
    <row r="32" spans="1:16">
      <c r="A32" s="650"/>
      <c r="B32" s="701"/>
      <c r="C32" s="701"/>
      <c r="D32" s="650"/>
      <c r="E32" s="650"/>
      <c r="F32" s="663"/>
      <c r="G32" s="702"/>
      <c r="H32" s="704"/>
    </row>
    <row r="33" spans="1:8">
      <c r="A33" s="650"/>
      <c r="B33" s="701"/>
      <c r="C33" s="701"/>
      <c r="D33" s="650"/>
      <c r="E33" s="650"/>
      <c r="F33" s="663"/>
      <c r="G33" s="702"/>
      <c r="H33" s="704"/>
    </row>
    <row r="34" spans="1:8">
      <c r="A34" s="650"/>
      <c r="B34" s="701"/>
      <c r="C34" s="701"/>
      <c r="D34" s="650"/>
      <c r="E34" s="650"/>
      <c r="F34" s="663"/>
      <c r="G34" s="702"/>
      <c r="H34" s="704"/>
    </row>
    <row r="35" spans="1:8">
      <c r="A35" s="650"/>
      <c r="B35" s="701"/>
      <c r="C35" s="701"/>
      <c r="D35" s="705"/>
      <c r="E35" s="650"/>
      <c r="F35" s="663"/>
      <c r="G35" s="705"/>
      <c r="H35" s="705"/>
    </row>
    <row r="36" spans="1:8">
      <c r="A36" s="650"/>
      <c r="B36" s="701"/>
      <c r="C36" s="701"/>
      <c r="D36" s="705"/>
      <c r="E36" s="650"/>
      <c r="F36" s="663"/>
      <c r="G36" s="705"/>
      <c r="H36" s="705"/>
    </row>
    <row r="37" spans="1:8">
      <c r="A37" s="712"/>
      <c r="B37" s="701"/>
      <c r="C37" s="701"/>
      <c r="D37" s="705"/>
      <c r="E37" s="650"/>
      <c r="F37" s="663"/>
      <c r="G37" s="705"/>
      <c r="H37" s="705"/>
    </row>
    <row r="38" spans="1:8">
      <c r="A38" s="712"/>
      <c r="B38" s="701"/>
      <c r="C38" s="701"/>
      <c r="D38" s="705"/>
      <c r="E38" s="705"/>
      <c r="F38" s="663"/>
      <c r="G38" s="705"/>
      <c r="H38" s="705"/>
    </row>
    <row r="39" spans="1:8">
      <c r="A39" s="705"/>
      <c r="B39" s="701"/>
      <c r="C39" s="701"/>
      <c r="D39" s="705"/>
      <c r="E39" s="705"/>
      <c r="F39" s="663"/>
      <c r="G39" s="705"/>
      <c r="H39" s="705"/>
    </row>
    <row r="40" spans="1:8">
      <c r="A40" s="650"/>
      <c r="B40" s="701"/>
      <c r="C40" s="701"/>
      <c r="D40" s="650"/>
      <c r="E40" s="650"/>
      <c r="F40" s="663"/>
      <c r="G40" s="705"/>
      <c r="H40" s="705"/>
    </row>
    <row r="41" spans="1:8">
      <c r="A41" s="650"/>
      <c r="B41" s="701"/>
      <c r="C41" s="701"/>
      <c r="D41" s="650"/>
      <c r="E41" s="650"/>
      <c r="F41" s="663"/>
      <c r="G41" s="705"/>
      <c r="H41" s="705"/>
    </row>
    <row r="42" spans="1:8">
      <c r="A42" s="650"/>
      <c r="B42" s="701"/>
      <c r="C42" s="701"/>
      <c r="D42" s="650"/>
      <c r="E42" s="650"/>
      <c r="F42" s="663"/>
      <c r="G42" s="705"/>
      <c r="H42" s="705"/>
    </row>
    <row r="44" spans="1:8">
      <c r="A44" s="706" t="s">
        <v>957</v>
      </c>
      <c r="B44" s="707"/>
      <c r="C44" s="707"/>
      <c r="D44" s="707"/>
      <c r="E44" s="708"/>
    </row>
    <row r="45" spans="1:8">
      <c r="A45" s="152"/>
      <c r="B45" s="102"/>
      <c r="C45" s="102"/>
      <c r="D45" s="102"/>
      <c r="E45" s="80"/>
    </row>
    <row r="46" spans="1:8">
      <c r="A46" s="152"/>
      <c r="B46" s="102"/>
      <c r="C46" s="102"/>
      <c r="D46" s="102"/>
      <c r="E46" s="80"/>
    </row>
    <row r="47" spans="1:8">
      <c r="A47" s="152"/>
      <c r="B47" s="102"/>
      <c r="C47" s="102"/>
      <c r="D47" s="102"/>
      <c r="E47" s="80"/>
    </row>
    <row r="48" spans="1:8">
      <c r="A48" s="709"/>
      <c r="B48" s="617"/>
      <c r="C48" s="617"/>
      <c r="D48" s="617"/>
      <c r="E48" s="618"/>
    </row>
  </sheetData>
  <pageMargins left="0.75" right="0.75" top="1" bottom="1" header="0.5" footer="0.5"/>
  <pageSetup scale="9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N1904"/>
  <sheetViews>
    <sheetView showGridLines="0" topLeftCell="A7" zoomScale="75" zoomScaleNormal="75" workbookViewId="0">
      <selection activeCell="J31" sqref="J31"/>
    </sheetView>
  </sheetViews>
  <sheetFormatPr defaultRowHeight="12.75"/>
  <cols>
    <col min="1" max="1" width="4.7109375" style="3" customWidth="1"/>
    <col min="2" max="2" width="46.28515625" style="3" customWidth="1"/>
    <col min="3" max="3" width="9.140625" style="3"/>
    <col min="4" max="4" width="3.28515625" style="3" customWidth="1"/>
    <col min="5" max="5" width="13.42578125" style="3" customWidth="1"/>
    <col min="6" max="9" width="11.28515625" style="3" customWidth="1"/>
    <col min="10" max="10" width="16" style="3" bestFit="1" customWidth="1"/>
    <col min="11" max="11" width="15.140625" style="3" bestFit="1" customWidth="1"/>
    <col min="12" max="14" width="9.140625" style="3"/>
    <col min="15" max="16384" width="9.140625" style="2"/>
  </cols>
  <sheetData>
    <row r="1" spans="1:14" s="25" customFormat="1" ht="18" customHeight="1">
      <c r="A1" s="896" t="str">
        <f>Scope!$A$1</f>
        <v>AES Corp, Dallas, TX (640 MW)</v>
      </c>
      <c r="B1" s="892"/>
      <c r="C1" s="892"/>
      <c r="D1" s="892"/>
      <c r="E1" s="892"/>
      <c r="F1" s="892"/>
      <c r="G1" s="892"/>
      <c r="H1" s="892"/>
      <c r="I1" s="892"/>
    </row>
    <row r="2" spans="1:14" s="25" customFormat="1" ht="18" customHeight="1">
      <c r="A2" s="892"/>
      <c r="B2" s="892"/>
      <c r="C2" s="892"/>
      <c r="D2" s="892"/>
      <c r="E2" s="892"/>
      <c r="F2" s="892"/>
      <c r="G2" s="892"/>
      <c r="H2" s="892"/>
      <c r="I2" s="892"/>
    </row>
    <row r="3" spans="1:14" s="25" customFormat="1" ht="15.75">
      <c r="A3" s="24" t="s">
        <v>1130</v>
      </c>
      <c r="B3" s="24"/>
      <c r="C3" s="24"/>
      <c r="D3" s="24"/>
      <c r="E3" s="24"/>
      <c r="F3" s="24"/>
      <c r="G3" s="24"/>
      <c r="H3" s="24"/>
      <c r="I3" s="24"/>
    </row>
    <row r="4" spans="1:14" s="25" customFormat="1" ht="15.75">
      <c r="A4" s="24"/>
      <c r="B4" s="24"/>
      <c r="C4" s="24"/>
      <c r="D4" s="24"/>
      <c r="E4" s="24"/>
      <c r="F4" s="24"/>
      <c r="G4" s="24"/>
      <c r="H4" s="24"/>
      <c r="I4" s="24"/>
    </row>
    <row r="5" spans="1:14" s="25" customFormat="1" ht="15.75">
      <c r="A5" s="24"/>
      <c r="B5" s="24"/>
      <c r="C5" s="24"/>
      <c r="D5" s="24"/>
      <c r="E5" s="24"/>
      <c r="F5" s="24"/>
      <c r="G5" s="24"/>
      <c r="H5" s="24"/>
      <c r="I5" s="24"/>
    </row>
    <row r="6" spans="1:14" s="25" customFormat="1" ht="16.5" thickBot="1">
      <c r="A6" s="175" t="s">
        <v>577</v>
      </c>
      <c r="E6" s="26"/>
    </row>
    <row r="7" spans="1:14" s="25" customFormat="1" ht="13.5" thickBot="1">
      <c r="B7" s="23"/>
      <c r="C7" s="94"/>
      <c r="D7" s="23"/>
      <c r="E7" s="27" t="s">
        <v>578</v>
      </c>
      <c r="F7" s="23"/>
      <c r="G7" s="23"/>
    </row>
    <row r="8" spans="1:14" s="25" customFormat="1">
      <c r="A8" s="32" t="s">
        <v>579</v>
      </c>
      <c r="B8" s="16"/>
      <c r="C8" s="91"/>
      <c r="D8" s="16"/>
      <c r="E8" s="28"/>
      <c r="F8" s="5"/>
      <c r="G8" s="5"/>
      <c r="H8" s="5"/>
      <c r="I8" s="5"/>
      <c r="J8" s="5"/>
      <c r="K8" s="5"/>
    </row>
    <row r="9" spans="1:14" s="25" customFormat="1">
      <c r="A9" s="32"/>
      <c r="B9" s="16" t="s">
        <v>580</v>
      </c>
      <c r="C9" s="16"/>
      <c r="D9" s="16"/>
      <c r="E9" s="15">
        <f>Mob_Estimate!D7</f>
        <v>33679</v>
      </c>
      <c r="F9" s="5"/>
      <c r="G9" s="5"/>
      <c r="H9" s="5"/>
      <c r="I9" s="5"/>
      <c r="J9" s="5"/>
      <c r="K9" s="5"/>
    </row>
    <row r="10" spans="1:14" s="25" customFormat="1">
      <c r="A10" s="32"/>
      <c r="B10" s="16" t="s">
        <v>581</v>
      </c>
      <c r="C10" s="16"/>
      <c r="D10" s="16"/>
      <c r="E10" s="15">
        <f>Mob_Estimate!D9</f>
        <v>517680.91449999996</v>
      </c>
      <c r="F10" s="5"/>
      <c r="G10" s="5"/>
      <c r="H10" s="5"/>
      <c r="I10" s="5"/>
      <c r="J10" s="5"/>
      <c r="K10" s="5"/>
    </row>
    <row r="11" spans="1:14" s="25" customFormat="1">
      <c r="A11" s="5"/>
      <c r="B11" s="16" t="s">
        <v>582</v>
      </c>
      <c r="C11" s="16"/>
      <c r="D11" s="16"/>
      <c r="E11" s="15">
        <f>Mob_Estimate!D25</f>
        <v>341215.71428571426</v>
      </c>
      <c r="F11" s="5"/>
      <c r="G11" s="5"/>
      <c r="H11" s="5"/>
      <c r="I11" s="5"/>
      <c r="J11" s="5"/>
      <c r="K11" s="5"/>
    </row>
    <row r="12" spans="1:14" s="25" customFormat="1">
      <c r="A12" s="5"/>
      <c r="B12" s="16" t="s">
        <v>583</v>
      </c>
      <c r="C12" s="16"/>
      <c r="D12" s="16"/>
      <c r="E12" s="15">
        <f>Mob_Estimate!D37</f>
        <v>260555.22291956309</v>
      </c>
      <c r="F12" s="5"/>
      <c r="G12" s="5"/>
      <c r="H12" s="5"/>
      <c r="I12" s="5"/>
      <c r="J12" s="5"/>
      <c r="K12" s="5"/>
    </row>
    <row r="13" spans="1:14" s="25" customFormat="1">
      <c r="A13" s="5"/>
      <c r="B13" s="16"/>
      <c r="C13" s="16"/>
      <c r="D13" s="16"/>
      <c r="E13" s="15"/>
      <c r="F13" s="5"/>
      <c r="G13" s="5"/>
      <c r="H13" s="5"/>
      <c r="I13" s="5"/>
      <c r="J13" s="5"/>
      <c r="K13" s="5"/>
    </row>
    <row r="14" spans="1:14" s="25" customFormat="1" ht="13.5" thickBot="1">
      <c r="A14" s="5"/>
      <c r="B14" s="30" t="s">
        <v>584</v>
      </c>
      <c r="C14" s="16"/>
      <c r="D14" s="16"/>
      <c r="E14" s="31">
        <f>SUBTOTAL(9,E8:E12)</f>
        <v>1153130.8517052773</v>
      </c>
      <c r="F14" s="5"/>
      <c r="G14" s="5"/>
      <c r="H14" s="5"/>
      <c r="I14" s="5"/>
      <c r="J14" s="5"/>
      <c r="K14" s="5"/>
    </row>
    <row r="15" spans="1:14" s="25" customFormat="1" ht="13.5" hidden="1" thickBot="1">
      <c r="A15" s="5"/>
      <c r="B15" s="30"/>
      <c r="C15" s="30"/>
      <c r="D15" s="30"/>
      <c r="E15" s="30"/>
      <c r="F15" s="23"/>
      <c r="G15" s="23"/>
      <c r="H15" s="23"/>
      <c r="I15" s="23"/>
      <c r="J15" s="5"/>
      <c r="K15" s="5"/>
      <c r="L15" s="5"/>
      <c r="M15" s="5"/>
      <c r="N15" s="5"/>
    </row>
    <row r="16" spans="1:14" s="25" customFormat="1" hidden="1">
      <c r="A16" s="5"/>
      <c r="B16" s="32" t="s">
        <v>585</v>
      </c>
      <c r="C16" s="30"/>
      <c r="D16" s="30"/>
      <c r="E16" s="187" t="e">
        <f>Mob_Estimate!#REF!</f>
        <v>#REF!</v>
      </c>
      <c r="F16" s="23"/>
      <c r="G16" s="23"/>
      <c r="H16" s="23"/>
      <c r="I16" s="23"/>
      <c r="J16" s="5"/>
      <c r="K16" s="5"/>
      <c r="L16" s="5"/>
      <c r="M16" s="5"/>
      <c r="N16" s="5"/>
    </row>
    <row r="17" spans="1:14" s="25" customFormat="1" hidden="1">
      <c r="A17" s="5"/>
      <c r="B17" s="32"/>
      <c r="C17" s="30"/>
      <c r="D17" s="30"/>
      <c r="E17" s="189"/>
      <c r="F17" s="23"/>
      <c r="G17" s="23"/>
      <c r="H17" s="23"/>
      <c r="I17" s="23"/>
      <c r="J17" s="5"/>
      <c r="K17" s="5"/>
      <c r="L17" s="5"/>
      <c r="M17" s="5"/>
      <c r="N17" s="5"/>
    </row>
    <row r="18" spans="1:14" s="25" customFormat="1" hidden="1">
      <c r="A18" s="5"/>
      <c r="B18" s="32" t="s">
        <v>586</v>
      </c>
      <c r="C18" s="30"/>
      <c r="D18" s="30"/>
      <c r="E18" s="189" t="e">
        <f>Mob_Estimate!#REF!</f>
        <v>#REF!</v>
      </c>
      <c r="F18" s="23"/>
      <c r="G18" s="23"/>
      <c r="H18" s="23"/>
      <c r="I18" s="23"/>
      <c r="J18" s="5"/>
      <c r="K18" s="5"/>
      <c r="L18" s="5"/>
      <c r="M18" s="5"/>
      <c r="N18" s="5"/>
    </row>
    <row r="19" spans="1:14" s="25" customFormat="1" hidden="1">
      <c r="A19" s="5"/>
      <c r="B19" s="32"/>
      <c r="C19" s="30"/>
      <c r="D19" s="30"/>
      <c r="E19" s="189"/>
      <c r="F19" s="23"/>
      <c r="G19" s="23"/>
      <c r="H19" s="23"/>
      <c r="I19" s="23"/>
      <c r="J19" s="5"/>
      <c r="K19" s="5"/>
      <c r="L19" s="5"/>
      <c r="M19" s="5"/>
      <c r="N19" s="5"/>
    </row>
    <row r="20" spans="1:14" s="25" customFormat="1" ht="13.5" hidden="1" thickBot="1">
      <c r="A20" s="5"/>
      <c r="B20" s="32" t="s">
        <v>1183</v>
      </c>
      <c r="C20" s="30"/>
      <c r="D20" s="30"/>
      <c r="E20" s="188" t="e">
        <f>Mob_Estimate!#REF!</f>
        <v>#REF!</v>
      </c>
      <c r="F20" s="23"/>
      <c r="G20" s="23"/>
      <c r="H20" s="23"/>
      <c r="I20" s="23"/>
      <c r="J20" s="5"/>
      <c r="K20" s="5"/>
      <c r="L20" s="5"/>
      <c r="M20" s="5"/>
      <c r="N20" s="5"/>
    </row>
    <row r="21" spans="1:14" s="25" customFormat="1" ht="13.5" thickBot="1">
      <c r="A21" s="5"/>
      <c r="B21" s="32"/>
      <c r="C21" s="30"/>
      <c r="D21" s="30"/>
      <c r="E21" s="139"/>
      <c r="F21" s="23"/>
      <c r="G21" s="23"/>
      <c r="H21" s="23"/>
      <c r="I21" s="23"/>
      <c r="J21" s="5"/>
      <c r="K21" s="5"/>
      <c r="L21" s="5"/>
      <c r="M21" s="5"/>
      <c r="N21" s="5"/>
    </row>
    <row r="22" spans="1:14" s="25" customFormat="1" ht="13.5" thickBot="1">
      <c r="A22" s="5"/>
      <c r="B22" s="30" t="s">
        <v>1454</v>
      </c>
      <c r="C22" s="92"/>
      <c r="D22" s="30"/>
      <c r="E22" s="17">
        <f>Mob_Estimate!D44</f>
        <v>9657148.0500000007</v>
      </c>
      <c r="F22" s="23"/>
      <c r="G22" s="23"/>
      <c r="L22" s="5"/>
      <c r="M22" s="5"/>
      <c r="N22" s="5"/>
    </row>
    <row r="23" spans="1:14" s="25" customFormat="1" ht="13.5" thickBot="1">
      <c r="A23" s="5"/>
      <c r="F23" s="23"/>
      <c r="G23" s="23"/>
      <c r="L23" s="5"/>
      <c r="M23" s="5"/>
      <c r="N23" s="5"/>
    </row>
    <row r="24" spans="1:14" s="25" customFormat="1" ht="13.5" thickBot="1">
      <c r="A24" s="5"/>
      <c r="B24" s="32" t="s">
        <v>1184</v>
      </c>
      <c r="C24" s="30"/>
      <c r="D24" s="30"/>
      <c r="E24" s="138">
        <f>Mob_Estimate!D47</f>
        <v>120000</v>
      </c>
      <c r="F24" s="23"/>
      <c r="G24" s="23"/>
      <c r="H24" s="23"/>
      <c r="I24" s="23"/>
      <c r="J24" s="5"/>
      <c r="K24" s="5"/>
      <c r="L24" s="5"/>
      <c r="M24" s="5"/>
      <c r="N24" s="5"/>
    </row>
    <row r="25" spans="1:14" s="25" customFormat="1" ht="13.5" hidden="1" thickBot="1">
      <c r="A25" s="5"/>
      <c r="B25" s="30" t="s">
        <v>56</v>
      </c>
      <c r="C25" s="30"/>
      <c r="D25" s="30"/>
      <c r="E25" s="190">
        <f>Mob_Estimate!D48</f>
        <v>0</v>
      </c>
      <c r="F25" s="23"/>
      <c r="G25" s="23"/>
      <c r="H25" s="23"/>
      <c r="I25" s="23"/>
      <c r="J25" s="5"/>
      <c r="K25" s="5"/>
      <c r="L25" s="5"/>
      <c r="M25" s="5"/>
      <c r="N25" s="5"/>
    </row>
    <row r="26" spans="1:14" s="25" customFormat="1">
      <c r="A26" s="5"/>
      <c r="B26" s="30"/>
      <c r="C26" s="92"/>
      <c r="D26" s="30"/>
      <c r="E26" s="23"/>
      <c r="F26" s="23"/>
      <c r="G26" s="23"/>
      <c r="H26" s="23"/>
      <c r="I26" s="23"/>
      <c r="J26" s="5"/>
      <c r="K26" s="5"/>
      <c r="L26" s="5"/>
      <c r="M26" s="5"/>
      <c r="N26" s="5"/>
    </row>
    <row r="27" spans="1:14" s="25" customFormat="1" ht="16.5" thickBot="1">
      <c r="A27" s="175" t="s">
        <v>57</v>
      </c>
      <c r="B27" s="30"/>
      <c r="C27" s="30"/>
      <c r="D27" s="30"/>
      <c r="E27" s="30"/>
      <c r="F27" s="23"/>
      <c r="G27" s="23"/>
      <c r="H27" s="23"/>
      <c r="I27" s="23"/>
      <c r="J27" s="5"/>
      <c r="K27" s="5"/>
      <c r="L27" s="5"/>
      <c r="M27" s="5"/>
      <c r="N27" s="5"/>
    </row>
    <row r="28" spans="1:14" s="25" customFormat="1" ht="13.5" thickBot="1">
      <c r="A28" s="5"/>
      <c r="B28" s="16"/>
      <c r="C28" s="16"/>
      <c r="D28" s="16"/>
      <c r="E28" s="128"/>
      <c r="F28" s="28"/>
      <c r="G28" s="28"/>
      <c r="H28" s="28"/>
      <c r="I28" s="19" t="s">
        <v>58</v>
      </c>
      <c r="J28" s="897" t="s">
        <v>673</v>
      </c>
      <c r="K28" s="898"/>
      <c r="L28" s="5"/>
      <c r="M28" s="5"/>
    </row>
    <row r="29" spans="1:14" s="25" customFormat="1" ht="13.5" thickBot="1">
      <c r="A29" s="5"/>
      <c r="B29" s="16"/>
      <c r="C29" s="16"/>
      <c r="D29" s="16"/>
      <c r="E29" s="20" t="s">
        <v>59</v>
      </c>
      <c r="F29" s="20" t="s">
        <v>1361</v>
      </c>
      <c r="G29" s="20" t="s">
        <v>1362</v>
      </c>
      <c r="H29" s="6" t="s">
        <v>60</v>
      </c>
      <c r="I29" s="129" t="s">
        <v>61</v>
      </c>
      <c r="J29" s="817" t="s">
        <v>674</v>
      </c>
      <c r="K29" s="817" t="s">
        <v>675</v>
      </c>
      <c r="L29" s="5"/>
      <c r="M29" s="5"/>
    </row>
    <row r="30" spans="1:14" s="25" customFormat="1">
      <c r="A30" s="32" t="s">
        <v>62</v>
      </c>
      <c r="B30" s="16"/>
      <c r="C30" s="91"/>
      <c r="D30" s="16"/>
      <c r="E30" s="28"/>
      <c r="F30" s="28"/>
      <c r="G30" s="28"/>
      <c r="H30" s="28"/>
      <c r="I30" s="28"/>
      <c r="J30" s="818"/>
      <c r="K30" s="819"/>
      <c r="L30" s="5"/>
      <c r="M30" s="5"/>
    </row>
    <row r="31" spans="1:14" s="25" customFormat="1">
      <c r="A31" s="5"/>
      <c r="B31" s="16" t="s">
        <v>63</v>
      </c>
      <c r="C31" s="16"/>
      <c r="D31" s="16"/>
      <c r="E31" s="15">
        <f>'O&amp;M_Estimate'!D8</f>
        <v>1451918.666</v>
      </c>
      <c r="F31" s="15">
        <f>'O&amp;M_Estimate'!E8</f>
        <v>1451918.666</v>
      </c>
      <c r="G31" s="15">
        <f>'O&amp;M_Estimate'!F8</f>
        <v>1451918.666</v>
      </c>
      <c r="H31" s="15">
        <f>'O&amp;M_Estimate'!G8</f>
        <v>1451918.666</v>
      </c>
      <c r="I31" s="15">
        <f>'O&amp;M_Estimate'!H8</f>
        <v>1451918.666</v>
      </c>
      <c r="J31" s="820">
        <f>IF(Scope!F12=0,0,I31/Scope!F12/1000)</f>
        <v>2.268622915625</v>
      </c>
      <c r="K31" s="821"/>
      <c r="L31" s="5"/>
      <c r="M31" s="5"/>
    </row>
    <row r="32" spans="1:14" s="25" customFormat="1">
      <c r="A32" s="5"/>
      <c r="B32" s="16" t="s">
        <v>64</v>
      </c>
      <c r="C32" s="16"/>
      <c r="D32" s="16"/>
      <c r="E32" s="15">
        <f>'O&amp;M_Estimate'!D21</f>
        <v>348852.2849592648</v>
      </c>
      <c r="F32" s="15">
        <f>'O&amp;M_Estimate'!E21</f>
        <v>348852.2849592648</v>
      </c>
      <c r="G32" s="15">
        <f>'O&amp;M_Estimate'!F21</f>
        <v>348852.2849592648</v>
      </c>
      <c r="H32" s="15">
        <f>'O&amp;M_Estimate'!G21</f>
        <v>348852.2849592648</v>
      </c>
      <c r="I32" s="15">
        <f>'O&amp;M_Estimate'!H21</f>
        <v>348852.2849592648</v>
      </c>
      <c r="J32" s="820">
        <f>IF(Scope!F12=0,0,I32/Scope!F12/1000)</f>
        <v>0.54508169524885119</v>
      </c>
      <c r="K32" s="821"/>
      <c r="L32" s="5"/>
      <c r="M32" s="5"/>
    </row>
    <row r="33" spans="1:14" s="25" customFormat="1">
      <c r="A33" s="5"/>
      <c r="B33" s="16" t="s">
        <v>637</v>
      </c>
      <c r="C33" s="16"/>
      <c r="D33" s="16"/>
      <c r="E33" s="15">
        <f>'O&amp;M_Estimate'!D23</f>
        <v>604319.67503475724</v>
      </c>
      <c r="F33" s="15">
        <f>'O&amp;M_Estimate'!E23</f>
        <v>604319.67503475724</v>
      </c>
      <c r="G33" s="15">
        <f>'O&amp;M_Estimate'!F23</f>
        <v>604319.67503475724</v>
      </c>
      <c r="H33" s="15">
        <f>'O&amp;M_Estimate'!G23</f>
        <v>604319.67503475724</v>
      </c>
      <c r="I33" s="15">
        <f>'O&amp;M_Estimate'!H23</f>
        <v>604319.67503475724</v>
      </c>
      <c r="J33" s="820"/>
      <c r="K33" s="821">
        <f>IF(Scope!F40=0,0,I33/Scope!F40)</f>
        <v>0.11346425044962848</v>
      </c>
      <c r="L33" s="5"/>
      <c r="M33" s="5"/>
    </row>
    <row r="34" spans="1:14" s="25" customFormat="1">
      <c r="A34" s="5"/>
      <c r="B34" s="16" t="s">
        <v>65</v>
      </c>
      <c r="C34" s="16"/>
      <c r="D34" s="16"/>
      <c r="E34" s="15">
        <f>'O&amp;M_Estimate'!D39</f>
        <v>1239658.4711752364</v>
      </c>
      <c r="F34" s="15">
        <f>'O&amp;M_Estimate'!E39</f>
        <v>1254171.6307643305</v>
      </c>
      <c r="G34" s="15">
        <f>'O&amp;M_Estimate'!F39</f>
        <v>1254171.6307643305</v>
      </c>
      <c r="H34" s="15">
        <f>'O&amp;M_Estimate'!G39</f>
        <v>2309119.5677443724</v>
      </c>
      <c r="I34" s="15">
        <f>'O&amp;M_Estimate'!H39</f>
        <v>2150151.7192179114</v>
      </c>
      <c r="J34" s="820">
        <f>IF(Scope!F12=0,0,I34/Scope!F12/1000*0.75)</f>
        <v>2.5197090459584901</v>
      </c>
      <c r="K34" s="821">
        <f>IF(Scope!F40=0,0,I34/Scope!F40*0.25)</f>
        <v>0.10092562068246776</v>
      </c>
      <c r="L34" s="5"/>
      <c r="M34" s="5"/>
    </row>
    <row r="35" spans="1:14" s="25" customFormat="1">
      <c r="A35" s="5"/>
      <c r="B35" s="16" t="s">
        <v>66</v>
      </c>
      <c r="C35" s="16"/>
      <c r="D35" s="16"/>
      <c r="E35" s="15">
        <f>'O&amp;M_Estimate'!D41</f>
        <v>26055.522291956309</v>
      </c>
      <c r="F35" s="15">
        <f>'O&amp;M_Estimate'!E41</f>
        <v>26055.522291956309</v>
      </c>
      <c r="G35" s="15">
        <f>'O&amp;M_Estimate'!F41</f>
        <v>26055.522291956309</v>
      </c>
      <c r="H35" s="15">
        <f>'O&amp;M_Estimate'!G41</f>
        <v>26055.522291956309</v>
      </c>
      <c r="I35" s="15">
        <f>'O&amp;M_Estimate'!H41</f>
        <v>26055.522291956309</v>
      </c>
      <c r="J35" s="820">
        <f>IF(Scope!F12=0,0,I35/Scope!F12/1000)</f>
        <v>4.0711753581181731E-2</v>
      </c>
      <c r="K35" s="821"/>
      <c r="L35" s="5"/>
      <c r="M35" s="5"/>
    </row>
    <row r="36" spans="1:14" s="25" customFormat="1">
      <c r="A36" s="5"/>
      <c r="B36" s="16"/>
      <c r="C36" s="16"/>
      <c r="D36" s="16"/>
      <c r="E36" s="15"/>
      <c r="F36" s="15"/>
      <c r="G36" s="15"/>
      <c r="H36" s="15"/>
      <c r="I36" s="15"/>
      <c r="J36" s="820"/>
      <c r="K36" s="821"/>
      <c r="L36" s="5"/>
      <c r="M36" s="5"/>
    </row>
    <row r="37" spans="1:14" s="25" customFormat="1" ht="13.5" thickBot="1">
      <c r="A37" s="5"/>
      <c r="B37" s="30" t="s">
        <v>734</v>
      </c>
      <c r="C37" s="16"/>
      <c r="D37" s="16"/>
      <c r="E37" s="31">
        <f>SUM(E31:E35)</f>
        <v>3670804.6194612151</v>
      </c>
      <c r="F37" s="31">
        <f>SUM(F31:F35)</f>
        <v>3685317.7790503092</v>
      </c>
      <c r="G37" s="31">
        <f>SUM(G31:G35)</f>
        <v>3685317.7790503092</v>
      </c>
      <c r="H37" s="31">
        <f>SUM(H31:H35)</f>
        <v>4740265.7160303509</v>
      </c>
      <c r="I37" s="31">
        <f>SUM(I31:I35)</f>
        <v>4581297.8675038898</v>
      </c>
      <c r="J37" s="822"/>
      <c r="K37" s="823"/>
      <c r="L37" s="5"/>
      <c r="M37" s="5"/>
    </row>
    <row r="38" spans="1:14" s="25" customFormat="1" ht="13.5" thickBot="1">
      <c r="A38" s="5"/>
      <c r="B38" s="30"/>
      <c r="C38" s="30"/>
      <c r="D38" s="30"/>
      <c r="E38" s="23"/>
      <c r="F38" s="23"/>
      <c r="G38" s="23"/>
      <c r="H38" s="23"/>
      <c r="I38" s="23"/>
      <c r="J38" s="824">
        <f>SUM(J31:J35)</f>
        <v>5.374125410413523</v>
      </c>
      <c r="K38" s="824">
        <f>SUM(K31:K35)</f>
        <v>0.21438987113209623</v>
      </c>
      <c r="L38" s="5"/>
      <c r="M38" s="5"/>
    </row>
    <row r="39" spans="1:14" s="25" customFormat="1" ht="13.5" thickBot="1">
      <c r="A39" s="5"/>
      <c r="B39" s="16"/>
      <c r="C39" s="16"/>
      <c r="D39" s="16"/>
      <c r="E39" s="16"/>
      <c r="F39" s="16"/>
      <c r="G39" s="16"/>
      <c r="H39" s="16"/>
      <c r="I39" s="5"/>
      <c r="J39" s="5"/>
      <c r="K39" s="174"/>
      <c r="L39" s="5"/>
      <c r="M39" s="5"/>
    </row>
    <row r="40" spans="1:14" s="25" customFormat="1" ht="13.5" thickBot="1">
      <c r="A40" s="32" t="s">
        <v>67</v>
      </c>
      <c r="B40" s="16"/>
      <c r="D40" s="194" t="s">
        <v>68</v>
      </c>
      <c r="E40" s="17">
        <f>'O&amp;M Backup_Detail'!D265</f>
        <v>141072289.13039997</v>
      </c>
      <c r="F40" s="23"/>
      <c r="G40" s="23"/>
      <c r="H40" s="78" t="s">
        <v>69</v>
      </c>
      <c r="I40" s="17">
        <f>E40/20</f>
        <v>7053614.4565199986</v>
      </c>
      <c r="J40" s="23"/>
      <c r="K40" s="5"/>
      <c r="L40" s="5"/>
      <c r="M40" s="5"/>
    </row>
    <row r="41" spans="1:14" s="25" customFormat="1" ht="13.5" thickBot="1">
      <c r="A41" s="32"/>
      <c r="B41" s="16"/>
      <c r="C41" s="91"/>
      <c r="D41" s="16"/>
      <c r="E41" s="23"/>
      <c r="F41" s="23"/>
      <c r="G41" s="23"/>
      <c r="H41"/>
      <c r="I41"/>
      <c r="J41" s="23"/>
      <c r="K41" s="5"/>
      <c r="L41" s="5"/>
      <c r="M41" s="5"/>
    </row>
    <row r="42" spans="1:14" s="25" customFormat="1" ht="13.5" thickBot="1">
      <c r="A42" s="156" t="s">
        <v>733</v>
      </c>
      <c r="B42" s="30"/>
      <c r="C42" s="30"/>
      <c r="D42" s="30"/>
      <c r="E42" s="5"/>
      <c r="F42" s="5"/>
      <c r="G42" s="5"/>
      <c r="H42" s="78" t="s">
        <v>69</v>
      </c>
      <c r="I42" s="138">
        <f>'O&amp;M_Estimate'!H49</f>
        <v>11634912.324023888</v>
      </c>
      <c r="J42" s="5"/>
      <c r="K42" s="5"/>
      <c r="L42" s="5"/>
      <c r="M42" s="5"/>
    </row>
    <row r="43" spans="1:14" s="25" customFormat="1" hidden="1">
      <c r="A43"/>
      <c r="B43" s="93"/>
      <c r="C43" s="82"/>
      <c r="D43" s="30"/>
      <c r="E43"/>
      <c r="F43" s="95"/>
      <c r="G43" s="95"/>
      <c r="H43" s="95"/>
      <c r="I43" s="95"/>
      <c r="J43" s="5"/>
      <c r="K43" s="5"/>
      <c r="L43" s="5"/>
      <c r="M43" s="5"/>
    </row>
    <row r="44" spans="1:14" s="25" customFormat="1" ht="13.5" hidden="1" thickBot="1">
      <c r="A44"/>
      <c r="B44" s="93"/>
      <c r="C44" s="82"/>
      <c r="D44" s="30"/>
      <c r="E44"/>
      <c r="F44" s="95"/>
      <c r="G44" s="95"/>
      <c r="H44" s="95"/>
      <c r="I44" s="95"/>
      <c r="J44" s="5"/>
      <c r="K44" s="5"/>
      <c r="L44" s="5"/>
      <c r="M44" s="5"/>
    </row>
    <row r="45" spans="1:14" s="25" customFormat="1" ht="13.5" hidden="1" thickBot="1">
      <c r="A45" s="32" t="s">
        <v>70</v>
      </c>
      <c r="B45" s="93"/>
      <c r="C45" s="82"/>
      <c r="D45" s="30"/>
      <c r="E45" s="138" t="e">
        <f>'O&amp;M_Estimate'!#REF!</f>
        <v>#REF!</v>
      </c>
      <c r="F45" s="138" t="e">
        <f>'O&amp;M_Estimate'!#REF!</f>
        <v>#REF!</v>
      </c>
      <c r="G45" s="138" t="e">
        <f>'O&amp;M_Estimate'!#REF!</f>
        <v>#REF!</v>
      </c>
      <c r="H45" s="138" t="e">
        <f>'O&amp;M_Estimate'!#REF!</f>
        <v>#REF!</v>
      </c>
      <c r="I45" s="138" t="e">
        <f>'O&amp;M_Estimate'!#REF!</f>
        <v>#REF!</v>
      </c>
      <c r="J45" s="5"/>
      <c r="K45" s="5"/>
      <c r="L45" s="5"/>
      <c r="M45" s="5"/>
    </row>
    <row r="46" spans="1:14" s="25" customFormat="1" ht="13.5" hidden="1" thickBot="1">
      <c r="A46" s="5"/>
      <c r="B46" s="30"/>
      <c r="C46" s="30"/>
      <c r="D46" s="30"/>
      <c r="E46" s="5"/>
      <c r="F46" s="5"/>
      <c r="G46" s="5"/>
      <c r="H46" s="5"/>
      <c r="I46" s="5"/>
      <c r="J46" s="5"/>
      <c r="K46" s="5"/>
      <c r="L46" s="5"/>
      <c r="M46" s="5"/>
    </row>
    <row r="47" spans="1:14" s="25" customFormat="1" ht="13.5" hidden="1" thickBot="1">
      <c r="A47" s="32" t="s">
        <v>71</v>
      </c>
      <c r="B47"/>
      <c r="C47" s="91"/>
      <c r="D47"/>
      <c r="E47" s="17" t="e">
        <f>'O&amp;M_Estimate'!#REF!</f>
        <v>#REF!</v>
      </c>
      <c r="F47" s="17" t="e">
        <f>'O&amp;M_Estimate'!#REF!</f>
        <v>#REF!</v>
      </c>
      <c r="G47" s="17" t="e">
        <f>'O&amp;M_Estimate'!#REF!</f>
        <v>#REF!</v>
      </c>
      <c r="H47" s="17" t="e">
        <f>'O&amp;M_Estimate'!#REF!</f>
        <v>#REF!</v>
      </c>
      <c r="I47" s="17" t="e">
        <f>'O&amp;M_Estimate'!#REF!</f>
        <v>#REF!</v>
      </c>
      <c r="J47" s="5"/>
      <c r="K47" s="5"/>
      <c r="L47" s="5"/>
      <c r="M47" s="5"/>
      <c r="N47" s="5"/>
    </row>
    <row r="48" spans="1:14" s="25" customFormat="1" hidden="1">
      <c r="A48" s="32"/>
      <c r="B48"/>
      <c r="C48" s="91"/>
      <c r="D48"/>
      <c r="E48" s="23"/>
      <c r="F48" s="23"/>
      <c r="G48" s="23"/>
      <c r="H48" s="23"/>
      <c r="I48" s="23"/>
      <c r="J48" s="5"/>
      <c r="K48" s="5"/>
      <c r="L48" s="5"/>
      <c r="M48" s="5"/>
      <c r="N48" s="5"/>
    </row>
    <row r="49" spans="1:14" s="25" customFormat="1" ht="13.5" thickBot="1">
      <c r="A49" s="32"/>
      <c r="B49" s="16"/>
      <c r="C49"/>
      <c r="D49"/>
      <c r="E49"/>
      <c r="F49"/>
      <c r="G49"/>
      <c r="H49"/>
      <c r="I49" s="5"/>
      <c r="J49" s="5"/>
      <c r="K49" s="5"/>
      <c r="L49" s="5"/>
      <c r="M49" s="5"/>
      <c r="N49" s="5"/>
    </row>
    <row r="50" spans="1:14" s="25" customFormat="1" ht="13.5" hidden="1" thickBot="1">
      <c r="A50" s="156" t="s">
        <v>1010</v>
      </c>
      <c r="B50" s="16"/>
      <c r="C50" s="16"/>
      <c r="D50" s="16"/>
      <c r="E50" s="16"/>
      <c r="F50" s="5"/>
      <c r="G50" s="5"/>
      <c r="H50" s="5"/>
      <c r="I50" s="138" t="e">
        <f>I47+I45+I40+I37</f>
        <v>#REF!</v>
      </c>
      <c r="J50" s="5"/>
      <c r="K50" s="5"/>
      <c r="L50" s="5"/>
      <c r="M50" s="5"/>
      <c r="N50" s="5"/>
    </row>
    <row r="51" spans="1:14" s="25" customFormat="1" hidden="1">
      <c r="A51" s="156"/>
      <c r="B51" s="16"/>
      <c r="C51" s="16"/>
      <c r="D51" s="16"/>
      <c r="E51" s="16"/>
      <c r="F51" s="5"/>
      <c r="G51" s="5"/>
      <c r="H51" s="5"/>
      <c r="I51" s="139"/>
      <c r="J51" s="5"/>
      <c r="K51" s="5"/>
      <c r="L51" s="5"/>
      <c r="M51" s="5"/>
      <c r="N51" s="5"/>
    </row>
    <row r="52" spans="1:14" s="25" customFormat="1" ht="13.5" hidden="1" thickBot="1">
      <c r="A52" s="5"/>
      <c r="B52" s="16"/>
      <c r="C52" s="16"/>
      <c r="D52" s="16"/>
      <c r="E52" s="16"/>
      <c r="F52" s="5"/>
      <c r="G52" s="5"/>
      <c r="H52" s="5"/>
      <c r="I52" s="5"/>
      <c r="J52" s="5"/>
      <c r="K52" s="5"/>
      <c r="L52" s="5"/>
      <c r="M52" s="5"/>
      <c r="N52" s="5"/>
    </row>
    <row r="53" spans="1:14" s="25" customFormat="1" ht="13.5" thickBot="1">
      <c r="A53" s="156" t="s">
        <v>72</v>
      </c>
      <c r="B53" s="16"/>
      <c r="C53" s="16"/>
      <c r="D53" s="16"/>
      <c r="E53" s="199">
        <f>'O&amp;M_Estimate'!D57</f>
        <v>1160000</v>
      </c>
      <c r="F53" s="138">
        <f>'O&amp;M_Estimate'!E57</f>
        <v>1160000</v>
      </c>
      <c r="G53" s="138">
        <f>'O&amp;M_Estimate'!F57</f>
        <v>1160000</v>
      </c>
      <c r="H53" s="138">
        <f>'O&amp;M_Estimate'!G57</f>
        <v>1160000</v>
      </c>
      <c r="I53" s="200">
        <f>'O&amp;M_Estimate'!H57</f>
        <v>1160000</v>
      </c>
      <c r="J53" s="5"/>
      <c r="K53" s="5"/>
      <c r="L53" s="5"/>
      <c r="M53" s="5"/>
      <c r="N53" s="5"/>
    </row>
    <row r="54" spans="1:14" s="25" customFormat="1" ht="13.5" hidden="1" thickBot="1">
      <c r="A54" s="156" t="s">
        <v>56</v>
      </c>
      <c r="B54" s="16"/>
      <c r="C54" s="16"/>
      <c r="D54" s="16"/>
      <c r="E54" s="192">
        <f>'O&amp;M_Estimate'!D58</f>
        <v>0</v>
      </c>
      <c r="F54" s="188">
        <f>'O&amp;M_Estimate'!E58</f>
        <v>0</v>
      </c>
      <c r="G54" s="188">
        <f>'O&amp;M_Estimate'!F58</f>
        <v>0</v>
      </c>
      <c r="H54" s="188">
        <f>'O&amp;M_Estimate'!G58</f>
        <v>0</v>
      </c>
      <c r="I54" s="196">
        <f>'O&amp;M_Estimate'!H58</f>
        <v>0</v>
      </c>
      <c r="J54" s="5"/>
      <c r="K54" s="5"/>
      <c r="L54" s="5"/>
      <c r="M54" s="5"/>
      <c r="N54" s="5"/>
    </row>
    <row r="55" spans="1:14" s="25" customFormat="1">
      <c r="A55" s="5"/>
      <c r="B55" s="16"/>
      <c r="C55" s="16"/>
      <c r="D55" s="16"/>
      <c r="E55" s="16"/>
      <c r="F55" s="5"/>
      <c r="G55" s="5"/>
      <c r="H55" s="5"/>
      <c r="I55" s="5"/>
      <c r="J55" s="5"/>
      <c r="K55" s="5"/>
      <c r="L55" s="5"/>
      <c r="M55" s="5"/>
      <c r="N55" s="5"/>
    </row>
    <row r="56" spans="1:14" s="25" customFormat="1">
      <c r="A56" s="5"/>
      <c r="B56" s="16" t="s">
        <v>73</v>
      </c>
      <c r="C56" s="16"/>
      <c r="D56" s="16"/>
      <c r="E56" s="16"/>
      <c r="F56" s="5"/>
      <c r="G56" s="5"/>
      <c r="H56" s="5"/>
      <c r="I56" s="5"/>
      <c r="J56" s="5"/>
      <c r="K56" s="5"/>
      <c r="L56" s="5"/>
      <c r="M56" s="5"/>
      <c r="N56" s="5"/>
    </row>
    <row r="57" spans="1:14" s="25" customFormat="1">
      <c r="A57" s="5"/>
      <c r="B57" s="16"/>
      <c r="C57" s="16"/>
      <c r="D57" s="16"/>
      <c r="E57" s="16"/>
      <c r="F57" s="5"/>
      <c r="G57" s="5"/>
      <c r="H57" s="5"/>
      <c r="I57" s="5"/>
      <c r="J57" s="5"/>
      <c r="K57" s="5"/>
      <c r="L57" s="5"/>
      <c r="M57" s="5"/>
      <c r="N57" s="5"/>
    </row>
    <row r="58" spans="1:14" s="25" customFormat="1">
      <c r="A58" s="5"/>
      <c r="B58" s="16"/>
      <c r="C58" s="16"/>
      <c r="D58" s="16"/>
      <c r="E58" s="16"/>
      <c r="F58" s="5"/>
      <c r="G58" s="5"/>
      <c r="H58" s="5"/>
      <c r="I58" s="5"/>
      <c r="J58" s="5"/>
      <c r="K58" s="5"/>
      <c r="L58" s="5"/>
      <c r="M58" s="5"/>
      <c r="N58" s="5"/>
    </row>
    <row r="59" spans="1:14" s="25" customFormat="1">
      <c r="A59" s="5"/>
      <c r="B59" s="16"/>
      <c r="C59" s="16"/>
      <c r="D59" s="16"/>
      <c r="E59" s="16"/>
      <c r="F59" s="5"/>
      <c r="G59" s="5"/>
      <c r="H59" s="5"/>
      <c r="I59" s="5"/>
      <c r="J59" s="5"/>
      <c r="K59" s="5"/>
      <c r="L59" s="5"/>
      <c r="M59" s="5"/>
      <c r="N59" s="5"/>
    </row>
    <row r="60" spans="1:14" s="25" customFormat="1">
      <c r="A60" s="5"/>
      <c r="B60" s="16"/>
      <c r="C60" s="16"/>
      <c r="D60" s="16"/>
      <c r="E60" s="16"/>
      <c r="F60" s="5"/>
      <c r="G60" s="5"/>
      <c r="H60" s="5"/>
      <c r="I60" s="5"/>
      <c r="J60" s="5"/>
      <c r="K60" s="5"/>
      <c r="L60" s="5"/>
      <c r="M60" s="5"/>
      <c r="N60" s="5"/>
    </row>
    <row r="61" spans="1:14" s="25" customFormat="1">
      <c r="A61" s="5"/>
      <c r="B61" s="16"/>
      <c r="C61" s="16"/>
      <c r="D61" s="16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s="25" customFormat="1">
      <c r="A62" s="5"/>
      <c r="B62" s="16"/>
      <c r="C62" s="16"/>
      <c r="D62" s="16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s="25" customFormat="1">
      <c r="A63" s="5"/>
      <c r="B63" s="16"/>
      <c r="C63" s="16"/>
      <c r="D63" s="16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s="25" customFormat="1">
      <c r="A64" s="5"/>
      <c r="B64" s="16"/>
      <c r="C64" s="16"/>
      <c r="D64" s="16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s="25" customFormat="1">
      <c r="A65" s="5"/>
      <c r="B65" s="16"/>
      <c r="C65" s="16"/>
      <c r="D65" s="16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s="25" customFormat="1">
      <c r="A66" s="5"/>
      <c r="B66" s="16"/>
      <c r="C66" s="16"/>
      <c r="D66" s="16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s="25" customFormat="1">
      <c r="A67" s="5"/>
      <c r="B67" s="16"/>
      <c r="C67" s="16"/>
      <c r="D67" s="16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s="25" customFormat="1">
      <c r="A68" s="5"/>
      <c r="B68" s="16"/>
      <c r="C68" s="16"/>
      <c r="D68" s="16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s="25" customFormat="1">
      <c r="A69" s="5"/>
      <c r="B69" s="16"/>
      <c r="C69" s="16"/>
      <c r="D69" s="16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s="25" customFormat="1">
      <c r="A70" s="5"/>
      <c r="B70" s="16"/>
      <c r="C70" s="16"/>
      <c r="D70" s="16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s="25" customFormat="1">
      <c r="A71" s="5"/>
      <c r="B71" s="16"/>
      <c r="C71" s="16"/>
      <c r="D71" s="16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s="25" customFormat="1">
      <c r="A72" s="5"/>
      <c r="B72" s="16"/>
      <c r="C72" s="16"/>
      <c r="D72" s="16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s="25" customFormat="1">
      <c r="A73" s="5"/>
      <c r="B73" s="16"/>
      <c r="C73" s="16"/>
      <c r="D73" s="16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s="25" customFormat="1">
      <c r="A74" s="5"/>
      <c r="B74" s="16"/>
      <c r="C74" s="16"/>
      <c r="D74" s="16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s="25" customFormat="1">
      <c r="A75" s="5"/>
      <c r="B75" s="16"/>
      <c r="C75" s="16"/>
      <c r="D75" s="16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s="25" customFormat="1">
      <c r="A76" s="5"/>
      <c r="B76" s="16"/>
      <c r="C76" s="16"/>
      <c r="D76" s="16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s="25" customFormat="1">
      <c r="A77" s="5"/>
      <c r="B77" s="16"/>
      <c r="C77" s="16"/>
      <c r="D77" s="16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s="25" customFormat="1">
      <c r="A78" s="5"/>
      <c r="B78" s="16"/>
      <c r="C78" s="16"/>
      <c r="D78" s="16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s="25" customFormat="1">
      <c r="A79" s="5"/>
      <c r="B79" s="16"/>
      <c r="C79" s="16"/>
      <c r="D79" s="16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s="25" customFormat="1">
      <c r="A80" s="5"/>
      <c r="B80" s="16"/>
      <c r="C80" s="16"/>
      <c r="D80" s="16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s="25" customFormat="1">
      <c r="A81" s="5"/>
      <c r="B81" s="16"/>
      <c r="C81" s="16"/>
      <c r="D81" s="16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s="25" customFormat="1">
      <c r="A82" s="5"/>
      <c r="B82" s="16"/>
      <c r="C82" s="16"/>
      <c r="D82" s="16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s="25" customFormat="1">
      <c r="A83" s="5"/>
      <c r="B83" s="16"/>
      <c r="C83" s="16"/>
      <c r="D83" s="16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s="25" customFormat="1">
      <c r="A84" s="5"/>
      <c r="B84" s="16"/>
      <c r="C84" s="16"/>
      <c r="D84" s="16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s="25" customFormat="1">
      <c r="A85" s="5"/>
      <c r="B85" s="16"/>
      <c r="C85" s="16"/>
      <c r="D85" s="16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s="25" customFormat="1">
      <c r="A86" s="5"/>
      <c r="B86" s="16"/>
      <c r="C86" s="16"/>
      <c r="D86" s="16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s="25" customFormat="1">
      <c r="A87" s="5"/>
      <c r="B87" s="16"/>
      <c r="C87" s="16"/>
      <c r="D87" s="16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s="25" customFormat="1">
      <c r="A88" s="5"/>
      <c r="B88" s="16"/>
      <c r="C88" s="16"/>
      <c r="D88" s="16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s="25" customFormat="1">
      <c r="A89" s="5"/>
      <c r="B89" s="16"/>
      <c r="C89" s="16"/>
      <c r="D89" s="16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s="25" customFormat="1">
      <c r="A90" s="5"/>
      <c r="B90" s="16"/>
      <c r="C90" s="16"/>
      <c r="D90" s="16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s="25" customFormat="1">
      <c r="A91" s="5"/>
      <c r="B91" s="16"/>
      <c r="C91" s="16"/>
      <c r="D91" s="16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s="25" customFormat="1">
      <c r="A92" s="5"/>
      <c r="B92" s="16"/>
      <c r="C92" s="16"/>
      <c r="D92" s="16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s="25" customFormat="1">
      <c r="A93" s="5"/>
      <c r="B93" s="16"/>
      <c r="C93" s="16"/>
      <c r="D93" s="16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s="25" customFormat="1">
      <c r="A94" s="5"/>
      <c r="B94" s="16"/>
      <c r="C94" s="16"/>
      <c r="D94" s="16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s="25" customFormat="1">
      <c r="A95" s="5"/>
      <c r="B95" s="16"/>
      <c r="C95" s="16"/>
      <c r="D95" s="16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s="25" customFormat="1">
      <c r="A96" s="5"/>
      <c r="B96" s="16"/>
      <c r="C96" s="16"/>
      <c r="D96" s="16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s="25" customFormat="1">
      <c r="A97" s="5"/>
      <c r="B97" s="16"/>
      <c r="C97" s="16"/>
      <c r="D97" s="16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s="25" customFormat="1">
      <c r="A98" s="5"/>
      <c r="B98" s="16"/>
      <c r="C98" s="16"/>
      <c r="D98" s="16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s="25" customFormat="1">
      <c r="A99" s="5"/>
      <c r="B99" s="16"/>
      <c r="C99" s="16"/>
      <c r="D99" s="16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s="25" customFormat="1">
      <c r="A100" s="5"/>
      <c r="B100" s="16"/>
      <c r="C100" s="16"/>
      <c r="D100" s="16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s="25" customFormat="1">
      <c r="A101" s="5"/>
      <c r="B101" s="16"/>
      <c r="C101" s="16"/>
      <c r="D101" s="16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s="25" customFormat="1">
      <c r="A102" s="5"/>
      <c r="B102" s="16"/>
      <c r="C102" s="16"/>
      <c r="D102" s="16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s="25" customFormat="1">
      <c r="A103" s="5"/>
      <c r="B103" s="16"/>
      <c r="C103" s="16"/>
      <c r="D103" s="16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s="25" customFormat="1">
      <c r="A104" s="5"/>
      <c r="B104" s="16"/>
      <c r="C104" s="16"/>
      <c r="D104" s="16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s="25" customFormat="1">
      <c r="A105" s="5"/>
      <c r="B105" s="16"/>
      <c r="C105" s="16"/>
      <c r="D105" s="16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s="25" customFormat="1">
      <c r="A106" s="5"/>
      <c r="B106" s="16"/>
      <c r="C106" s="16"/>
      <c r="D106" s="16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s="25" customFormat="1">
      <c r="A107" s="5"/>
      <c r="B107" s="16"/>
      <c r="C107" s="16"/>
      <c r="D107" s="16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s="25" customFormat="1">
      <c r="A108" s="5"/>
      <c r="B108" s="16"/>
      <c r="C108" s="16"/>
      <c r="D108" s="16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s="25" customFormat="1">
      <c r="A109" s="5"/>
      <c r="B109" s="16"/>
      <c r="C109" s="16"/>
      <c r="D109" s="16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s="25" customFormat="1">
      <c r="A110" s="5"/>
      <c r="B110" s="16"/>
      <c r="C110" s="16"/>
      <c r="D110" s="16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s="25" customFormat="1">
      <c r="A111" s="5"/>
      <c r="B111" s="16"/>
      <c r="C111" s="16"/>
      <c r="D111" s="16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s="25" customFormat="1">
      <c r="A112" s="5"/>
      <c r="B112" s="16"/>
      <c r="C112" s="16"/>
      <c r="D112" s="16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s="25" customFormat="1">
      <c r="A113" s="5"/>
      <c r="B113" s="16"/>
      <c r="C113" s="16"/>
      <c r="D113" s="16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s="25" customFormat="1">
      <c r="A114" s="5"/>
      <c r="B114" s="16"/>
      <c r="C114" s="16"/>
      <c r="D114" s="16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s="25" customFormat="1">
      <c r="A115" s="5"/>
      <c r="B115" s="16"/>
      <c r="C115" s="16"/>
      <c r="D115" s="16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s="25" customFormat="1">
      <c r="A116" s="5"/>
      <c r="B116" s="16"/>
      <c r="C116" s="16"/>
      <c r="D116" s="16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s="25" customFormat="1">
      <c r="A117" s="5"/>
      <c r="B117" s="16"/>
      <c r="C117" s="16"/>
      <c r="D117" s="16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s="25" customFormat="1">
      <c r="A118" s="5"/>
      <c r="B118" s="16"/>
      <c r="C118" s="16"/>
      <c r="D118" s="16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s="25" customFormat="1">
      <c r="A119" s="5"/>
      <c r="B119" s="16"/>
      <c r="C119" s="16"/>
      <c r="D119" s="16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s="25" customFormat="1">
      <c r="A120" s="5"/>
      <c r="B120" s="16"/>
      <c r="C120" s="16"/>
      <c r="D120" s="16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s="25" customFormat="1">
      <c r="A121" s="5"/>
      <c r="B121" s="16"/>
      <c r="C121" s="16"/>
      <c r="D121" s="16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s="25" customFormat="1">
      <c r="A122" s="5"/>
      <c r="B122" s="16"/>
      <c r="C122" s="16"/>
      <c r="D122" s="16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s="25" customFormat="1">
      <c r="A123" s="5"/>
      <c r="B123" s="16"/>
      <c r="C123" s="16"/>
      <c r="D123" s="16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s="25" customFormat="1">
      <c r="A124" s="5"/>
      <c r="B124" s="16"/>
      <c r="C124" s="16"/>
      <c r="D124" s="16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s="25" customFormat="1">
      <c r="A125" s="5"/>
      <c r="B125" s="16"/>
      <c r="C125" s="16"/>
      <c r="D125" s="16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s="25" customFormat="1">
      <c r="A126" s="5"/>
      <c r="B126" s="16"/>
      <c r="C126" s="16"/>
      <c r="D126" s="16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s="25" customFormat="1">
      <c r="A127" s="5"/>
      <c r="B127" s="16"/>
      <c r="C127" s="16"/>
      <c r="D127" s="16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s="25" customFormat="1">
      <c r="A128" s="5"/>
      <c r="B128" s="16"/>
      <c r="C128" s="16"/>
      <c r="D128" s="16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s="25" customFormat="1">
      <c r="A129" s="5"/>
      <c r="B129" s="16"/>
      <c r="C129" s="16"/>
      <c r="D129" s="16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s="25" customFormat="1">
      <c r="A130" s="5"/>
      <c r="B130" s="16"/>
      <c r="C130" s="16"/>
      <c r="D130" s="16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s="25" customFormat="1">
      <c r="A131" s="5"/>
      <c r="B131" s="16"/>
      <c r="C131" s="16"/>
      <c r="D131" s="16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s="25" customFormat="1">
      <c r="A132" s="5"/>
      <c r="B132" s="16"/>
      <c r="C132" s="16"/>
      <c r="D132" s="16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s="25" customFormat="1">
      <c r="A133" s="5"/>
      <c r="B133" s="16"/>
      <c r="C133" s="16"/>
      <c r="D133" s="16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s="25" customFormat="1">
      <c r="A134" s="5"/>
      <c r="B134" s="16"/>
      <c r="C134" s="16"/>
      <c r="D134" s="16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s="25" customFormat="1">
      <c r="A135" s="5"/>
      <c r="B135" s="16"/>
      <c r="C135" s="16"/>
      <c r="D135" s="16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s="25" customFormat="1">
      <c r="A136" s="5"/>
      <c r="B136" s="16"/>
      <c r="C136" s="16"/>
      <c r="D136" s="16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s="25" customFormat="1">
      <c r="A137" s="5"/>
      <c r="B137" s="16"/>
      <c r="C137" s="16"/>
      <c r="D137" s="16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s="25" customFormat="1">
      <c r="A138" s="5"/>
      <c r="B138" s="16"/>
      <c r="C138" s="16"/>
      <c r="D138" s="16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 s="25" customFormat="1">
      <c r="A139" s="5"/>
      <c r="B139" s="16"/>
      <c r="C139" s="16"/>
      <c r="D139" s="16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s="25" customFormat="1">
      <c r="A140" s="5"/>
      <c r="B140" s="16"/>
      <c r="C140" s="16"/>
      <c r="D140" s="16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s="25" customFormat="1">
      <c r="A141" s="5"/>
      <c r="B141" s="16"/>
      <c r="C141" s="16"/>
      <c r="D141" s="16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s="25" customFormat="1">
      <c r="A142" s="5"/>
      <c r="B142" s="16"/>
      <c r="C142" s="16"/>
      <c r="D142" s="16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 s="25" customFormat="1">
      <c r="A143" s="5"/>
      <c r="B143" s="16"/>
      <c r="C143" s="16"/>
      <c r="D143" s="16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 s="25" customFormat="1">
      <c r="A144" s="5"/>
      <c r="B144" s="16"/>
      <c r="C144" s="16"/>
      <c r="D144" s="16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 s="25" customFormat="1">
      <c r="A145" s="5"/>
      <c r="B145" s="16"/>
      <c r="C145" s="16"/>
      <c r="D145" s="16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s="25" customFormat="1">
      <c r="A146" s="5"/>
      <c r="B146" s="16"/>
      <c r="C146" s="16"/>
      <c r="D146" s="16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s="25" customFormat="1">
      <c r="A147" s="5"/>
      <c r="B147" s="16"/>
      <c r="C147" s="16"/>
      <c r="D147" s="16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s="25" customFormat="1">
      <c r="A148" s="5"/>
      <c r="B148" s="16"/>
      <c r="C148" s="16"/>
      <c r="D148" s="16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s="25" customFormat="1">
      <c r="A149" s="5"/>
      <c r="B149" s="16"/>
      <c r="C149" s="16"/>
      <c r="D149" s="16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s="25" customFormat="1">
      <c r="A150" s="5"/>
      <c r="B150" s="16"/>
      <c r="C150" s="16"/>
      <c r="D150" s="16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s="25" customFormat="1">
      <c r="A151" s="5"/>
      <c r="B151" s="16"/>
      <c r="C151" s="16"/>
      <c r="D151" s="16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s="25" customFormat="1">
      <c r="A152" s="5"/>
      <c r="B152" s="16"/>
      <c r="C152" s="16"/>
      <c r="D152" s="16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 s="25" customFormat="1">
      <c r="A153" s="5"/>
      <c r="B153" s="16"/>
      <c r="C153" s="16"/>
      <c r="D153" s="16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 s="25" customFormat="1">
      <c r="A154" s="5"/>
      <c r="B154" s="16"/>
      <c r="C154" s="16"/>
      <c r="D154" s="16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s="25" customFormat="1">
      <c r="A155" s="5"/>
      <c r="B155" s="16"/>
      <c r="C155" s="16"/>
      <c r="D155" s="16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s="25" customFormat="1">
      <c r="A156" s="5"/>
      <c r="B156" s="16"/>
      <c r="C156" s="16"/>
      <c r="D156" s="16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s="25" customFormat="1">
      <c r="A157" s="5"/>
      <c r="B157" s="16"/>
      <c r="C157" s="16"/>
      <c r="D157" s="16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s="25" customFormat="1">
      <c r="A158" s="5"/>
      <c r="B158" s="16"/>
      <c r="C158" s="16"/>
      <c r="D158" s="16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 s="25" customFormat="1">
      <c r="A159" s="5"/>
      <c r="B159" s="16"/>
      <c r="C159" s="16"/>
      <c r="D159" s="16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s="25" customFormat="1">
      <c r="A160" s="5"/>
      <c r="B160" s="16"/>
      <c r="C160" s="16"/>
      <c r="D160" s="16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s="25" customFormat="1">
      <c r="A161" s="5"/>
      <c r="B161" s="16"/>
      <c r="C161" s="16"/>
      <c r="D161" s="16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s="25" customFormat="1">
      <c r="A162" s="5"/>
      <c r="B162" s="16"/>
      <c r="C162" s="16"/>
      <c r="D162" s="16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 s="25" customFormat="1">
      <c r="A163" s="5"/>
      <c r="B163" s="16"/>
      <c r="C163" s="16"/>
      <c r="D163" s="16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s="25" customFormat="1">
      <c r="A164" s="5"/>
      <c r="B164" s="16"/>
      <c r="C164" s="16"/>
      <c r="D164" s="16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s="25" customFormat="1">
      <c r="A165" s="5"/>
      <c r="B165" s="16"/>
      <c r="C165" s="16"/>
      <c r="D165" s="16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s="25" customFormat="1">
      <c r="A166" s="5"/>
      <c r="B166" s="16"/>
      <c r="C166" s="16"/>
      <c r="D166" s="16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s="25" customFormat="1">
      <c r="A167" s="5"/>
      <c r="B167" s="16"/>
      <c r="C167" s="16"/>
      <c r="D167" s="16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s="25" customFormat="1">
      <c r="A168" s="5"/>
      <c r="B168" s="16"/>
      <c r="C168" s="16"/>
      <c r="D168" s="16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1:14" s="25" customFormat="1">
      <c r="A169" s="5"/>
      <c r="B169" s="16"/>
      <c r="C169" s="16"/>
      <c r="D169" s="16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1:14" s="25" customFormat="1">
      <c r="A170" s="5"/>
      <c r="B170" s="16"/>
      <c r="C170" s="16"/>
      <c r="D170" s="16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s="25" customFormat="1">
      <c r="A171" s="5"/>
      <c r="B171" s="16"/>
      <c r="C171" s="16"/>
      <c r="D171" s="16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1:14" s="25" customFormat="1">
      <c r="A172" s="5"/>
      <c r="B172" s="16"/>
      <c r="C172" s="16"/>
      <c r="D172" s="16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1:14" s="25" customFormat="1">
      <c r="A173" s="5"/>
      <c r="B173" s="16"/>
      <c r="C173" s="16"/>
      <c r="D173" s="16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1:14" s="25" customFormat="1">
      <c r="A174" s="5"/>
      <c r="B174" s="16"/>
      <c r="C174" s="16"/>
      <c r="D174" s="16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1:14" s="25" customFormat="1">
      <c r="A175" s="5"/>
      <c r="B175" s="16"/>
      <c r="C175" s="16"/>
      <c r="D175" s="16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1:14" s="25" customFormat="1">
      <c r="A176" s="5"/>
      <c r="B176" s="16"/>
      <c r="C176" s="16"/>
      <c r="D176" s="16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s="25" customFormat="1">
      <c r="A177" s="5"/>
      <c r="B177" s="16"/>
      <c r="C177" s="16"/>
      <c r="D177" s="16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1:14" s="25" customFormat="1">
      <c r="A178" s="5"/>
      <c r="B178" s="16"/>
      <c r="C178" s="16"/>
      <c r="D178" s="16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1:14" s="25" customFormat="1">
      <c r="A179" s="5"/>
      <c r="B179" s="16"/>
      <c r="C179" s="16"/>
      <c r="D179" s="16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1:14" s="25" customFormat="1">
      <c r="A180" s="5"/>
      <c r="B180" s="16"/>
      <c r="C180" s="16"/>
      <c r="D180" s="16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14" s="25" customFormat="1">
      <c r="A181" s="5"/>
      <c r="B181" s="16"/>
      <c r="C181" s="16"/>
      <c r="D181" s="16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s="25" customFormat="1">
      <c r="A182" s="5"/>
      <c r="B182" s="16"/>
      <c r="C182" s="16"/>
      <c r="D182" s="16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1:14" s="25" customFormat="1">
      <c r="A183" s="5"/>
      <c r="B183" s="16"/>
      <c r="C183" s="16"/>
      <c r="D183" s="16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14" s="25" customFormat="1">
      <c r="A184" s="5"/>
      <c r="B184" s="16"/>
      <c r="C184" s="16"/>
      <c r="D184" s="16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1:14" s="25" customFormat="1">
      <c r="A185" s="5"/>
      <c r="B185" s="16"/>
      <c r="C185" s="16"/>
      <c r="D185" s="16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14" s="25" customFormat="1">
      <c r="A186" s="5"/>
      <c r="B186" s="16"/>
      <c r="C186" s="16"/>
      <c r="D186" s="16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4" s="25" customFormat="1">
      <c r="A187" s="5"/>
      <c r="B187" s="16"/>
      <c r="C187" s="16"/>
      <c r="D187" s="16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1:14" s="25" customFormat="1">
      <c r="A188" s="5"/>
      <c r="B188" s="16"/>
      <c r="C188" s="16"/>
      <c r="D188" s="16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1:14" s="25" customFormat="1">
      <c r="A189" s="5"/>
      <c r="B189" s="16"/>
      <c r="C189" s="16"/>
      <c r="D189" s="16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1:14" s="25" customFormat="1">
      <c r="A190" s="5"/>
      <c r="B190" s="16"/>
      <c r="C190" s="16"/>
      <c r="D190" s="16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s="25" customFormat="1">
      <c r="A191" s="5"/>
      <c r="B191" s="16"/>
      <c r="C191" s="16"/>
      <c r="D191" s="16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s="25" customForma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s="25" customForma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s="25" customForma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s="25" customForma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s="25" customForma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s="25" customForma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s="25" customForma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s="25" customForma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s="25" customForma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s="25" customForma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s="25" customForma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s="25" customForma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s="25" customForma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s="25" customForma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1:14" s="25" customForma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1:14" s="25" customForma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s="25" customForma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s="25" customForma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s="25" customForma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 s="25" customForma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s="25" customForma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 s="25" customForma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s="25" customForma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s="25" customForma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s="25" customForma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 s="25" customForma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s="25" customForma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s="25" customForma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s="25" customForma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 s="25" customForma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s="25" customForma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 s="25" customForma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s="25" customForma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s="25" customForma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s="25" customForma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1:14" s="25" customForma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s="25" customForma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s="25" customForma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s="25" customForma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1:14" s="25" customForma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s="25" customForma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1:14" s="25" customForma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s="25" customForma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s="25" customForma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1:14" s="25" customForma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1:14" s="25" customForma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1:14" s="25" customForma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s="25" customForma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1:14" s="25" customForma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1:14" s="25" customForma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1:14" s="25" customForma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1:14" s="25" customForma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1:14" s="25" customForma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1:14" s="25" customForma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1:14" s="25" customForma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1:14" s="25" customForma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1:14" s="25" customForma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14" s="25" customForma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14" s="25" customForma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1:14" s="25" customForma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1:14" s="25" customForma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1:14" s="25" customForma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1:14" s="25" customForma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1:14" s="25" customForma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1:14" s="25" customForma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1:14" s="25" customForma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1:14" s="25" customForma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1:14" s="25" customForma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1:14" s="25" customForma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1:14" s="25" customForma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1:14" s="25" customForma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1:14" s="25" customForma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1:14" s="25" customForma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1:14" s="25" customForma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1:14" s="25" customForma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1:14" s="25" customForma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1:14" s="25" customForma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1:14" s="25" customForma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1:14" s="25" customForma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1:14" s="25" customForma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1:14" s="25" customForma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1:14" s="25" customForma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1:14" s="25" customForma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1:14" s="25" customForma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1:14" s="25" customForma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1:14" s="25" customForma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1:14" s="25" customForma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1:14" s="25" customForma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1:14" s="25" customForma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1:14" s="25" customForma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1:14" s="25" customForma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1:14" s="25" customForma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1:14" s="25" customForma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1:14" s="25" customForma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1:14" s="25" customForma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1:14" s="25" customForma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1:14" s="25" customForma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1:14" s="25" customForma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1:14" s="25" customForma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1:14" s="25" customForma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1:14" s="25" customForma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1:14" s="25" customForma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1:14" s="25" customForma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1:14" s="25" customForma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1:14" s="25" customForma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1:14" s="25" customForma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1:14" s="25" customForma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1:14" s="25" customForma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1:14" s="25" customForma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1:14" s="25" customForma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1:14" s="25" customForma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1:14" s="25" customForma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1:14" s="25" customForma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s="25" customForma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1:14" s="25" customForma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1:14" s="25" customForma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1:14" s="25" customForma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1:14" s="25" customForma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1:14" s="25" customForma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1:14" s="25" customForma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1:14" s="25" customForma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1:14" s="25" customForma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1:14" s="25" customForma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1:14" s="25" customForma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1:14" s="25" customForma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1:14" s="25" customForma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1:14" s="25" customForma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1:14" s="25" customForma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1:14" s="25" customForma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1:14" s="25" customForma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1:14" s="25" customForma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1:14" s="25" customForma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1:14" s="25" customForma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1:14" s="25" customForma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1:14" s="25" customForma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1:14" s="25" customForma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1:14" s="25" customForma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1:14" s="25" customForma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1:14" s="25" customForma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1:14" s="25" customForma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1:14" s="25" customForma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1:14" s="25" customForma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1:14" s="25" customForma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1:14" s="25" customForma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1:14" s="25" customForma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1:14" s="25" customForma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1:14" s="25" customForma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1:14" s="25" customForma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1:14" s="25" customForma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1:14" s="25" customForma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1:14" s="25" customForma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1:14" s="25" customForma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1:14" s="25" customForma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1:14" s="25" customForma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1:14" s="25" customForma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1:14" s="25" customForma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1:14" s="25" customForma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1:14" s="25" customForma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1:14" s="25" customForma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1:14" s="25" customForma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1:14" s="25" customForma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1:14" s="25" customForma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1:14" s="25" customForma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1:14" s="25" customForma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1:14" s="25" customForma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1:14" s="25" customForma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1:14" s="25" customForma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1:14" s="25" customForma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1:14" s="25" customForma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1:14" s="25" customForma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1:14" s="25" customForma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1:14" s="25" customForma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1:14" s="25" customForma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1:14" s="25" customForma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1:14" s="25" customForma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1:14" s="25" customForma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1:14" s="25" customForma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1:14" s="25" customForma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1:14" s="25" customForma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1:14" s="25" customForma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1:14" s="25" customForma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1:14" s="25" customForma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1:14" s="25" customForma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1:14" s="25" customForma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1:14" s="25" customForma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1:14" s="25" customForma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1:14" s="25" customForma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1:14" s="25" customForma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1:14" s="25" customForma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1:14" s="25" customForma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1:14" s="25" customForma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1:14" s="25" customForma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1:14" s="25" customForma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1:14" s="25" customForma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1:14" s="25" customForma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1:14" s="25" customForma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1:14" s="25" customForma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1:14" s="25" customForma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1:14" s="25" customForma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1:14" s="25" customForma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1:14" s="25" customForma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1:14" s="25" customForma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1:14" s="25" customForma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1:14" s="25" customForma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4" s="25" customForma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1:14" s="25" customForma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1:14" s="25" customForma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1:14" s="25" customForma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1:14" s="25" customForma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1:14" s="25" customForma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1:14" s="25" customForma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1:14" s="25" customForma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1:14" s="25" customForma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1:14" s="25" customForma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1:14" s="25" customForma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1:14" s="25" customForma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1:14" s="25" customForma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1:14" s="25" customForma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1:14" s="25" customForma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1:14" s="25" customForma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1:14" s="25" customForma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1:14" s="25" customForma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1:14" s="25" customForma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1:14" s="25" customForma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1:14" s="25" customForma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1:14" s="25" customForma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1:14" s="25" customForma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1:14" s="25" customForma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spans="1:14" s="25" customForma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spans="1:14" s="25" customForma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spans="1:14" s="25" customForma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spans="1:14" s="25" customForma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spans="1:14" s="25" customForma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spans="1:14" s="25" customForma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spans="1:14" s="25" customForma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spans="1:14" s="25" customForma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spans="1:14" s="25" customForma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1:14" s="25" customForma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spans="1:14" s="25" customForma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spans="1:14" s="25" customForma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spans="1:14" s="25" customForma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spans="1:14" s="25" customForma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spans="1:14" s="25" customForma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spans="1:14" s="25" customForma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spans="1:14" s="25" customForma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spans="1:14" s="25" customForma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spans="1:14" s="25" customForma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spans="1:14" s="25" customForma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spans="1:14" s="25" customForma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spans="1:14" s="25" customForma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1:14" s="25" customForma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spans="1:14" s="25" customForma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spans="1:14" s="25" customForma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spans="1:14" s="25" customForma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spans="1:14" s="25" customForma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spans="1:14" s="25" customForma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spans="1:14" s="25" customForma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spans="1:14" s="25" customForma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spans="1:14" s="25" customForma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spans="1:14" s="25" customForma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spans="1:14" s="25" customForma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spans="1:14" s="25" customForma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spans="1:14" s="25" customForma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spans="1:14" s="25" customForma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spans="1:14" s="25" customForma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spans="1:14" s="25" customForma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spans="1:14" s="25" customForma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spans="1:14" s="25" customForma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spans="1:14" s="25" customForma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1:14" s="25" customForma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4" s="25" customForma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1:14" s="25" customForma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1:14" s="25" customForma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s="25" customForma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s="25" customForma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s="25" customForma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s="25" customForma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s="25" customForma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s="25" customForma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s="25" customForma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s="25" customForma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s="25" customForma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s="25" customForma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s="25" customForma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s="25" customForma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s="25" customForma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s="25" customForma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s="25" customForma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s="25" customForma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s="25" customForma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s="25" customForma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s="25" customForma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s="25" customForma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s="25" customForma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s="25" customForma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s="25" customForma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s="25" customForma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s="25" customForma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s="25" customForma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s="25" customForma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s="25" customForma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s="25" customForma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s="25" customForma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 s="25" customForma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 s="25" customForma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 s="25" customForma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 s="25" customForma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 s="25" customForma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 s="25" customForma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 s="25" customForma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 s="25" customForma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 s="25" customForma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 s="25" customForma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 s="25" customForma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 s="25" customForma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 s="25" customForma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 s="25" customForma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 s="25" customForma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 s="25" customForma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 s="25" customForma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 s="25" customForma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 s="25" customForma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 s="25" customForma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 s="25" customForma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 s="25" customForma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 s="25" customForma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 s="25" customForma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 s="25" customForma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 s="25" customForma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 s="25" customForma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 s="25" customForma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 s="25" customForma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 s="25" customForma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 s="25" customForma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 s="25" customForma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 s="25" customForma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 s="25" customForma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 s="25" customForma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 s="25" customForma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 s="25" customForma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 s="25" customForma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 s="25" customForma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 s="25" customForma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 s="25" customForma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 s="25" customForma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 s="25" customForma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 s="25" customForma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 s="25" customForma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 s="25" customForma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 s="25" customForma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 s="25" customForma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 s="25" customForma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 s="25" customForma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 s="25" customForma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 s="25" customForma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 s="25" customForma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 s="25" customForma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 s="25" customForma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 s="25" customForma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 s="25" customForma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 s="25" customForma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 s="25" customForma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 s="25" customForma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 s="25" customForma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 s="25" customForma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 s="25" customForma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 s="25" customForma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 s="25" customForma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 s="25" customForma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 s="25" customForma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 s="25" customForma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 s="25" customForma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 s="25" customForma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 s="25" customForma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 s="25" customForma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 s="25" customForma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 s="25" customForma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 s="25" customForma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 s="25" customForma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 s="25" customForma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 s="25" customForma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 s="25" customForma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 s="25" customForma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 s="25" customForma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 s="25" customForma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 s="25" customForma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 s="25" customForma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 s="25" customForma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 s="25" customForma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 s="25" customForma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 s="25" customForma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 s="25" customForma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 s="25" customForma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 s="25" customForma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 s="25" customForma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 s="25" customForma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 s="25" customForma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 s="25" customForma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 s="25" customForma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 s="25" customForma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 s="25" customForma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 s="25" customForma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 s="25" customForma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 s="25" customForma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 s="25" customForma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 s="25" customForma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 s="25" customForma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 s="25" customForma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 s="25" customForma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spans="1:14" s="25" customForma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spans="1:14" s="25" customForma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spans="1:14" s="25" customForma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spans="1:14" s="25" customForma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spans="1:14" s="25" customForma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spans="1:14" s="25" customForma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spans="1:14" s="25" customForma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 spans="1:14" s="25" customForma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 spans="1:14" s="25" customForma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 spans="1:14" s="25" customForma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 spans="1:14" s="25" customForma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 spans="1:14" s="25" customForma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 spans="1:14" s="25" customForma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 spans="1:14" s="25" customForma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 spans="1:14" s="25" customForma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 spans="1:14" s="25" customForma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 spans="1:14" s="25" customForma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 spans="1:14" s="25" customForma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 spans="1:14" s="25" customForma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 spans="1:14" s="25" customForma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 spans="1:14" s="25" customForma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 spans="1:14" s="25" customForma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 spans="1:14" s="25" customForma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 spans="1:14" s="25" customForma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 spans="1:14" s="25" customForma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 spans="1:14" s="25" customForma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 spans="1:14" s="25" customForma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 spans="1:14" s="25" customForma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 spans="1:14" s="25" customForma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 spans="1:14" s="25" customForma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 spans="1:14" s="25" customForma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 spans="1:14" s="25" customForma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 spans="1:14" s="25" customForma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 spans="1:14" s="25" customForma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 spans="1:14" s="25" customForma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 spans="1:14" s="25" customForma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 spans="1:14" s="25" customForma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 spans="1:14" s="25" customForma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 spans="1:14" s="25" customForma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 spans="1:14" s="25" customForma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 spans="1:14" s="25" customForma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 spans="1:14" s="25" customForma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 spans="1:14" s="25" customForma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spans="1:14" s="25" customForma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spans="1:14" s="25" customForma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spans="1:14" s="25" customForma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1:14" s="25" customForma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1:14" s="25" customForma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1:14" s="25" customForma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1:14" s="25" customForma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1:14" s="25" customForma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1:14" s="25" customForma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1:14" s="25" customForma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1:14" s="25" customForma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1:14" s="25" customForma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1:14" s="25" customForma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1:14" s="25" customForma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1:14" s="25" customForma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1:14" s="25" customForma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1:14" s="25" customForma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1:14" s="25" customForma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1:14" s="25" customForma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1:14" s="25" customForma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1:14" s="25" customForma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1:14" s="25" customForma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1:14" s="25" customForma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1:14" s="25" customForma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1:14" s="25" customForma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1:14" s="25" customForma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1:14" s="25" customForma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1:14" s="25" customForma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1:14" s="25" customForma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1:14" s="25" customForma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1:14" s="25" customForma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1:14" s="25" customForma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1:14" s="25" customForma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1:14" s="25" customForma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1:14" s="25" customForma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1:14" s="25" customForma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1:14" s="25" customForma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1:14" s="25" customForma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1:14" s="25" customForma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1:14" s="25" customForma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1:14" s="25" customForma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1:14" s="25" customForma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1:14" s="25" customForma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1:14" s="25" customForma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1:14" s="25" customForma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1:14" s="25" customForma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spans="1:14" s="25" customForma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spans="1:14" s="25" customForma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spans="1:14" s="25" customForma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spans="1:14" s="25" customForma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spans="1:14" s="25" customForma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spans="1:14" s="25" customForma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spans="1:14" s="25" customForma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spans="1:14" s="25" customForma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spans="1:14" s="25" customForma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spans="1:14" s="25" customForma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spans="1:14" s="25" customForma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spans="1:14" s="25" customForma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spans="1:14" s="25" customForma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spans="1:14" s="25" customForma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spans="1:14" s="25" customForma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spans="1:14" s="25" customForma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spans="1:14" s="25" customForma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spans="1:14" s="25" customForma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spans="1:14" s="25" customForma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spans="1:14" s="25" customForma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spans="1:14" s="25" customForma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spans="1:14" s="25" customForma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spans="1:14" s="25" customForma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spans="1:14" s="25" customForma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spans="1:14" s="25" customForma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spans="1:14" s="25" customForma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spans="1:14" s="25" customForma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spans="1:14" s="25" customForma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spans="1:14" s="25" customForma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spans="1:14" s="25" customForma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spans="1:14" s="25" customForma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spans="1:14" s="25" customForma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spans="1:14" s="25" customForma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spans="1:14" s="25" customForma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spans="1:14" s="25" customForma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spans="1:14" s="25" customForma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spans="1:14" s="25" customForma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spans="1:14" s="25" customForma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spans="1:14" s="25" customForma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spans="1:14" s="25" customForma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spans="1:14" s="25" customForma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spans="1:14" s="25" customForma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spans="1:14" s="25" customForma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1:14" s="25" customForma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spans="1:14" s="25" customForma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spans="1:14" s="25" customForma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spans="1:14" s="25" customForma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spans="1:14" s="25" customForma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spans="1:14" s="25" customForma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spans="1:14" s="25" customForma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spans="1:14" s="25" customForma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spans="1:14" s="25" customForma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spans="1:14" s="25" customForma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spans="1:14" s="25" customForma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spans="1:14" s="25" customForma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spans="1:14" s="25" customForma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 spans="1:14" s="25" customForma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 spans="1:14" s="25" customForma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 spans="1:14" s="25" customForma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 spans="1:14" s="25" customForma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 spans="1:14" s="25" customForma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 spans="1:14" s="25" customForma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 spans="1:14" s="25" customForma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 spans="1:14" s="25" customForma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 spans="1:14" s="25" customForma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 spans="1:14" s="25" customForma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 spans="1:14" s="25" customForma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spans="1:14" s="25" customForma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 spans="1:14" s="25" customForma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 spans="1:14" s="25" customForma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 spans="1:14" s="25" customForma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 spans="1:14" s="25" customForma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 spans="1:14" s="25" customForma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 spans="1:14" s="25" customForma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 spans="1:14" s="25" customForma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 spans="1:14" s="25" customForma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 spans="1:14" s="25" customForma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 spans="1:14" s="25" customForma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 spans="1:14" s="25" customForma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 spans="1:14" s="25" customForma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 spans="1:14" s="25" customFormat="1">
      <c r="A770" s="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 spans="1:14" s="25" customFormat="1">
      <c r="A771" s="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 spans="1:14" s="25" customFormat="1">
      <c r="A772" s="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 spans="1:14" s="25" customFormat="1">
      <c r="A773" s="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 spans="1:14" s="25" customFormat="1">
      <c r="A774" s="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 spans="1:14" s="25" customFormat="1">
      <c r="A775" s="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 spans="1:14" s="25" customFormat="1">
      <c r="A776" s="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 spans="1:14" s="25" customFormat="1">
      <c r="A777" s="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 spans="1:14" s="25" customFormat="1">
      <c r="A778" s="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 spans="1:14" s="25" customFormat="1">
      <c r="A779" s="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 spans="1:14" s="25" customFormat="1">
      <c r="A780" s="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 spans="1:14" s="25" customFormat="1">
      <c r="A781" s="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 spans="1:14" s="25" customFormat="1">
      <c r="A782" s="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 spans="1:14" s="25" customFormat="1">
      <c r="A783" s="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 spans="1:14" s="25" customFormat="1">
      <c r="A784" s="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 spans="1:14" s="25" customFormat="1">
      <c r="A785" s="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 spans="1:14" s="25" customFormat="1">
      <c r="A786" s="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 spans="1:14" s="25" customFormat="1">
      <c r="A787" s="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 spans="1:14" s="25" customFormat="1">
      <c r="A788" s="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 spans="1:14" s="25" customFormat="1">
      <c r="A789" s="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 spans="1:14" s="25" customFormat="1">
      <c r="A790" s="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spans="1:14" s="25" customFormat="1">
      <c r="A791" s="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 spans="1:14" s="25" customFormat="1">
      <c r="A792" s="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 spans="1:14" s="25" customFormat="1">
      <c r="A793" s="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 spans="1:14" s="25" customFormat="1">
      <c r="A794" s="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 spans="1:14" s="25" customFormat="1">
      <c r="A795" s="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 spans="1:14" s="25" customFormat="1">
      <c r="A796" s="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spans="1:14" s="25" customFormat="1">
      <c r="A797" s="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spans="1:14" s="25" customFormat="1">
      <c r="A798" s="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 spans="1:14" s="25" customFormat="1">
      <c r="A799" s="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 spans="1:14" s="25" customFormat="1">
      <c r="A800" s="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 spans="1:14" s="25" customFormat="1">
      <c r="A801" s="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spans="1:14" s="25" customFormat="1">
      <c r="A802" s="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 spans="1:14" s="25" customFormat="1">
      <c r="A803" s="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 spans="1:14" s="25" customFormat="1">
      <c r="A804" s="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 spans="1:14" s="25" customFormat="1">
      <c r="A805" s="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spans="1:14" s="25" customFormat="1">
      <c r="A806" s="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 spans="1:14" s="25" customFormat="1">
      <c r="A807" s="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 spans="1:14" s="25" customFormat="1">
      <c r="A808" s="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spans="1:14" s="25" customFormat="1">
      <c r="A809" s="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 spans="1:14" s="25" customFormat="1">
      <c r="A810" s="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 spans="1:14" s="25" customFormat="1">
      <c r="A811" s="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 spans="1:14" s="25" customFormat="1">
      <c r="A812" s="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 spans="1:14" s="25" customFormat="1">
      <c r="A813" s="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 spans="1:14" s="25" customFormat="1">
      <c r="A814" s="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 spans="1:14" s="25" customFormat="1">
      <c r="A815" s="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 spans="1:14" s="25" customFormat="1">
      <c r="A816" s="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 spans="1:14" s="25" customFormat="1">
      <c r="A817" s="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spans="1:14" s="25" customFormat="1">
      <c r="A818" s="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 spans="1:14" s="25" customFormat="1">
      <c r="A819" s="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 spans="1:14" s="25" customFormat="1">
      <c r="A820" s="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 spans="1:14" s="25" customFormat="1">
      <c r="A821" s="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 spans="1:14" s="25" customFormat="1">
      <c r="A822" s="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 spans="1:14" s="25" customFormat="1">
      <c r="A823" s="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 spans="1:14" s="25" customFormat="1">
      <c r="A824" s="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 spans="1:14" s="25" customFormat="1">
      <c r="A825" s="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 spans="1:14" s="25" customFormat="1">
      <c r="A826" s="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 spans="1:14" s="25" customFormat="1">
      <c r="A827" s="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 spans="1:14" s="25" customFormat="1">
      <c r="A828" s="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 spans="1:14" s="25" customFormat="1">
      <c r="A829" s="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 spans="1:14" s="25" customFormat="1">
      <c r="A830" s="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 spans="1:14" s="25" customFormat="1">
      <c r="A831" s="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spans="1:14" s="25" customFormat="1">
      <c r="A832" s="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 spans="1:14" s="25" customFormat="1">
      <c r="A833" s="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 spans="1:14" s="25" customFormat="1">
      <c r="A834" s="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 spans="1:14" s="25" customFormat="1">
      <c r="A835" s="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 spans="1:14" s="25" customFormat="1">
      <c r="A836" s="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 spans="1:14" s="25" customFormat="1">
      <c r="A837" s="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 spans="1:14" s="25" customFormat="1">
      <c r="A838" s="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 spans="1:14" s="25" customFormat="1">
      <c r="A839" s="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 spans="1:14" s="25" customFormat="1">
      <c r="A840" s="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 spans="1:14" s="25" customFormat="1">
      <c r="A841" s="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 spans="1:14" s="25" customFormat="1">
      <c r="A842" s="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 spans="1:14" s="25" customFormat="1">
      <c r="A843" s="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 spans="1:14" s="25" customFormat="1">
      <c r="A844" s="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 spans="1:14" s="25" customFormat="1">
      <c r="A845" s="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 spans="1:14" s="25" customFormat="1">
      <c r="A846" s="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 spans="1:14" s="25" customFormat="1">
      <c r="A847" s="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 spans="1:14" s="25" customFormat="1">
      <c r="A848" s="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 spans="1:14" s="25" customFormat="1">
      <c r="A849" s="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 spans="1:14" s="25" customFormat="1">
      <c r="A850" s="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 spans="1:14" s="25" customFormat="1">
      <c r="A851" s="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 spans="1:14" s="25" customFormat="1">
      <c r="A852" s="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 spans="1:14" s="25" customFormat="1">
      <c r="A853" s="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 spans="1:14" s="25" customFormat="1">
      <c r="A854" s="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 spans="1:14" s="25" customFormat="1">
      <c r="A855" s="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 spans="1:14" s="25" customFormat="1">
      <c r="A856" s="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 spans="1:14" s="25" customFormat="1">
      <c r="A857" s="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 spans="1:14" s="25" customFormat="1">
      <c r="A858" s="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 spans="1:14" s="25" customFormat="1">
      <c r="A859" s="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 spans="1:14" s="25" customFormat="1">
      <c r="A860" s="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 spans="1:14" s="25" customFormat="1">
      <c r="A861" s="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 spans="1:14" s="25" customFormat="1">
      <c r="A862" s="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 spans="1:14" s="25" customFormat="1">
      <c r="A863" s="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 spans="1:14" s="25" customFormat="1">
      <c r="A864" s="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 spans="1:14" s="25" customFormat="1">
      <c r="A865" s="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 spans="1:14" s="25" customFormat="1">
      <c r="A866" s="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 spans="1:14" s="25" customFormat="1">
      <c r="A867" s="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spans="1:14" s="25" customFormat="1">
      <c r="A868" s="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 spans="1:14" s="25" customFormat="1">
      <c r="A869" s="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 spans="1:14" s="25" customFormat="1">
      <c r="A870" s="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 spans="1:14" s="25" customFormat="1">
      <c r="A871" s="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 spans="1:14" s="25" customFormat="1">
      <c r="A872" s="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 spans="1:14" s="25" customFormat="1">
      <c r="A873" s="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 spans="1:14" s="25" customFormat="1">
      <c r="A874" s="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 spans="1:14" s="25" customFormat="1">
      <c r="A875" s="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 spans="1:14" s="25" customFormat="1">
      <c r="A876" s="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 spans="1:14" s="25" customFormat="1">
      <c r="A877" s="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 spans="1:14" s="25" customFormat="1">
      <c r="A878" s="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 spans="1:14" s="25" customFormat="1">
      <c r="A879" s="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 spans="1:14" s="25" customFormat="1">
      <c r="A880" s="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 spans="1:14" s="25" customFormat="1">
      <c r="A881" s="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 spans="1:14" s="25" customFormat="1">
      <c r="A882" s="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 spans="1:14" s="25" customFormat="1">
      <c r="A883" s="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 spans="1:14" s="25" customFormat="1">
      <c r="A884" s="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 spans="1:14" s="25" customFormat="1">
      <c r="A885" s="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 spans="1:14" s="25" customFormat="1">
      <c r="A886" s="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 spans="1:14" s="25" customFormat="1">
      <c r="A887" s="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 spans="1:14" s="25" customFormat="1">
      <c r="A888" s="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 spans="1:14" s="25" customFormat="1">
      <c r="A889" s="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 spans="1:14" s="25" customFormat="1">
      <c r="A890" s="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 spans="1:14" s="25" customFormat="1">
      <c r="A891" s="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 spans="1:14" s="25" customFormat="1">
      <c r="A892" s="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 spans="1:14" s="25" customFormat="1">
      <c r="A893" s="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 spans="1:14" s="25" customFormat="1">
      <c r="A894" s="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 spans="1:14" s="25" customFormat="1">
      <c r="A895" s="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 spans="1:14" s="25" customFormat="1">
      <c r="A896" s="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 spans="1:14" s="25" customFormat="1">
      <c r="A897" s="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 spans="1:14" s="25" customFormat="1">
      <c r="A898" s="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 spans="1:14" s="25" customFormat="1">
      <c r="A899" s="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 spans="1:14" s="25" customFormat="1">
      <c r="A900" s="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 spans="1:14" s="25" customFormat="1">
      <c r="A901" s="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 spans="1:14" s="25" customFormat="1">
      <c r="A902" s="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 spans="1:14" s="25" customFormat="1">
      <c r="A903" s="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 spans="1:14" s="25" customFormat="1">
      <c r="A904" s="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 spans="1:14" s="25" customFormat="1">
      <c r="A905" s="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 spans="1:14" s="25" customFormat="1">
      <c r="A906" s="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 spans="1:14" s="25" customFormat="1">
      <c r="A907" s="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 spans="1:14" s="25" customFormat="1">
      <c r="A908" s="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 spans="1:14" s="25" customFormat="1">
      <c r="A909" s="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 spans="1:14" s="25" customFormat="1">
      <c r="A910" s="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 spans="1:14" s="25" customFormat="1">
      <c r="A911" s="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 spans="1:14" s="25" customFormat="1">
      <c r="A912" s="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 spans="1:14" s="25" customFormat="1">
      <c r="A913" s="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 spans="1:14" s="25" customFormat="1">
      <c r="A914" s="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 spans="1:14" s="25" customFormat="1">
      <c r="A915" s="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 spans="1:14" s="25" customFormat="1">
      <c r="A916" s="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 spans="1:14" s="25" customFormat="1">
      <c r="A917" s="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 spans="1:14" s="25" customFormat="1">
      <c r="A918" s="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 spans="1:14" s="25" customFormat="1">
      <c r="A919" s="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 spans="1:14" s="25" customFormat="1">
      <c r="A920" s="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 spans="1:14" s="25" customFormat="1">
      <c r="A921" s="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 spans="1:14" s="25" customFormat="1">
      <c r="A922" s="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 spans="1:14" s="25" customFormat="1">
      <c r="A923" s="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 spans="1:14" s="25" customFormat="1">
      <c r="A924" s="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 spans="1:14" s="25" customFormat="1">
      <c r="A925" s="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 spans="1:14" s="25" customFormat="1">
      <c r="A926" s="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 spans="1:14" s="25" customFormat="1">
      <c r="A927" s="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 spans="1:14" s="25" customFormat="1">
      <c r="A928" s="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 spans="1:14" s="25" customFormat="1">
      <c r="A929" s="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 spans="1:14" s="25" customFormat="1">
      <c r="A930" s="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 spans="1:14" s="25" customFormat="1">
      <c r="A931" s="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 spans="1:14" s="25" customFormat="1">
      <c r="A932" s="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 spans="1:14" s="25" customFormat="1">
      <c r="A933" s="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 spans="1:14" s="25" customFormat="1">
      <c r="A934" s="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 spans="1:14" s="25" customFormat="1">
      <c r="A935" s="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 spans="1:14" s="25" customFormat="1">
      <c r="A936" s="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 spans="1:14" s="25" customFormat="1">
      <c r="A937" s="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 spans="1:14" s="25" customFormat="1">
      <c r="A938" s="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 spans="1:14" s="25" customFormat="1">
      <c r="A939" s="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 spans="1:14" s="25" customFormat="1">
      <c r="A940" s="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 spans="1:14" s="25" customFormat="1">
      <c r="A941" s="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 spans="1:14" s="25" customFormat="1">
      <c r="A942" s="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 spans="1:14" s="25" customFormat="1">
      <c r="A943" s="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 spans="1:14" s="25" customFormat="1">
      <c r="A944" s="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 spans="1:14" s="25" customFormat="1">
      <c r="A945" s="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 spans="1:14" s="25" customFormat="1">
      <c r="A946" s="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 spans="1:14" s="25" customFormat="1">
      <c r="A947" s="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 spans="1:14" s="25" customFormat="1">
      <c r="A948" s="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 spans="1:14" s="25" customFormat="1">
      <c r="A949" s="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 spans="1:14" s="25" customFormat="1">
      <c r="A950" s="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 spans="1:14" s="25" customFormat="1">
      <c r="A951" s="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 spans="1:14" s="25" customFormat="1">
      <c r="A952" s="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 spans="1:14" s="25" customFormat="1">
      <c r="A953" s="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 spans="1:14" s="25" customFormat="1">
      <c r="A954" s="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 spans="1:14" s="25" customFormat="1">
      <c r="A955" s="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 spans="1:14" s="25" customFormat="1">
      <c r="A956" s="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 spans="1:14" s="25" customFormat="1">
      <c r="A957" s="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 spans="1:14" s="25" customFormat="1">
      <c r="A958" s="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 spans="1:14" s="25" customFormat="1">
      <c r="A959" s="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 spans="1:14" s="25" customFormat="1">
      <c r="A960" s="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 spans="1:14" s="25" customFormat="1">
      <c r="A961" s="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 spans="1:14" s="25" customFormat="1">
      <c r="A962" s="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 spans="1:14" s="25" customFormat="1">
      <c r="A963" s="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 spans="1:14" s="25" customFormat="1">
      <c r="A964" s="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 spans="1:14" s="25" customFormat="1">
      <c r="A965" s="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 spans="1:14" s="25" customFormat="1">
      <c r="A966" s="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 spans="1:14" s="25" customFormat="1">
      <c r="A967" s="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 spans="1:14" s="25" customFormat="1">
      <c r="A968" s="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 spans="1:14" s="25" customFormat="1">
      <c r="A969" s="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 spans="1:14" s="25" customFormat="1">
      <c r="A970" s="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 spans="1:14" s="25" customFormat="1">
      <c r="A971" s="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 spans="1:14" s="25" customFormat="1">
      <c r="A972" s="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 spans="1:14" s="25" customFormat="1">
      <c r="A973" s="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 spans="1:14" s="25" customFormat="1">
      <c r="A974" s="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 spans="1:14" s="25" customFormat="1">
      <c r="A975" s="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 spans="1:14" s="25" customFormat="1">
      <c r="A976" s="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 spans="1:14" s="25" customFormat="1">
      <c r="A977" s="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 spans="1:14" s="25" customFormat="1">
      <c r="A978" s="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 spans="1:14" s="25" customFormat="1">
      <c r="A979" s="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 spans="1:14" s="25" customFormat="1">
      <c r="A980" s="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 spans="1:14" s="25" customFormat="1">
      <c r="A981" s="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 spans="1:14" s="25" customFormat="1">
      <c r="A982" s="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 spans="1:14" s="25" customFormat="1">
      <c r="A983" s="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 spans="1:14" s="25" customFormat="1">
      <c r="A984" s="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 spans="1:14" s="25" customFormat="1">
      <c r="A985" s="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 spans="1:14" s="25" customFormat="1">
      <c r="A986" s="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 spans="1:14" s="25" customFormat="1">
      <c r="A987" s="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 spans="1:14" s="25" customFormat="1">
      <c r="A988" s="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 spans="1:14" s="25" customFormat="1">
      <c r="A989" s="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 spans="1:14" s="25" customFormat="1">
      <c r="A990" s="3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 spans="1:14" s="25" customFormat="1">
      <c r="A991" s="3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 spans="1:14" s="25" customFormat="1">
      <c r="A992" s="3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 spans="1:14" s="25" customFormat="1">
      <c r="A993" s="3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 spans="1:14" s="25" customFormat="1">
      <c r="A994" s="3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 spans="1:14" s="25" customFormat="1">
      <c r="A995" s="3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 spans="1:14" s="25" customFormat="1">
      <c r="A996" s="3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r="997" spans="1:14" s="25" customFormat="1">
      <c r="A997" s="3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r="998" spans="1:14" s="25" customFormat="1">
      <c r="A998" s="3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r="999" spans="1:14" s="25" customFormat="1">
      <c r="A999" s="3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r="1000" spans="1:14" s="25" customFormat="1">
      <c r="A1000" s="3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  <row r="1001" spans="1:14" s="25" customFormat="1">
      <c r="A1001" s="3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</row>
    <row r="1002" spans="1:14" s="25" customFormat="1">
      <c r="A1002" s="3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</row>
    <row r="1003" spans="1:14" s="25" customFormat="1">
      <c r="A1003" s="3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</row>
    <row r="1004" spans="1:14" s="25" customFormat="1">
      <c r="A1004" s="3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</row>
    <row r="1005" spans="1:14" s="25" customFormat="1">
      <c r="A1005" s="3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</row>
    <row r="1006" spans="1:14" s="25" customFormat="1">
      <c r="A1006" s="3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</row>
    <row r="1007" spans="1:14" s="25" customFormat="1">
      <c r="A1007" s="3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</row>
    <row r="1008" spans="1:14" s="25" customFormat="1">
      <c r="A1008" s="3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</row>
    <row r="1009" spans="1:14" s="25" customFormat="1">
      <c r="A1009" s="3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</row>
    <row r="1010" spans="1:14" s="25" customFormat="1">
      <c r="A1010" s="3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</row>
    <row r="1011" spans="1:14" s="25" customFormat="1">
      <c r="A1011" s="3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</row>
    <row r="1012" spans="1:14" s="25" customFormat="1">
      <c r="A1012" s="3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</row>
    <row r="1013" spans="1:14" s="25" customFormat="1">
      <c r="A1013" s="3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</row>
    <row r="1014" spans="1:14" s="25" customFormat="1">
      <c r="A1014" s="3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</row>
    <row r="1015" spans="1:14" s="25" customFormat="1">
      <c r="A1015" s="3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</row>
    <row r="1016" spans="1:14" s="25" customFormat="1">
      <c r="A1016" s="3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</row>
    <row r="1017" spans="1:14" s="25" customFormat="1">
      <c r="A1017" s="3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</row>
    <row r="1018" spans="1:14" s="25" customFormat="1">
      <c r="A1018" s="3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</row>
    <row r="1019" spans="1:14" s="25" customFormat="1">
      <c r="A1019" s="3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</row>
    <row r="1020" spans="1:14" s="25" customFormat="1">
      <c r="A1020" s="3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</row>
    <row r="1021" spans="1:14" s="25" customFormat="1">
      <c r="A1021" s="3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</row>
    <row r="1022" spans="1:14" s="25" customFormat="1">
      <c r="A1022" s="3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</row>
    <row r="1023" spans="1:14" s="25" customFormat="1">
      <c r="A1023" s="3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</row>
    <row r="1024" spans="1:14" s="25" customFormat="1">
      <c r="A1024" s="3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</row>
    <row r="1025" spans="1:14" s="25" customFormat="1">
      <c r="A1025" s="3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</row>
    <row r="1026" spans="1:14" s="25" customFormat="1">
      <c r="A1026" s="3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</row>
    <row r="1027" spans="1:14" s="25" customFormat="1">
      <c r="A1027" s="3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</row>
    <row r="1028" spans="1:14" s="25" customFormat="1">
      <c r="A1028" s="3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</row>
    <row r="1029" spans="1:14" s="25" customFormat="1">
      <c r="A1029" s="3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</row>
    <row r="1030" spans="1:14" s="25" customFormat="1">
      <c r="A1030" s="3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</row>
    <row r="1031" spans="1:14" s="25" customFormat="1">
      <c r="A1031" s="3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</row>
    <row r="1032" spans="1:14" s="25" customFormat="1">
      <c r="A1032" s="3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</row>
    <row r="1033" spans="1:14" s="25" customFormat="1">
      <c r="A1033" s="3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</row>
    <row r="1034" spans="1:14" s="25" customFormat="1">
      <c r="A1034" s="3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</row>
    <row r="1035" spans="1:14" s="25" customFormat="1">
      <c r="A1035" s="3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</row>
    <row r="1036" spans="1:14" s="25" customFormat="1">
      <c r="A1036" s="3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</row>
    <row r="1037" spans="1:14" s="25" customFormat="1">
      <c r="A1037" s="3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</row>
    <row r="1038" spans="1:14" s="25" customFormat="1">
      <c r="A1038" s="3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</row>
    <row r="1039" spans="1:14" s="25" customFormat="1">
      <c r="A1039" s="3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</row>
    <row r="1040" spans="1:14" s="25" customFormat="1">
      <c r="A1040" s="3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</row>
    <row r="1041" spans="1:14" s="25" customFormat="1">
      <c r="A1041" s="3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</row>
    <row r="1042" spans="1:14" s="25" customFormat="1">
      <c r="A1042" s="3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</row>
    <row r="1043" spans="1:14" s="25" customFormat="1">
      <c r="A1043" s="3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</row>
    <row r="1044" spans="1:14" s="25" customFormat="1">
      <c r="A1044" s="3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</row>
    <row r="1045" spans="1:14" s="25" customFormat="1">
      <c r="A1045" s="3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</row>
    <row r="1046" spans="1:14" s="25" customFormat="1">
      <c r="A1046" s="3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</row>
    <row r="1047" spans="1:14" s="25" customFormat="1">
      <c r="A1047" s="3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</row>
    <row r="1048" spans="1:14" s="25" customFormat="1">
      <c r="A1048" s="3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</row>
    <row r="1049" spans="1:14" s="25" customFormat="1">
      <c r="A1049" s="3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</row>
    <row r="1050" spans="1:14" s="25" customFormat="1">
      <c r="A1050" s="3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</row>
    <row r="1051" spans="1:14" s="25" customFormat="1">
      <c r="A1051" s="3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</row>
    <row r="1052" spans="1:14" s="25" customFormat="1">
      <c r="A1052" s="3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</row>
    <row r="1053" spans="1:14" s="25" customFormat="1">
      <c r="A1053" s="3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</row>
    <row r="1054" spans="1:14" s="25" customFormat="1">
      <c r="A1054" s="3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</row>
    <row r="1055" spans="1:14" s="25" customFormat="1">
      <c r="A1055" s="3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</row>
    <row r="1056" spans="1:14" s="25" customFormat="1">
      <c r="A1056" s="3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</row>
    <row r="1057" spans="1:14" s="25" customFormat="1">
      <c r="A1057" s="3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</row>
    <row r="1058" spans="1:14" s="25" customFormat="1">
      <c r="A1058" s="3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</row>
    <row r="1059" spans="1:14" s="25" customFormat="1">
      <c r="A1059" s="3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</row>
    <row r="1060" spans="1:14" s="25" customFormat="1">
      <c r="A1060" s="3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</row>
    <row r="1061" spans="1:14" s="25" customFormat="1">
      <c r="A1061" s="3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</row>
    <row r="1062" spans="1:14" s="25" customFormat="1">
      <c r="A1062" s="3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</row>
    <row r="1063" spans="1:14" s="25" customFormat="1">
      <c r="A1063" s="3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</row>
    <row r="1064" spans="1:14" s="25" customFormat="1">
      <c r="A1064" s="3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</row>
    <row r="1065" spans="1:14" s="25" customFormat="1">
      <c r="A1065" s="3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</row>
    <row r="1066" spans="1:14" s="25" customFormat="1">
      <c r="A1066" s="3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</row>
    <row r="1067" spans="1:14" s="25" customFormat="1">
      <c r="A1067" s="3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</row>
    <row r="1068" spans="1:14" s="25" customFormat="1">
      <c r="A1068" s="3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</row>
    <row r="1069" spans="1:14" s="25" customFormat="1">
      <c r="A1069" s="3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</row>
    <row r="1070" spans="1:14" s="25" customFormat="1">
      <c r="A1070" s="3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</row>
    <row r="1071" spans="1:14" s="25" customFormat="1">
      <c r="A1071" s="3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</row>
    <row r="1072" spans="1:14" s="25" customFormat="1">
      <c r="A1072" s="3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</row>
    <row r="1073" spans="1:14" s="25" customFormat="1">
      <c r="A1073" s="3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</row>
    <row r="1074" spans="1:14" s="25" customFormat="1">
      <c r="A1074" s="3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</row>
    <row r="1075" spans="1:14" s="25" customFormat="1">
      <c r="A1075" s="3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</row>
    <row r="1076" spans="1:14" s="25" customFormat="1">
      <c r="A1076" s="3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</row>
    <row r="1077" spans="1:14" s="25" customFormat="1">
      <c r="A1077" s="3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</row>
    <row r="1078" spans="1:14" s="25" customFormat="1">
      <c r="A1078" s="3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</row>
    <row r="1079" spans="1:14" s="25" customFormat="1">
      <c r="A1079" s="3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</row>
    <row r="1080" spans="1:14" s="25" customFormat="1">
      <c r="A1080" s="3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</row>
    <row r="1081" spans="1:14" s="25" customFormat="1">
      <c r="A1081" s="3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</row>
    <row r="1082" spans="1:14" s="25" customFormat="1">
      <c r="A1082" s="3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</row>
    <row r="1083" spans="1:14" s="25" customFormat="1">
      <c r="A1083" s="3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</row>
    <row r="1084" spans="1:14" s="25" customFormat="1">
      <c r="A1084" s="3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</row>
    <row r="1085" spans="1:14" s="25" customFormat="1">
      <c r="A1085" s="3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</row>
    <row r="1086" spans="1:14" s="25" customFormat="1">
      <c r="A1086" s="3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</row>
    <row r="1087" spans="1:14" s="25" customFormat="1">
      <c r="A1087" s="3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</row>
    <row r="1088" spans="1:14" s="25" customFormat="1">
      <c r="A1088" s="3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</row>
    <row r="1089" spans="1:14" s="25" customFormat="1">
      <c r="A1089" s="3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</row>
    <row r="1090" spans="1:14" s="25" customFormat="1">
      <c r="A1090" s="3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</row>
    <row r="1091" spans="1:14" s="25" customFormat="1">
      <c r="A1091" s="3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</row>
    <row r="1092" spans="1:14" s="25" customFormat="1">
      <c r="A1092" s="3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</row>
    <row r="1093" spans="1:14" s="25" customFormat="1">
      <c r="A1093" s="3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</row>
    <row r="1094" spans="1:14" s="25" customFormat="1">
      <c r="A1094" s="3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</row>
    <row r="1095" spans="1:14" s="25" customFormat="1">
      <c r="A1095" s="3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</row>
    <row r="1096" spans="1:14" s="25" customFormat="1">
      <c r="A1096" s="3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</row>
    <row r="1097" spans="1:14" s="25" customFormat="1">
      <c r="A1097" s="3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</row>
    <row r="1098" spans="1:14" s="25" customFormat="1">
      <c r="A1098" s="3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</row>
    <row r="1099" spans="1:14" s="25" customFormat="1">
      <c r="A1099" s="3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</row>
    <row r="1100" spans="1:14" s="25" customFormat="1">
      <c r="A1100" s="3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</row>
    <row r="1101" spans="1:14" s="25" customFormat="1">
      <c r="A1101" s="3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</row>
    <row r="1102" spans="1:14" s="25" customFormat="1">
      <c r="A1102" s="3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</row>
    <row r="1103" spans="1:14" s="25" customFormat="1">
      <c r="A1103" s="3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</row>
    <row r="1104" spans="1:14" s="25" customFormat="1">
      <c r="A1104" s="3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</row>
    <row r="1105" spans="1:14" s="25" customFormat="1">
      <c r="A1105" s="3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</row>
    <row r="1106" spans="1:14" s="25" customFormat="1">
      <c r="A1106" s="3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</row>
    <row r="1107" spans="1:14" s="25" customFormat="1">
      <c r="A1107" s="3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</row>
    <row r="1108" spans="1:14" s="25" customFormat="1">
      <c r="A1108" s="3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</row>
    <row r="1109" spans="1:14" s="25" customFormat="1">
      <c r="A1109" s="3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</row>
    <row r="1110" spans="1:14" s="25" customFormat="1">
      <c r="A1110" s="3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</row>
    <row r="1111" spans="1:14" s="25" customFormat="1">
      <c r="A1111" s="3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</row>
    <row r="1112" spans="1:14" s="25" customFormat="1">
      <c r="A1112" s="3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</row>
    <row r="1113" spans="1:14" s="25" customFormat="1">
      <c r="A1113" s="3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</row>
    <row r="1114" spans="1:14" s="25" customFormat="1">
      <c r="A1114" s="3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</row>
    <row r="1115" spans="1:14" s="25" customFormat="1">
      <c r="A1115" s="3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</row>
    <row r="1116" spans="1:14" s="25" customFormat="1">
      <c r="A1116" s="3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</row>
    <row r="1117" spans="1:14" s="25" customFormat="1">
      <c r="A1117" s="3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</row>
    <row r="1118" spans="1:14" s="25" customFormat="1">
      <c r="A1118" s="3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</row>
    <row r="1119" spans="1:14" s="25" customFormat="1">
      <c r="A1119" s="3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</row>
    <row r="1120" spans="1:14" s="25" customFormat="1">
      <c r="A1120" s="3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</row>
    <row r="1121" spans="1:14" s="25" customFormat="1">
      <c r="A1121" s="3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</row>
    <row r="1122" spans="1:14" s="25" customFormat="1">
      <c r="A1122" s="3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</row>
    <row r="1123" spans="1:14" s="25" customFormat="1">
      <c r="A1123" s="3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</row>
    <row r="1124" spans="1:14" s="25" customFormat="1">
      <c r="A1124" s="3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</row>
    <row r="1125" spans="1:14" s="25" customFormat="1">
      <c r="A1125" s="3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</row>
    <row r="1126" spans="1:14" s="25" customFormat="1">
      <c r="A1126" s="3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</row>
    <row r="1127" spans="1:14" s="25" customFormat="1">
      <c r="A1127" s="3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</row>
    <row r="1128" spans="1:14" s="25" customFormat="1">
      <c r="A1128" s="3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</row>
    <row r="1129" spans="1:14" s="25" customFormat="1">
      <c r="A1129" s="3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</row>
    <row r="1130" spans="1:14" s="25" customFormat="1">
      <c r="A1130" s="3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</row>
    <row r="1131" spans="1:14" s="25" customFormat="1">
      <c r="A1131" s="3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</row>
    <row r="1132" spans="1:14" s="25" customFormat="1">
      <c r="A1132" s="3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</row>
    <row r="1133" spans="1:14" s="25" customFormat="1">
      <c r="A1133" s="3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</row>
    <row r="1134" spans="1:14" s="25" customFormat="1">
      <c r="A1134" s="3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</row>
    <row r="1135" spans="1:14" s="25" customFormat="1">
      <c r="A1135" s="3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</row>
    <row r="1136" spans="1:14" s="25" customFormat="1">
      <c r="A1136" s="3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</row>
    <row r="1137" spans="1:14" s="25" customFormat="1">
      <c r="A1137" s="3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</row>
    <row r="1138" spans="1:14" s="25" customFormat="1">
      <c r="A1138" s="3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</row>
    <row r="1139" spans="1:14" s="25" customFormat="1">
      <c r="A1139" s="3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</row>
    <row r="1140" spans="1:14" s="25" customFormat="1">
      <c r="A1140" s="3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</row>
    <row r="1141" spans="1:14" s="25" customFormat="1">
      <c r="A1141" s="3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</row>
    <row r="1142" spans="1:14" s="25" customFormat="1">
      <c r="A1142" s="3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</row>
    <row r="1143" spans="1:14" s="25" customFormat="1">
      <c r="A1143" s="3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</row>
    <row r="1144" spans="1:14" s="25" customFormat="1">
      <c r="A1144" s="3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</row>
    <row r="1145" spans="1:14" s="25" customFormat="1">
      <c r="A1145" s="3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</row>
    <row r="1146" spans="1:14" s="25" customFormat="1">
      <c r="A1146" s="3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</row>
    <row r="1147" spans="1:14" s="25" customFormat="1">
      <c r="A1147" s="3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</row>
    <row r="1148" spans="1:14" s="25" customFormat="1">
      <c r="A1148" s="3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</row>
    <row r="1149" spans="1:14" s="25" customFormat="1">
      <c r="A1149" s="3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</row>
    <row r="1150" spans="1:14" s="25" customFormat="1">
      <c r="A1150" s="3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</row>
    <row r="1151" spans="1:14" s="25" customFormat="1">
      <c r="A1151" s="3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</row>
    <row r="1152" spans="1:14" s="25" customFormat="1">
      <c r="A1152" s="3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</row>
    <row r="1153" spans="1:14" s="25" customFormat="1">
      <c r="A1153" s="3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</row>
    <row r="1154" spans="1:14" s="25" customFormat="1">
      <c r="A1154" s="3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</row>
    <row r="1155" spans="1:14" s="25" customFormat="1">
      <c r="A1155" s="3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</row>
    <row r="1156" spans="1:14" s="25" customFormat="1">
      <c r="A1156" s="3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</row>
    <row r="1157" spans="1:14" s="25" customFormat="1">
      <c r="A1157" s="3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</row>
    <row r="1158" spans="1:14" s="25" customFormat="1">
      <c r="A1158" s="3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</row>
    <row r="1159" spans="1:14" s="25" customFormat="1">
      <c r="A1159" s="3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</row>
    <row r="1160" spans="1:14" s="25" customFormat="1">
      <c r="A1160" s="3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</row>
    <row r="1161" spans="1:14" s="25" customFormat="1">
      <c r="A1161" s="3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</row>
    <row r="1162" spans="1:14" s="25" customFormat="1">
      <c r="A1162" s="3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</row>
    <row r="1163" spans="1:14" s="25" customFormat="1">
      <c r="A1163" s="3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</row>
    <row r="1164" spans="1:14" s="25" customFormat="1">
      <c r="A1164" s="3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</row>
    <row r="1165" spans="1:14" s="25" customFormat="1">
      <c r="A1165" s="3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</row>
    <row r="1166" spans="1:14" s="25" customFormat="1">
      <c r="A1166" s="3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</row>
    <row r="1167" spans="1:14" s="25" customFormat="1">
      <c r="A1167" s="3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</row>
    <row r="1168" spans="1:14" s="25" customFormat="1">
      <c r="A1168" s="3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</row>
    <row r="1169" spans="1:14" s="25" customFormat="1">
      <c r="A1169" s="3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</row>
    <row r="1170" spans="1:14" s="25" customFormat="1">
      <c r="A1170" s="3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</row>
    <row r="1171" spans="1:14" s="25" customFormat="1">
      <c r="A1171" s="3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</row>
    <row r="1172" spans="1:14" s="25" customFormat="1">
      <c r="A1172" s="3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</row>
    <row r="1173" spans="1:14" s="25" customFormat="1">
      <c r="A1173" s="3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</row>
    <row r="1174" spans="1:14" s="25" customFormat="1">
      <c r="A1174" s="3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</row>
    <row r="1175" spans="1:14" s="25" customFormat="1">
      <c r="A1175" s="3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</row>
    <row r="1176" spans="1:14" s="25" customFormat="1">
      <c r="A1176" s="3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</row>
    <row r="1177" spans="1:14" s="25" customFormat="1">
      <c r="A1177" s="3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</row>
    <row r="1178" spans="1:14" s="25" customFormat="1">
      <c r="A1178" s="3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</row>
    <row r="1179" spans="1:14" s="25" customFormat="1">
      <c r="A1179" s="3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</row>
    <row r="1180" spans="1:14" s="25" customFormat="1">
      <c r="A1180" s="3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</row>
    <row r="1181" spans="1:14" s="25" customFormat="1">
      <c r="A1181" s="3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</row>
    <row r="1182" spans="1:14" s="25" customFormat="1">
      <c r="A1182" s="3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</row>
    <row r="1183" spans="1:14" s="25" customFormat="1">
      <c r="A1183" s="3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</row>
    <row r="1184" spans="1:14" s="25" customFormat="1">
      <c r="A1184" s="3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</row>
    <row r="1185" spans="1:14" s="25" customFormat="1">
      <c r="A1185" s="3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</row>
    <row r="1186" spans="1:14" s="25" customFormat="1">
      <c r="A1186" s="3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</row>
    <row r="1187" spans="1:14" s="25" customFormat="1">
      <c r="A1187" s="3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</row>
    <row r="1188" spans="1:14" s="25" customFormat="1">
      <c r="A1188" s="3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</row>
    <row r="1189" spans="1:14" s="25" customFormat="1">
      <c r="A1189" s="3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</row>
    <row r="1190" spans="1:14" s="25" customFormat="1">
      <c r="A1190" s="3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</row>
    <row r="1191" spans="1:14" s="25" customFormat="1">
      <c r="A1191" s="3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</row>
    <row r="1192" spans="1:14" s="25" customFormat="1">
      <c r="A1192" s="3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</row>
    <row r="1193" spans="1:14" s="25" customFormat="1">
      <c r="A1193" s="3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</row>
    <row r="1194" spans="1:14" s="25" customFormat="1">
      <c r="A1194" s="3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</row>
    <row r="1195" spans="1:14" s="25" customFormat="1">
      <c r="A1195" s="3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</row>
    <row r="1196" spans="1:14" s="25" customFormat="1">
      <c r="A1196" s="3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</row>
    <row r="1197" spans="1:14" s="25" customFormat="1">
      <c r="A1197" s="3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</row>
    <row r="1198" spans="1:14" s="25" customFormat="1">
      <c r="A1198" s="3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</row>
    <row r="1199" spans="1:14" s="25" customFormat="1">
      <c r="A1199" s="3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</row>
    <row r="1200" spans="1:14" s="25" customFormat="1">
      <c r="A1200" s="3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</row>
    <row r="1201" spans="1:14" s="25" customFormat="1">
      <c r="A1201" s="3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</row>
    <row r="1202" spans="1:14" s="25" customFormat="1">
      <c r="A1202" s="3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</row>
    <row r="1203" spans="1:14" s="25" customFormat="1">
      <c r="A1203" s="3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</row>
    <row r="1204" spans="1:14" s="25" customFormat="1">
      <c r="A1204" s="3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</row>
    <row r="1205" spans="1:14" s="25" customFormat="1">
      <c r="A1205" s="3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</row>
    <row r="1206" spans="1:14" s="25" customFormat="1">
      <c r="A1206" s="3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</row>
    <row r="1207" spans="1:14" s="25" customFormat="1">
      <c r="A1207" s="3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</row>
    <row r="1208" spans="1:14" s="25" customFormat="1">
      <c r="A1208" s="3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</row>
    <row r="1209" spans="1:14" s="25" customFormat="1">
      <c r="A1209" s="3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</row>
    <row r="1210" spans="1:14" s="25" customFormat="1">
      <c r="A1210" s="3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</row>
    <row r="1211" spans="1:14" s="25" customFormat="1">
      <c r="A1211" s="3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</row>
    <row r="1212" spans="1:14" s="25" customFormat="1">
      <c r="A1212" s="3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</row>
    <row r="1213" spans="1:14" s="25" customFormat="1">
      <c r="A1213" s="3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</row>
    <row r="1214" spans="1:14" s="25" customFormat="1">
      <c r="A1214" s="3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</row>
    <row r="1215" spans="1:14" s="25" customFormat="1">
      <c r="A1215" s="3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</row>
    <row r="1216" spans="1:14" s="25" customFormat="1">
      <c r="A1216" s="3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</row>
    <row r="1217" spans="1:14" s="25" customFormat="1">
      <c r="A1217" s="3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</row>
    <row r="1218" spans="1:14" s="25" customFormat="1">
      <c r="A1218" s="3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</row>
    <row r="1219" spans="1:14" s="25" customFormat="1">
      <c r="A1219" s="3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</row>
    <row r="1220" spans="1:14" s="25" customFormat="1">
      <c r="A1220" s="3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</row>
    <row r="1221" spans="1:14" s="25" customFormat="1">
      <c r="A1221" s="3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</row>
    <row r="1222" spans="1:14" s="25" customFormat="1">
      <c r="A1222" s="3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</row>
    <row r="1223" spans="1:14" s="25" customFormat="1">
      <c r="A1223" s="3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</row>
    <row r="1224" spans="1:14" s="25" customFormat="1">
      <c r="A1224" s="3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</row>
    <row r="1225" spans="1:14" s="25" customFormat="1">
      <c r="A1225" s="3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</row>
    <row r="1226" spans="1:14" s="25" customFormat="1">
      <c r="A1226" s="3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</row>
    <row r="1227" spans="1:14" s="25" customFormat="1">
      <c r="A1227" s="3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</row>
    <row r="1228" spans="1:14" s="25" customFormat="1">
      <c r="A1228" s="3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</row>
    <row r="1229" spans="1:14" s="25" customFormat="1">
      <c r="A1229" s="3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</row>
    <row r="1230" spans="1:14" s="25" customFormat="1">
      <c r="A1230" s="3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</row>
    <row r="1231" spans="1:14" s="25" customFormat="1">
      <c r="A1231" s="3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</row>
    <row r="1232" spans="1:14" s="25" customFormat="1">
      <c r="A1232" s="3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</row>
    <row r="1233" spans="1:14" s="25" customFormat="1">
      <c r="A1233" s="3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</row>
    <row r="1234" spans="1:14" s="25" customFormat="1">
      <c r="A1234" s="3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</row>
    <row r="1235" spans="1:14" s="25" customFormat="1">
      <c r="A1235" s="3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</row>
    <row r="1236" spans="1:14" s="25" customFormat="1">
      <c r="A1236" s="3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</row>
    <row r="1237" spans="1:14" s="25" customFormat="1">
      <c r="A1237" s="3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</row>
    <row r="1238" spans="1:14" s="25" customFormat="1">
      <c r="A1238" s="3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</row>
    <row r="1239" spans="1:14" s="25" customFormat="1">
      <c r="A1239" s="3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</row>
    <row r="1240" spans="1:14" s="25" customFormat="1">
      <c r="A1240" s="3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</row>
    <row r="1241" spans="1:14" s="25" customFormat="1">
      <c r="A1241" s="3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</row>
    <row r="1242" spans="1:14" s="25" customFormat="1">
      <c r="A1242" s="3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</row>
    <row r="1243" spans="1:14" s="25" customFormat="1">
      <c r="A1243" s="3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</row>
    <row r="1244" spans="1:14" s="25" customFormat="1">
      <c r="A1244" s="3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</row>
    <row r="1245" spans="1:14" s="25" customFormat="1">
      <c r="A1245" s="3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</row>
    <row r="1246" spans="1:14" s="25" customFormat="1">
      <c r="A1246" s="3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</row>
    <row r="1247" spans="1:14" s="25" customFormat="1">
      <c r="A1247" s="3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</row>
    <row r="1248" spans="1:14" s="25" customFormat="1">
      <c r="A1248" s="3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</row>
    <row r="1249" spans="1:14" s="25" customFormat="1">
      <c r="A1249" s="3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</row>
    <row r="1250" spans="1:14" s="25" customFormat="1">
      <c r="A1250" s="3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</row>
    <row r="1251" spans="1:14" s="25" customFormat="1">
      <c r="A1251" s="3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</row>
    <row r="1252" spans="1:14" s="25" customFormat="1">
      <c r="A1252" s="3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</row>
    <row r="1253" spans="1:14" s="25" customFormat="1">
      <c r="A1253" s="3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</row>
    <row r="1254" spans="1:14" s="25" customFormat="1">
      <c r="A1254" s="3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</row>
    <row r="1255" spans="1:14" s="25" customFormat="1">
      <c r="A1255" s="3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</row>
    <row r="1256" spans="1:14" s="25" customFormat="1">
      <c r="A1256" s="3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</row>
    <row r="1257" spans="1:14" s="25" customFormat="1">
      <c r="A1257" s="3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</row>
    <row r="1258" spans="1:14" s="25" customFormat="1">
      <c r="A1258" s="3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</row>
    <row r="1259" spans="1:14" s="25" customFormat="1">
      <c r="A1259" s="3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</row>
    <row r="1260" spans="1:14" s="25" customFormat="1">
      <c r="A1260" s="3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</row>
    <row r="1261" spans="1:14" s="25" customFormat="1">
      <c r="A1261" s="3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</row>
    <row r="1262" spans="1:14" s="25" customFormat="1">
      <c r="A1262" s="3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</row>
    <row r="1263" spans="1:14" s="25" customFormat="1">
      <c r="A1263" s="3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</row>
    <row r="1264" spans="1:14" s="25" customFormat="1">
      <c r="A1264" s="3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</row>
    <row r="1265" spans="1:14" s="25" customFormat="1">
      <c r="A1265" s="3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</row>
    <row r="1266" spans="1:14" s="25" customFormat="1">
      <c r="A1266" s="3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</row>
    <row r="1267" spans="1:14" s="25" customFormat="1">
      <c r="A1267" s="3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</row>
    <row r="1268" spans="1:14" s="25" customFormat="1">
      <c r="A1268" s="3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</row>
    <row r="1269" spans="1:14" s="25" customFormat="1">
      <c r="A1269" s="3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</row>
    <row r="1270" spans="1:14" s="25" customFormat="1">
      <c r="A1270" s="3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</row>
    <row r="1271" spans="1:14" s="25" customFormat="1">
      <c r="A1271" s="3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</row>
    <row r="1272" spans="1:14" s="25" customFormat="1">
      <c r="A1272" s="3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</row>
    <row r="1273" spans="1:14" s="25" customFormat="1">
      <c r="A1273" s="3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</row>
    <row r="1274" spans="1:14" s="25" customFormat="1">
      <c r="A1274" s="3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</row>
    <row r="1275" spans="1:14" s="25" customFormat="1">
      <c r="A1275" s="3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</row>
    <row r="1276" spans="1:14" s="25" customFormat="1">
      <c r="A1276" s="3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</row>
    <row r="1277" spans="1:14" s="25" customFormat="1">
      <c r="A1277" s="3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</row>
    <row r="1278" spans="1:14" s="25" customFormat="1">
      <c r="A1278" s="3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</row>
    <row r="1279" spans="1:14" s="25" customFormat="1">
      <c r="A1279" s="3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</row>
    <row r="1280" spans="1:14" s="25" customFormat="1">
      <c r="A1280" s="3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</row>
    <row r="1281" spans="1:14" s="25" customFormat="1">
      <c r="A1281" s="3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</row>
    <row r="1282" spans="1:14" s="25" customFormat="1">
      <c r="A1282" s="3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</row>
    <row r="1283" spans="1:14" s="25" customFormat="1">
      <c r="A1283" s="3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</row>
    <row r="1284" spans="1:14" s="25" customFormat="1">
      <c r="A1284" s="3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</row>
    <row r="1285" spans="1:14" s="25" customFormat="1">
      <c r="A1285" s="3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</row>
    <row r="1286" spans="1:14" s="25" customFormat="1">
      <c r="A1286" s="3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</row>
    <row r="1287" spans="1:14" s="25" customFormat="1">
      <c r="A1287" s="3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</row>
    <row r="1288" spans="1:14" s="25" customFormat="1">
      <c r="A1288" s="3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</row>
    <row r="1289" spans="1:14" s="25" customFormat="1">
      <c r="A1289" s="3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</row>
    <row r="1290" spans="1:14" s="25" customFormat="1">
      <c r="A1290" s="3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</row>
    <row r="1291" spans="1:14" s="25" customFormat="1">
      <c r="A1291" s="3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</row>
    <row r="1292" spans="1:14" s="25" customFormat="1">
      <c r="A1292" s="3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</row>
    <row r="1293" spans="1:14" s="25" customFormat="1">
      <c r="A1293" s="3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</row>
    <row r="1294" spans="1:14" s="25" customFormat="1">
      <c r="A1294" s="3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</row>
    <row r="1295" spans="1:14" s="25" customFormat="1">
      <c r="A1295" s="3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</row>
    <row r="1296" spans="1:14" s="25" customFormat="1">
      <c r="A1296" s="3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</row>
    <row r="1297" spans="1:14" s="25" customFormat="1">
      <c r="A1297" s="3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</row>
    <row r="1298" spans="1:14" s="25" customFormat="1">
      <c r="A1298" s="3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</row>
    <row r="1299" spans="1:14" s="25" customFormat="1">
      <c r="A1299" s="3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</row>
    <row r="1300" spans="1:14" s="25" customFormat="1">
      <c r="A1300" s="3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</row>
    <row r="1301" spans="1:14" s="25" customFormat="1">
      <c r="A1301" s="3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</row>
    <row r="1302" spans="1:14" s="25" customFormat="1">
      <c r="A1302" s="3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</row>
    <row r="1303" spans="1:14" s="25" customFormat="1">
      <c r="A1303" s="3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</row>
    <row r="1304" spans="1:14" s="25" customFormat="1">
      <c r="A1304" s="3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</row>
    <row r="1305" spans="1:14" s="25" customFormat="1">
      <c r="A1305" s="3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</row>
    <row r="1306" spans="1:14" s="25" customFormat="1">
      <c r="A1306" s="3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</row>
    <row r="1307" spans="1:14" s="25" customFormat="1">
      <c r="A1307" s="3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</row>
    <row r="1308" spans="1:14" s="25" customFormat="1">
      <c r="A1308" s="3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</row>
    <row r="1309" spans="1:14" s="25" customFormat="1">
      <c r="A1309" s="3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</row>
    <row r="1310" spans="1:14" s="25" customFormat="1">
      <c r="A1310" s="3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</row>
    <row r="1311" spans="1:14" s="25" customFormat="1">
      <c r="A1311" s="3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</row>
    <row r="1312" spans="1:14" s="25" customFormat="1">
      <c r="A1312" s="3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</row>
    <row r="1313" spans="1:14" s="25" customFormat="1">
      <c r="A1313" s="3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</row>
    <row r="1314" spans="1:14" s="25" customFormat="1">
      <c r="A1314" s="3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</row>
    <row r="1315" spans="1:14" s="25" customFormat="1">
      <c r="A1315" s="3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</row>
    <row r="1316" spans="1:14" s="25" customFormat="1">
      <c r="A1316" s="3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</row>
    <row r="1317" spans="1:14" s="25" customFormat="1">
      <c r="A1317" s="3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</row>
    <row r="1318" spans="1:14" s="25" customFormat="1">
      <c r="A1318" s="3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</row>
    <row r="1319" spans="1:14" s="25" customFormat="1">
      <c r="A1319" s="3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</row>
    <row r="1320" spans="1:14" s="25" customFormat="1">
      <c r="A1320" s="3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</row>
    <row r="1321" spans="1:14" s="25" customFormat="1">
      <c r="A1321" s="3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</row>
    <row r="1322" spans="1:14" s="25" customFormat="1">
      <c r="A1322" s="3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</row>
    <row r="1323" spans="1:14" s="25" customFormat="1">
      <c r="A1323" s="3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</row>
    <row r="1324" spans="1:14" s="25" customFormat="1">
      <c r="A1324" s="3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</row>
    <row r="1325" spans="1:14" s="25" customFormat="1">
      <c r="A1325" s="3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</row>
    <row r="1326" spans="1:14" s="25" customFormat="1">
      <c r="A1326" s="3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</row>
    <row r="1327" spans="1:14" s="25" customFormat="1">
      <c r="A1327" s="3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</row>
    <row r="1328" spans="1:14" s="25" customFormat="1">
      <c r="A1328" s="3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</row>
    <row r="1329" spans="1:14" s="25" customFormat="1">
      <c r="A1329" s="3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</row>
    <row r="1330" spans="1:14" s="25" customFormat="1">
      <c r="A1330" s="3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</row>
    <row r="1331" spans="1:14" s="25" customFormat="1">
      <c r="A1331" s="3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</row>
    <row r="1332" spans="1:14" s="25" customFormat="1">
      <c r="A1332" s="3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</row>
    <row r="1333" spans="1:14" s="25" customFormat="1">
      <c r="A1333" s="3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</row>
    <row r="1334" spans="1:14" s="25" customFormat="1">
      <c r="A1334" s="3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</row>
    <row r="1335" spans="1:14" s="25" customFormat="1">
      <c r="A1335" s="3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</row>
    <row r="1336" spans="1:14" s="25" customFormat="1">
      <c r="A1336" s="3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</row>
    <row r="1337" spans="1:14" s="25" customFormat="1">
      <c r="A1337" s="3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</row>
    <row r="1338" spans="1:14" s="25" customFormat="1">
      <c r="A1338" s="3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</row>
    <row r="1339" spans="1:14" s="25" customFormat="1">
      <c r="A1339" s="3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</row>
    <row r="1340" spans="1:14" s="25" customFormat="1">
      <c r="A1340" s="3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</row>
    <row r="1341" spans="1:14" s="25" customFormat="1">
      <c r="A1341" s="3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</row>
    <row r="1342" spans="1:14" s="25" customFormat="1">
      <c r="A1342" s="3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</row>
    <row r="1343" spans="1:14" s="25" customFormat="1">
      <c r="A1343" s="3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</row>
    <row r="1344" spans="1:14" s="25" customFormat="1">
      <c r="A1344" s="3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</row>
    <row r="1345" spans="1:14" s="25" customFormat="1">
      <c r="A1345" s="3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</row>
    <row r="1346" spans="1:14" s="25" customFormat="1">
      <c r="A1346" s="3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</row>
    <row r="1347" spans="1:14" s="25" customFormat="1">
      <c r="A1347" s="3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</row>
    <row r="1348" spans="1:14" s="25" customFormat="1">
      <c r="A1348" s="3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</row>
    <row r="1349" spans="1:14" s="25" customFormat="1">
      <c r="A1349" s="3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</row>
    <row r="1350" spans="1:14" s="25" customFormat="1">
      <c r="A1350" s="3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</row>
    <row r="1351" spans="1:14" s="25" customFormat="1">
      <c r="A1351" s="3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</row>
    <row r="1352" spans="1:14" s="25" customFormat="1">
      <c r="A1352" s="3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</row>
    <row r="1353" spans="1:14" s="25" customFormat="1">
      <c r="A1353" s="3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</row>
    <row r="1354" spans="1:14" s="25" customFormat="1">
      <c r="A1354" s="3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</row>
    <row r="1355" spans="1:14" s="25" customFormat="1">
      <c r="A1355" s="3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</row>
    <row r="1356" spans="1:14" s="25" customFormat="1">
      <c r="A1356" s="3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</row>
    <row r="1357" spans="1:14" s="25" customFormat="1">
      <c r="A1357" s="3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</row>
    <row r="1358" spans="1:14" s="25" customFormat="1">
      <c r="A1358" s="3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</row>
    <row r="1359" spans="1:14" s="25" customFormat="1">
      <c r="A1359" s="3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</row>
    <row r="1360" spans="1:14" s="25" customFormat="1">
      <c r="A1360" s="3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</row>
    <row r="1361" spans="1:14" s="25" customFormat="1">
      <c r="A1361" s="3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</row>
    <row r="1362" spans="1:14" s="25" customFormat="1">
      <c r="A1362" s="3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</row>
    <row r="1363" spans="1:14" s="25" customFormat="1">
      <c r="A1363" s="3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</row>
    <row r="1364" spans="1:14" s="25" customFormat="1">
      <c r="A1364" s="3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</row>
    <row r="1365" spans="1:14" s="25" customFormat="1">
      <c r="A1365" s="3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</row>
    <row r="1366" spans="1:14" s="25" customFormat="1">
      <c r="A1366" s="3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</row>
    <row r="1367" spans="1:14" s="25" customFormat="1">
      <c r="A1367" s="3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</row>
    <row r="1368" spans="1:14" s="25" customFormat="1">
      <c r="A1368" s="3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</row>
    <row r="1369" spans="1:14" s="25" customFormat="1">
      <c r="A1369" s="3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</row>
    <row r="1370" spans="1:14" s="25" customFormat="1">
      <c r="A1370" s="3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</row>
    <row r="1371" spans="1:14" s="25" customFormat="1">
      <c r="A1371" s="3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</row>
    <row r="1372" spans="1:14" s="25" customFormat="1">
      <c r="A1372" s="3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</row>
    <row r="1373" spans="1:14" s="25" customFormat="1">
      <c r="A1373" s="3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</row>
    <row r="1374" spans="1:14" s="25" customFormat="1">
      <c r="A1374" s="3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</row>
    <row r="1375" spans="1:14" s="25" customFormat="1">
      <c r="A1375" s="3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</row>
    <row r="1376" spans="1:14" s="25" customFormat="1">
      <c r="A1376" s="3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</row>
    <row r="1377" spans="1:14" s="25" customFormat="1">
      <c r="A1377" s="3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</row>
    <row r="1378" spans="1:14" s="25" customFormat="1">
      <c r="A1378" s="3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</row>
    <row r="1379" spans="1:14" s="25" customFormat="1">
      <c r="A1379" s="3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</row>
    <row r="1380" spans="1:14" s="25" customFormat="1">
      <c r="A1380" s="3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</row>
    <row r="1381" spans="1:14" s="25" customFormat="1">
      <c r="A1381" s="3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</row>
    <row r="1382" spans="1:14" s="25" customFormat="1">
      <c r="A1382" s="3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</row>
    <row r="1383" spans="1:14" s="25" customFormat="1">
      <c r="A1383" s="3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</row>
    <row r="1384" spans="1:14" s="25" customFormat="1">
      <c r="A1384" s="3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</row>
    <row r="1385" spans="1:14" s="25" customFormat="1">
      <c r="A1385" s="3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</row>
    <row r="1386" spans="1:14" s="25" customFormat="1">
      <c r="A1386" s="3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</row>
    <row r="1387" spans="1:14" s="25" customFormat="1">
      <c r="A1387" s="3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</row>
    <row r="1388" spans="1:14" s="25" customFormat="1">
      <c r="A1388" s="3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</row>
    <row r="1389" spans="1:14" s="25" customFormat="1">
      <c r="A1389" s="3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</row>
    <row r="1390" spans="1:14" s="25" customFormat="1">
      <c r="A1390" s="3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</row>
    <row r="1391" spans="1:14" s="25" customFormat="1">
      <c r="A1391" s="3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</row>
    <row r="1392" spans="1:14" s="25" customFormat="1">
      <c r="A1392" s="3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</row>
    <row r="1393" spans="1:14" s="25" customFormat="1">
      <c r="A1393" s="3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</row>
    <row r="1394" spans="1:14" s="25" customFormat="1">
      <c r="A1394" s="3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</row>
    <row r="1395" spans="1:14" s="25" customFormat="1">
      <c r="A1395" s="3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</row>
    <row r="1396" spans="1:14" s="25" customFormat="1">
      <c r="A1396" s="3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</row>
    <row r="1397" spans="1:14" s="25" customFormat="1">
      <c r="A1397" s="3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</row>
    <row r="1398" spans="1:14" s="25" customFormat="1">
      <c r="A1398" s="3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</row>
    <row r="1399" spans="1:14" s="25" customFormat="1">
      <c r="A1399" s="3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</row>
    <row r="1400" spans="1:14" s="25" customFormat="1">
      <c r="A1400" s="3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</row>
    <row r="1401" spans="1:14" s="25" customFormat="1">
      <c r="A1401" s="3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</row>
    <row r="1402" spans="1:14" s="25" customFormat="1">
      <c r="A1402" s="3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</row>
    <row r="1403" spans="1:14" s="25" customFormat="1">
      <c r="A1403" s="3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</row>
    <row r="1404" spans="1:14" s="25" customFormat="1">
      <c r="A1404" s="3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</row>
    <row r="1405" spans="1:14" s="25" customFormat="1">
      <c r="A1405" s="3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</row>
    <row r="1406" spans="1:14" s="25" customFormat="1">
      <c r="A1406" s="3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</row>
    <row r="1407" spans="1:14" s="25" customFormat="1">
      <c r="A1407" s="3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</row>
    <row r="1408" spans="1:14" s="25" customFormat="1">
      <c r="A1408" s="3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</row>
    <row r="1409" spans="1:14" s="25" customFormat="1">
      <c r="A1409" s="3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</row>
    <row r="1410" spans="1:14" s="25" customFormat="1">
      <c r="A1410" s="3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</row>
    <row r="1411" spans="1:14" s="25" customFormat="1">
      <c r="A1411" s="3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</row>
    <row r="1412" spans="1:14" s="25" customFormat="1">
      <c r="A1412" s="3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</row>
    <row r="1413" spans="1:14" s="25" customFormat="1">
      <c r="A1413" s="3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</row>
    <row r="1414" spans="1:14" s="25" customFormat="1">
      <c r="A1414" s="3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</row>
    <row r="1415" spans="1:14" s="25" customFormat="1">
      <c r="A1415" s="3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</row>
    <row r="1416" spans="1:14" s="25" customFormat="1">
      <c r="A1416" s="3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</row>
    <row r="1417" spans="1:14" s="25" customFormat="1">
      <c r="A1417" s="3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</row>
    <row r="1418" spans="1:14" s="25" customFormat="1">
      <c r="A1418" s="3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</row>
    <row r="1419" spans="1:14" s="25" customFormat="1">
      <c r="A1419" s="3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</row>
    <row r="1420" spans="1:14" s="25" customFormat="1">
      <c r="A1420" s="3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</row>
    <row r="1421" spans="1:14" s="25" customFormat="1">
      <c r="A1421" s="3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</row>
    <row r="1422" spans="1:14" s="25" customFormat="1">
      <c r="A1422" s="3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</row>
    <row r="1423" spans="1:14" s="25" customFormat="1">
      <c r="A1423" s="3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</row>
    <row r="1424" spans="1:14" s="25" customFormat="1">
      <c r="A1424" s="3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</row>
    <row r="1425" spans="1:14" s="25" customFormat="1">
      <c r="A1425" s="3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</row>
    <row r="1426" spans="1:14" s="25" customFormat="1">
      <c r="A1426" s="3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</row>
    <row r="1427" spans="1:14" s="25" customFormat="1">
      <c r="A1427" s="3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</row>
    <row r="1428" spans="1:14" s="25" customFormat="1">
      <c r="A1428" s="3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</row>
    <row r="1429" spans="1:14" s="25" customFormat="1">
      <c r="A1429" s="3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</row>
    <row r="1430" spans="1:14" s="25" customFormat="1">
      <c r="A1430" s="3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</row>
    <row r="1431" spans="1:14" s="25" customFormat="1">
      <c r="A1431" s="3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</row>
    <row r="1432" spans="1:14" s="25" customFormat="1">
      <c r="A1432" s="3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</row>
    <row r="1433" spans="1:14" s="25" customFormat="1">
      <c r="A1433" s="3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</row>
    <row r="1434" spans="1:14" s="25" customFormat="1">
      <c r="A1434" s="3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</row>
    <row r="1435" spans="1:14" s="25" customFormat="1">
      <c r="A1435" s="3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</row>
    <row r="1436" spans="1:14" s="25" customFormat="1">
      <c r="A1436" s="3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</row>
    <row r="1437" spans="1:14" s="25" customFormat="1">
      <c r="A1437" s="3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</row>
    <row r="1438" spans="1:14" s="25" customFormat="1">
      <c r="A1438" s="3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</row>
    <row r="1439" spans="1:14" s="25" customFormat="1">
      <c r="A1439" s="3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</row>
    <row r="1440" spans="1:14" s="25" customFormat="1">
      <c r="A1440" s="3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</row>
    <row r="1441" spans="1:14" s="25" customFormat="1">
      <c r="A1441" s="3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</row>
    <row r="1442" spans="1:14" s="25" customFormat="1">
      <c r="A1442" s="3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</row>
    <row r="1443" spans="1:14" s="25" customFormat="1">
      <c r="A1443" s="3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</row>
    <row r="1444" spans="1:14" s="25" customFormat="1">
      <c r="A1444" s="3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</row>
    <row r="1445" spans="1:14" s="25" customFormat="1">
      <c r="A1445" s="3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</row>
    <row r="1446" spans="1:14" s="25" customFormat="1">
      <c r="A1446" s="3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</row>
    <row r="1447" spans="1:14" s="25" customFormat="1">
      <c r="A1447" s="3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</row>
    <row r="1448" spans="1:14" s="25" customFormat="1">
      <c r="A1448" s="3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</row>
    <row r="1449" spans="1:14" s="25" customFormat="1">
      <c r="A1449" s="3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</row>
    <row r="1450" spans="1:14" s="25" customFormat="1">
      <c r="A1450" s="3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</row>
    <row r="1451" spans="1:14" s="25" customFormat="1">
      <c r="A1451" s="3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</row>
    <row r="1452" spans="1:14" s="25" customFormat="1">
      <c r="A1452" s="3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</row>
    <row r="1453" spans="1:14" s="25" customFormat="1">
      <c r="A1453" s="3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</row>
    <row r="1454" spans="1:14" s="25" customFormat="1">
      <c r="A1454" s="3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</row>
    <row r="1455" spans="1:14" s="25" customFormat="1">
      <c r="A1455" s="3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</row>
    <row r="1456" spans="1:14" s="25" customFormat="1">
      <c r="A1456" s="3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</row>
    <row r="1457" spans="1:14" s="25" customFormat="1">
      <c r="A1457" s="3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</row>
    <row r="1458" spans="1:14" s="25" customFormat="1">
      <c r="A1458" s="3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</row>
    <row r="1459" spans="1:14" s="25" customFormat="1">
      <c r="A1459" s="3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</row>
    <row r="1460" spans="1:14" s="25" customFormat="1">
      <c r="A1460" s="3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</row>
    <row r="1461" spans="1:14" s="25" customFormat="1">
      <c r="A1461" s="3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</row>
    <row r="1462" spans="1:14" s="25" customFormat="1">
      <c r="A1462" s="3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</row>
    <row r="1463" spans="1:14" s="25" customFormat="1">
      <c r="A1463" s="3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</row>
    <row r="1464" spans="1:14" s="25" customFormat="1">
      <c r="A1464" s="3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</row>
    <row r="1465" spans="1:14" s="25" customFormat="1">
      <c r="A1465" s="3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</row>
    <row r="1466" spans="1:14" s="25" customFormat="1">
      <c r="A1466" s="3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</row>
    <row r="1467" spans="1:14" s="25" customFormat="1">
      <c r="A1467" s="3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</row>
    <row r="1468" spans="1:14" s="25" customFormat="1">
      <c r="A1468" s="3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</row>
    <row r="1469" spans="1:14" s="25" customFormat="1">
      <c r="A1469" s="3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</row>
    <row r="1470" spans="1:14" s="25" customFormat="1">
      <c r="A1470" s="3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</row>
    <row r="1471" spans="1:14" s="25" customFormat="1">
      <c r="A1471" s="3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</row>
    <row r="1472" spans="1:14" s="25" customFormat="1">
      <c r="A1472" s="3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</row>
    <row r="1473" spans="1:14" s="25" customFormat="1">
      <c r="A1473" s="3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</row>
    <row r="1474" spans="1:14" s="25" customFormat="1">
      <c r="A1474" s="3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</row>
    <row r="1475" spans="1:14" s="25" customFormat="1">
      <c r="A1475" s="3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</row>
    <row r="1476" spans="1:14" s="25" customFormat="1">
      <c r="A1476" s="3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</row>
    <row r="1477" spans="1:14" s="25" customFormat="1">
      <c r="A1477" s="3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</row>
    <row r="1478" spans="1:14" s="25" customFormat="1">
      <c r="A1478" s="3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</row>
    <row r="1479" spans="1:14" s="25" customFormat="1">
      <c r="A1479" s="3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</row>
    <row r="1480" spans="1:14" s="25" customFormat="1">
      <c r="A1480" s="3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</row>
    <row r="1481" spans="1:14" s="25" customFormat="1">
      <c r="A1481" s="3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</row>
    <row r="1482" spans="1:14" s="25" customFormat="1">
      <c r="A1482" s="3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</row>
    <row r="1483" spans="1:14" s="25" customFormat="1">
      <c r="A1483" s="3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</row>
    <row r="1484" spans="1:14" s="25" customFormat="1">
      <c r="A1484" s="3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</row>
    <row r="1485" spans="1:14" s="25" customFormat="1">
      <c r="A1485" s="3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</row>
    <row r="1486" spans="1:14" s="25" customFormat="1">
      <c r="A1486" s="3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</row>
    <row r="1487" spans="1:14" s="25" customFormat="1">
      <c r="A1487" s="3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</row>
    <row r="1488" spans="1:14" s="25" customFormat="1">
      <c r="A1488" s="3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</row>
    <row r="1489" spans="1:14" s="25" customFormat="1">
      <c r="A1489" s="3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</row>
    <row r="1490" spans="1:14" s="25" customFormat="1">
      <c r="A1490" s="3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</row>
    <row r="1491" spans="1:14" s="25" customFormat="1">
      <c r="A1491" s="3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</row>
    <row r="1492" spans="1:14" s="25" customFormat="1">
      <c r="A1492" s="3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</row>
    <row r="1493" spans="1:14" s="25" customFormat="1">
      <c r="A1493" s="3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</row>
    <row r="1494" spans="1:14" s="25" customFormat="1">
      <c r="A1494" s="3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</row>
    <row r="1495" spans="1:14" s="25" customFormat="1">
      <c r="A1495" s="3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</row>
    <row r="1496" spans="1:14" s="25" customFormat="1">
      <c r="A1496" s="3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</row>
    <row r="1497" spans="1:14" s="25" customFormat="1">
      <c r="A1497" s="3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</row>
    <row r="1498" spans="1:14" s="25" customFormat="1">
      <c r="A1498" s="3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</row>
    <row r="1499" spans="1:14" s="25" customFormat="1">
      <c r="A1499" s="3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</row>
    <row r="1500" spans="1:14" s="25" customFormat="1">
      <c r="A1500" s="3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</row>
    <row r="1501" spans="1:14" s="25" customFormat="1">
      <c r="A1501" s="3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</row>
    <row r="1502" spans="1:14" s="25" customFormat="1">
      <c r="A1502" s="3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</row>
    <row r="1503" spans="1:14" s="25" customFormat="1">
      <c r="A1503" s="3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</row>
    <row r="1504" spans="1:14" s="25" customFormat="1">
      <c r="A1504" s="3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</row>
    <row r="1505" spans="1:14" s="25" customFormat="1">
      <c r="A1505" s="3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</row>
    <row r="1506" spans="1:14" s="25" customFormat="1">
      <c r="A1506" s="3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</row>
    <row r="1507" spans="1:14" s="25" customFormat="1">
      <c r="A1507" s="3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</row>
    <row r="1508" spans="1:14" s="25" customFormat="1">
      <c r="A1508" s="3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</row>
    <row r="1509" spans="1:14" s="25" customFormat="1">
      <c r="A1509" s="3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</row>
    <row r="1510" spans="1:14" s="25" customFormat="1">
      <c r="A1510" s="3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</row>
    <row r="1511" spans="1:14" s="25" customFormat="1">
      <c r="A1511" s="3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</row>
    <row r="1512" spans="1:14" s="25" customFormat="1">
      <c r="A1512" s="3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</row>
    <row r="1513" spans="1:14" s="25" customFormat="1">
      <c r="A1513" s="3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</row>
    <row r="1514" spans="1:14" s="25" customFormat="1">
      <c r="A1514" s="3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</row>
    <row r="1515" spans="1:14" s="25" customFormat="1">
      <c r="A1515" s="3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</row>
    <row r="1516" spans="1:14" s="25" customFormat="1">
      <c r="A1516" s="3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</row>
    <row r="1517" spans="1:14" s="25" customFormat="1">
      <c r="A1517" s="3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</row>
    <row r="1518" spans="1:14" s="25" customFormat="1">
      <c r="A1518" s="3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</row>
    <row r="1519" spans="1:14" s="25" customFormat="1">
      <c r="A1519" s="3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</row>
    <row r="1520" spans="1:14" s="25" customFormat="1">
      <c r="A1520" s="3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</row>
    <row r="1521" spans="1:14" s="25" customFormat="1">
      <c r="A1521" s="3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</row>
    <row r="1522" spans="1:14" s="25" customFormat="1">
      <c r="A1522" s="3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</row>
    <row r="1523" spans="1:14" s="25" customFormat="1">
      <c r="A1523" s="3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</row>
    <row r="1524" spans="1:14" s="25" customFormat="1">
      <c r="A1524" s="3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</row>
    <row r="1525" spans="1:14" s="25" customFormat="1">
      <c r="A1525" s="3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</row>
    <row r="1526" spans="1:14" s="25" customFormat="1">
      <c r="A1526" s="3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</row>
    <row r="1527" spans="1:14" s="25" customFormat="1">
      <c r="A1527" s="3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</row>
    <row r="1528" spans="1:14" s="25" customFormat="1">
      <c r="A1528" s="3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</row>
    <row r="1529" spans="1:14" s="25" customFormat="1">
      <c r="A1529" s="3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</row>
    <row r="1530" spans="1:14" s="25" customFormat="1">
      <c r="A1530" s="3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</row>
    <row r="1531" spans="1:14" s="25" customFormat="1">
      <c r="A1531" s="3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</row>
    <row r="1532" spans="1:14" s="25" customFormat="1">
      <c r="A1532" s="3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</row>
    <row r="1533" spans="1:14" s="25" customFormat="1">
      <c r="A1533" s="3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</row>
    <row r="1534" spans="1:14" s="25" customFormat="1">
      <c r="A1534" s="3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</row>
    <row r="1535" spans="1:14" s="25" customFormat="1">
      <c r="A1535" s="3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</row>
    <row r="1536" spans="1:14" s="25" customFormat="1">
      <c r="A1536" s="3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</row>
    <row r="1537" spans="1:14" s="25" customFormat="1">
      <c r="A1537" s="3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</row>
    <row r="1538" spans="1:14" s="25" customFormat="1">
      <c r="A1538" s="3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</row>
    <row r="1539" spans="1:14" s="25" customFormat="1">
      <c r="A1539" s="3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</row>
    <row r="1540" spans="1:14" s="25" customFormat="1">
      <c r="A1540" s="3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</row>
    <row r="1541" spans="1:14" s="25" customFormat="1">
      <c r="A1541" s="3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</row>
    <row r="1542" spans="1:14" s="25" customFormat="1">
      <c r="A1542" s="3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</row>
    <row r="1543" spans="1:14" s="25" customFormat="1">
      <c r="A1543" s="3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</row>
    <row r="1544" spans="1:14" s="25" customFormat="1">
      <c r="A1544" s="3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</row>
    <row r="1545" spans="1:14" s="25" customFormat="1">
      <c r="A1545" s="3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</row>
    <row r="1546" spans="1:14" s="25" customFormat="1">
      <c r="A1546" s="3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</row>
    <row r="1547" spans="1:14" s="25" customFormat="1">
      <c r="A1547" s="3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</row>
    <row r="1548" spans="1:14" s="25" customFormat="1">
      <c r="A1548" s="3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</row>
    <row r="1549" spans="1:14" s="25" customFormat="1">
      <c r="A1549" s="3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</row>
    <row r="1550" spans="1:14" s="25" customFormat="1">
      <c r="A1550" s="3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</row>
    <row r="1551" spans="1:14" s="25" customFormat="1">
      <c r="A1551" s="3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</row>
    <row r="1552" spans="1:14" s="25" customFormat="1">
      <c r="A1552" s="3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</row>
    <row r="1553" spans="1:14" s="25" customFormat="1">
      <c r="A1553" s="3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</row>
    <row r="1554" spans="1:14" s="25" customFormat="1">
      <c r="A1554" s="3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</row>
    <row r="1555" spans="1:14" s="25" customFormat="1">
      <c r="A1555" s="3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</row>
    <row r="1556" spans="1:14" s="25" customFormat="1">
      <c r="A1556" s="3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</row>
    <row r="1557" spans="1:14" s="25" customFormat="1">
      <c r="A1557" s="3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</row>
    <row r="1558" spans="1:14" s="25" customFormat="1">
      <c r="A1558" s="3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</row>
    <row r="1559" spans="1:14" s="25" customFormat="1">
      <c r="A1559" s="3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</row>
    <row r="1560" spans="1:14" s="25" customFormat="1">
      <c r="A1560" s="3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</row>
    <row r="1561" spans="1:14" s="25" customFormat="1">
      <c r="A1561" s="3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</row>
    <row r="1562" spans="1:14" s="25" customFormat="1">
      <c r="A1562" s="3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</row>
    <row r="1563" spans="1:14" s="25" customFormat="1">
      <c r="A1563" s="3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</row>
    <row r="1564" spans="1:14" s="25" customFormat="1">
      <c r="A1564" s="3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</row>
    <row r="1565" spans="1:14" s="25" customFormat="1">
      <c r="A1565" s="3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</row>
    <row r="1566" spans="1:14" s="25" customFormat="1">
      <c r="A1566" s="3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</row>
    <row r="1567" spans="1:14" s="25" customFormat="1">
      <c r="A1567" s="3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</row>
    <row r="1568" spans="1:14" s="25" customFormat="1">
      <c r="A1568" s="3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</row>
    <row r="1569" spans="1:14" s="25" customFormat="1">
      <c r="A1569" s="3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</row>
    <row r="1570" spans="1:14" s="25" customFormat="1">
      <c r="A1570" s="3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</row>
    <row r="1571" spans="1:14" s="25" customFormat="1">
      <c r="A1571" s="3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</row>
    <row r="1572" spans="1:14" s="25" customFormat="1">
      <c r="A1572" s="3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</row>
    <row r="1573" spans="1:14" s="25" customFormat="1">
      <c r="A1573" s="3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</row>
    <row r="1574" spans="1:14" s="25" customFormat="1">
      <c r="A1574" s="3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</row>
    <row r="1575" spans="1:14" s="25" customFormat="1">
      <c r="A1575" s="3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</row>
    <row r="1576" spans="1:14" s="25" customFormat="1">
      <c r="A1576" s="3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</row>
    <row r="1577" spans="1:14" s="25" customFormat="1">
      <c r="A1577" s="3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</row>
    <row r="1578" spans="1:14" s="25" customFormat="1">
      <c r="A1578" s="3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</row>
    <row r="1579" spans="1:14" s="25" customFormat="1">
      <c r="A1579" s="3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</row>
    <row r="1580" spans="1:14" s="25" customFormat="1">
      <c r="A1580" s="3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</row>
    <row r="1581" spans="1:14" s="25" customFormat="1">
      <c r="A1581" s="3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</row>
    <row r="1582" spans="1:14" s="25" customFormat="1">
      <c r="A1582" s="3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</row>
    <row r="1583" spans="1:14" s="25" customFormat="1">
      <c r="A1583" s="3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</row>
    <row r="1584" spans="1:14" s="25" customFormat="1">
      <c r="A1584" s="3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</row>
    <row r="1585" spans="1:14" s="25" customFormat="1">
      <c r="A1585" s="3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</row>
    <row r="1586" spans="1:14" s="25" customFormat="1">
      <c r="A1586" s="3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</row>
    <row r="1587" spans="1:14" s="25" customFormat="1">
      <c r="A1587" s="3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</row>
    <row r="1588" spans="1:14" s="25" customFormat="1">
      <c r="A1588" s="3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</row>
    <row r="1589" spans="1:14" s="25" customFormat="1">
      <c r="A1589" s="3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</row>
    <row r="1590" spans="1:14" s="25" customFormat="1">
      <c r="A1590" s="3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</row>
    <row r="1591" spans="1:14" s="25" customFormat="1">
      <c r="A1591" s="3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</row>
    <row r="1592" spans="1:14" s="25" customFormat="1">
      <c r="A1592" s="3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</row>
    <row r="1593" spans="1:14" s="25" customFormat="1">
      <c r="A1593" s="3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</row>
    <row r="1594" spans="1:14" s="25" customFormat="1">
      <c r="A1594" s="3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</row>
    <row r="1595" spans="1:14" s="25" customFormat="1">
      <c r="A1595" s="3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</row>
    <row r="1596" spans="1:14" s="25" customFormat="1">
      <c r="A1596" s="3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</row>
    <row r="1597" spans="1:14" s="25" customFormat="1">
      <c r="A1597" s="3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</row>
    <row r="1598" spans="1:14" s="25" customFormat="1">
      <c r="A1598" s="3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</row>
    <row r="1599" spans="1:14" s="25" customFormat="1">
      <c r="A1599" s="3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</row>
    <row r="1600" spans="1:14" s="25" customFormat="1">
      <c r="A1600" s="3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</row>
    <row r="1601" spans="1:14" s="25" customFormat="1">
      <c r="A1601" s="3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</row>
    <row r="1602" spans="1:14" s="25" customFormat="1">
      <c r="A1602" s="3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</row>
    <row r="1603" spans="1:14" s="25" customFormat="1">
      <c r="A1603" s="3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</row>
    <row r="1604" spans="1:14" s="25" customFormat="1">
      <c r="A1604" s="3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</row>
    <row r="1605" spans="1:14" s="25" customFormat="1">
      <c r="A1605" s="3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</row>
    <row r="1606" spans="1:14" s="25" customFormat="1">
      <c r="A1606" s="3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</row>
    <row r="1607" spans="1:14" s="25" customFormat="1">
      <c r="A1607" s="3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</row>
    <row r="1608" spans="1:14" s="25" customFormat="1">
      <c r="A1608" s="3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</row>
    <row r="1609" spans="1:14" s="25" customFormat="1">
      <c r="A1609" s="3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</row>
    <row r="1610" spans="1:14" s="25" customFormat="1">
      <c r="A1610" s="3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</row>
    <row r="1611" spans="1:14" s="25" customFormat="1">
      <c r="A1611" s="3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</row>
    <row r="1612" spans="1:14" s="25" customFormat="1">
      <c r="A1612" s="3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</row>
    <row r="1613" spans="1:14" s="25" customFormat="1">
      <c r="A1613" s="3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</row>
    <row r="1614" spans="1:14" s="25" customFormat="1">
      <c r="A1614" s="3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</row>
    <row r="1615" spans="1:14" s="25" customFormat="1">
      <c r="A1615" s="3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</row>
    <row r="1616" spans="1:14" s="25" customFormat="1">
      <c r="A1616" s="3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</row>
    <row r="1617" spans="1:14" s="25" customFormat="1">
      <c r="A1617" s="3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</row>
    <row r="1618" spans="1:14" s="25" customFormat="1">
      <c r="A1618" s="3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</row>
    <row r="1619" spans="1:14" s="25" customFormat="1">
      <c r="A1619" s="3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</row>
    <row r="1620" spans="1:14" s="25" customFormat="1">
      <c r="A1620" s="3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</row>
    <row r="1621" spans="1:14" s="25" customFormat="1">
      <c r="A1621" s="3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</row>
    <row r="1622" spans="1:14" s="25" customFormat="1">
      <c r="A1622" s="3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</row>
    <row r="1623" spans="1:14" s="25" customFormat="1">
      <c r="A1623" s="3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</row>
    <row r="1624" spans="1:14" s="25" customFormat="1">
      <c r="A1624" s="3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</row>
    <row r="1625" spans="1:14" s="25" customFormat="1">
      <c r="A1625" s="3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</row>
    <row r="1626" spans="1:14" s="25" customFormat="1">
      <c r="A1626" s="3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</row>
    <row r="1627" spans="1:14" s="25" customFormat="1">
      <c r="A1627" s="3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</row>
    <row r="1628" spans="1:14" s="25" customFormat="1">
      <c r="A1628" s="3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</row>
    <row r="1629" spans="1:14" s="25" customFormat="1">
      <c r="A1629" s="3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</row>
    <row r="1630" spans="1:14" s="25" customFormat="1">
      <c r="A1630" s="3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</row>
    <row r="1631" spans="1:14" s="25" customFormat="1">
      <c r="A1631" s="3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</row>
    <row r="1632" spans="1:14" s="25" customFormat="1">
      <c r="A1632" s="3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</row>
    <row r="1633" spans="1:14" s="25" customFormat="1">
      <c r="A1633" s="3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</row>
    <row r="1634" spans="1:14" s="25" customFormat="1">
      <c r="A1634" s="3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</row>
    <row r="1635" spans="1:14" s="25" customFormat="1">
      <c r="A1635" s="3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</row>
    <row r="1636" spans="1:14" s="25" customFormat="1">
      <c r="A1636" s="3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</row>
    <row r="1637" spans="1:14" s="25" customFormat="1">
      <c r="A1637" s="3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</row>
    <row r="1638" spans="1:14" s="25" customFormat="1">
      <c r="A1638" s="3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</row>
    <row r="1639" spans="1:14" s="25" customFormat="1">
      <c r="A1639" s="3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</row>
    <row r="1640" spans="1:14" s="25" customFormat="1">
      <c r="A1640" s="3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</row>
    <row r="1641" spans="1:14" s="25" customFormat="1">
      <c r="A1641" s="3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</row>
    <row r="1642" spans="1:14" s="25" customFormat="1">
      <c r="A1642" s="3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</row>
    <row r="1643" spans="1:14" s="25" customFormat="1">
      <c r="A1643" s="3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</row>
    <row r="1644" spans="1:14" s="25" customFormat="1">
      <c r="A1644" s="3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</row>
    <row r="1645" spans="1:14" s="25" customFormat="1">
      <c r="A1645" s="3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</row>
    <row r="1646" spans="1:14" s="25" customFormat="1">
      <c r="A1646" s="3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</row>
    <row r="1647" spans="1:14" s="25" customFormat="1">
      <c r="A1647" s="3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</row>
    <row r="1648" spans="1:14" s="25" customFormat="1">
      <c r="A1648" s="3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</row>
    <row r="1649" spans="1:14" s="25" customFormat="1">
      <c r="A1649" s="3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</row>
    <row r="1650" spans="1:14" s="25" customFormat="1">
      <c r="A1650" s="3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</row>
    <row r="1651" spans="1:14" s="25" customFormat="1">
      <c r="A1651" s="3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</row>
    <row r="1652" spans="1:14" s="25" customFormat="1">
      <c r="A1652" s="3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</row>
    <row r="1653" spans="1:14" s="25" customFormat="1">
      <c r="A1653" s="3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</row>
    <row r="1654" spans="1:14" s="25" customFormat="1">
      <c r="A1654" s="3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</row>
    <row r="1655" spans="1:14" s="25" customFormat="1">
      <c r="A1655" s="3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</row>
    <row r="1656" spans="1:14" s="25" customFormat="1">
      <c r="A1656" s="3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</row>
    <row r="1657" spans="1:14" s="25" customFormat="1">
      <c r="A1657" s="3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</row>
    <row r="1658" spans="1:14" s="25" customFormat="1">
      <c r="A1658" s="3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</row>
    <row r="1659" spans="1:14" s="25" customFormat="1">
      <c r="A1659" s="3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</row>
    <row r="1660" spans="1:14" s="25" customFormat="1">
      <c r="A1660" s="3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</row>
    <row r="1661" spans="1:14" s="25" customFormat="1">
      <c r="A1661" s="3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</row>
    <row r="1662" spans="1:14" s="25" customFormat="1">
      <c r="A1662" s="3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</row>
    <row r="1663" spans="1:14" s="25" customFormat="1">
      <c r="A1663" s="3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</row>
    <row r="1664" spans="1:14" s="25" customFormat="1">
      <c r="A1664" s="3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</row>
    <row r="1665" spans="1:14" s="25" customFormat="1">
      <c r="A1665" s="3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</row>
    <row r="1666" spans="1:14" s="25" customFormat="1">
      <c r="A1666" s="3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</row>
    <row r="1667" spans="1:14" s="25" customFormat="1">
      <c r="A1667" s="3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</row>
    <row r="1668" spans="1:14" s="25" customFormat="1">
      <c r="A1668" s="3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</row>
    <row r="1669" spans="1:14" s="25" customFormat="1">
      <c r="A1669" s="3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</row>
    <row r="1670" spans="1:14" s="25" customFormat="1">
      <c r="A1670" s="3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</row>
    <row r="1671" spans="1:14" s="25" customFormat="1">
      <c r="A1671" s="3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</row>
    <row r="1672" spans="1:14" s="25" customFormat="1">
      <c r="A1672" s="3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</row>
    <row r="1673" spans="1:14" s="25" customFormat="1">
      <c r="A1673" s="3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</row>
    <row r="1674" spans="1:14" s="25" customFormat="1">
      <c r="A1674" s="3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</row>
    <row r="1675" spans="1:14" s="25" customFormat="1">
      <c r="A1675" s="3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</row>
    <row r="1676" spans="1:14" s="25" customFormat="1">
      <c r="A1676" s="3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</row>
    <row r="1677" spans="1:14" s="25" customFormat="1">
      <c r="A1677" s="3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</row>
    <row r="1678" spans="1:14" s="25" customFormat="1">
      <c r="A1678" s="3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</row>
    <row r="1679" spans="1:14" s="25" customFormat="1">
      <c r="A1679" s="3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</row>
    <row r="1680" spans="1:14" s="25" customFormat="1">
      <c r="A1680" s="3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</row>
    <row r="1681" spans="1:14" s="25" customFormat="1">
      <c r="A1681" s="3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</row>
    <row r="1682" spans="1:14" s="25" customFormat="1">
      <c r="A1682" s="3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</row>
    <row r="1683" spans="1:14" s="25" customFormat="1">
      <c r="A1683" s="3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</row>
    <row r="1684" spans="1:14" s="25" customFormat="1">
      <c r="A1684" s="3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</row>
    <row r="1685" spans="1:14" s="25" customFormat="1">
      <c r="A1685" s="3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</row>
    <row r="1686" spans="1:14" s="25" customFormat="1">
      <c r="A1686" s="3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</row>
    <row r="1687" spans="1:14" s="25" customFormat="1">
      <c r="A1687" s="3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</row>
    <row r="1688" spans="1:14" s="25" customFormat="1">
      <c r="A1688" s="3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</row>
    <row r="1689" spans="1:14" s="25" customFormat="1">
      <c r="A1689" s="3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</row>
    <row r="1690" spans="1:14" s="25" customFormat="1">
      <c r="A1690" s="3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</row>
    <row r="1691" spans="1:14" s="25" customFormat="1">
      <c r="A1691" s="3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</row>
    <row r="1692" spans="1:14" s="25" customFormat="1">
      <c r="A1692" s="3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</row>
    <row r="1693" spans="1:14" s="25" customFormat="1">
      <c r="A1693" s="3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</row>
    <row r="1694" spans="1:14" s="25" customFormat="1">
      <c r="A1694" s="3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</row>
    <row r="1695" spans="1:14" s="25" customFormat="1">
      <c r="A1695" s="3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</row>
    <row r="1696" spans="1:14" s="25" customFormat="1">
      <c r="A1696" s="3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</row>
    <row r="1697" spans="1:14" s="25" customFormat="1">
      <c r="A1697" s="3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</row>
    <row r="1698" spans="1:14" s="25" customFormat="1">
      <c r="A1698" s="3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</row>
    <row r="1699" spans="1:14" s="25" customFormat="1">
      <c r="A1699" s="3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</row>
    <row r="1700" spans="1:14" s="25" customFormat="1">
      <c r="A1700" s="3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</row>
    <row r="1701" spans="1:14" s="25" customFormat="1">
      <c r="A1701" s="3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</row>
    <row r="1702" spans="1:14" s="25" customFormat="1">
      <c r="A1702" s="3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</row>
    <row r="1703" spans="1:14" s="25" customFormat="1">
      <c r="A1703" s="3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</row>
    <row r="1704" spans="1:14" s="25" customFormat="1">
      <c r="A1704" s="3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</row>
    <row r="1705" spans="1:14" s="25" customFormat="1">
      <c r="A1705" s="3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</row>
    <row r="1706" spans="1:14" s="25" customFormat="1">
      <c r="A1706" s="3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</row>
    <row r="1707" spans="1:14" s="25" customFormat="1">
      <c r="A1707" s="3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</row>
    <row r="1708" spans="1:14" s="25" customFormat="1">
      <c r="A1708" s="3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</row>
    <row r="1709" spans="1:14" s="25" customFormat="1">
      <c r="A1709" s="3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</row>
    <row r="1710" spans="1:14" s="25" customFormat="1">
      <c r="A1710" s="3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</row>
    <row r="1711" spans="1:14" s="25" customFormat="1">
      <c r="A1711" s="3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</row>
    <row r="1712" spans="1:14" s="25" customFormat="1">
      <c r="A1712" s="3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</row>
    <row r="1713" spans="1:14" s="25" customFormat="1">
      <c r="A1713" s="3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</row>
    <row r="1714" spans="1:14" s="25" customFormat="1">
      <c r="A1714" s="3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</row>
    <row r="1715" spans="1:14" s="25" customFormat="1">
      <c r="A1715" s="3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</row>
    <row r="1716" spans="1:14" s="25" customFormat="1">
      <c r="A1716" s="3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</row>
    <row r="1717" spans="1:14" s="25" customFormat="1">
      <c r="A1717" s="3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</row>
    <row r="1718" spans="1:14" s="25" customFormat="1">
      <c r="A1718" s="3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</row>
    <row r="1719" spans="1:14" s="25" customFormat="1">
      <c r="A1719" s="3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</row>
    <row r="1720" spans="1:14" s="25" customFormat="1">
      <c r="A1720" s="3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</row>
    <row r="1721" spans="1:14" s="25" customFormat="1">
      <c r="A1721" s="3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</row>
    <row r="1722" spans="1:14" s="25" customFormat="1">
      <c r="A1722" s="3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</row>
    <row r="1723" spans="1:14" s="25" customFormat="1">
      <c r="A1723" s="3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</row>
    <row r="1724" spans="1:14" s="25" customFormat="1">
      <c r="A1724" s="3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</row>
    <row r="1725" spans="1:14" s="25" customFormat="1">
      <c r="A1725" s="3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</row>
    <row r="1726" spans="1:14" s="25" customFormat="1">
      <c r="A1726" s="3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</row>
    <row r="1727" spans="1:14" s="25" customFormat="1">
      <c r="A1727" s="3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</row>
    <row r="1728" spans="1:14" s="25" customFormat="1">
      <c r="A1728" s="3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</row>
    <row r="1729" spans="1:14" s="25" customFormat="1">
      <c r="A1729" s="3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</row>
    <row r="1730" spans="1:14" s="25" customFormat="1">
      <c r="A1730" s="3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</row>
    <row r="1731" spans="1:14" s="25" customFormat="1">
      <c r="A1731" s="3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</row>
    <row r="1732" spans="1:14" s="25" customFormat="1">
      <c r="A1732" s="3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</row>
    <row r="1733" spans="1:14" s="25" customFormat="1">
      <c r="A1733" s="3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</row>
    <row r="1734" spans="1:14" s="25" customFormat="1">
      <c r="A1734" s="3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</row>
    <row r="1735" spans="1:14" s="25" customFormat="1">
      <c r="A1735" s="3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</row>
    <row r="1736" spans="1:14" s="25" customFormat="1">
      <c r="A1736" s="3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</row>
    <row r="1737" spans="1:14" s="25" customFormat="1">
      <c r="A1737" s="3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</row>
    <row r="1738" spans="1:14" s="25" customFormat="1">
      <c r="A1738" s="3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</row>
    <row r="1739" spans="1:14" s="25" customFormat="1">
      <c r="A1739" s="3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</row>
    <row r="1740" spans="1:14" s="25" customFormat="1">
      <c r="A1740" s="3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</row>
    <row r="1741" spans="1:14" s="25" customFormat="1">
      <c r="A1741" s="3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</row>
    <row r="1742" spans="1:14" s="25" customFormat="1">
      <c r="A1742" s="3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</row>
    <row r="1743" spans="1:14" s="25" customFormat="1">
      <c r="A1743" s="3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</row>
    <row r="1744" spans="1:14" s="25" customFormat="1">
      <c r="A1744" s="3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</row>
    <row r="1745" spans="1:14" s="25" customFormat="1">
      <c r="A1745" s="3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</row>
    <row r="1746" spans="1:14" s="25" customFormat="1">
      <c r="A1746" s="3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</row>
    <row r="1747" spans="1:14" s="25" customFormat="1">
      <c r="A1747" s="3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</row>
    <row r="1748" spans="1:14" s="25" customFormat="1">
      <c r="A1748" s="3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</row>
    <row r="1749" spans="1:14" s="25" customFormat="1">
      <c r="A1749" s="3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</row>
    <row r="1750" spans="1:14" s="25" customFormat="1">
      <c r="A1750" s="3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</row>
    <row r="1751" spans="1:14" s="25" customFormat="1">
      <c r="A1751" s="3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</row>
    <row r="1752" spans="1:14" s="25" customFormat="1">
      <c r="A1752" s="3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</row>
    <row r="1753" spans="1:14" s="25" customFormat="1">
      <c r="A1753" s="3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</row>
    <row r="1754" spans="1:14" s="25" customFormat="1">
      <c r="A1754" s="3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</row>
    <row r="1755" spans="1:14" s="25" customFormat="1">
      <c r="A1755" s="3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</row>
    <row r="1756" spans="1:14" s="25" customFormat="1">
      <c r="A1756" s="3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</row>
    <row r="1757" spans="1:14" s="25" customFormat="1">
      <c r="A1757" s="3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</row>
    <row r="1758" spans="1:14" s="25" customFormat="1">
      <c r="A1758" s="3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</row>
    <row r="1759" spans="1:14" s="25" customFormat="1">
      <c r="A1759" s="3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</row>
    <row r="1760" spans="1:14" s="25" customFormat="1">
      <c r="A1760" s="3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</row>
    <row r="1761" spans="1:14" s="25" customFormat="1">
      <c r="A1761" s="3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</row>
    <row r="1762" spans="1:14" s="25" customFormat="1">
      <c r="A1762" s="3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</row>
    <row r="1763" spans="1:14" s="25" customFormat="1">
      <c r="A1763" s="3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</row>
    <row r="1764" spans="1:14" s="25" customFormat="1">
      <c r="A1764" s="3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</row>
    <row r="1765" spans="1:14" s="25" customFormat="1">
      <c r="A1765" s="3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</row>
    <row r="1766" spans="1:14" s="25" customFormat="1">
      <c r="A1766" s="3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</row>
    <row r="1767" spans="1:14" s="25" customFormat="1">
      <c r="A1767" s="3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</row>
    <row r="1768" spans="1:14" s="25" customFormat="1">
      <c r="A1768" s="3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</row>
    <row r="1769" spans="1:14" s="25" customFormat="1">
      <c r="A1769" s="3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</row>
    <row r="1770" spans="1:14" s="25" customFormat="1">
      <c r="A1770" s="3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</row>
    <row r="1771" spans="1:14" s="25" customFormat="1">
      <c r="A1771" s="3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</row>
    <row r="1772" spans="1:14" s="25" customFormat="1">
      <c r="A1772" s="3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</row>
    <row r="1773" spans="1:14" s="25" customFormat="1">
      <c r="A1773" s="3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</row>
    <row r="1774" spans="1:14" s="25" customFormat="1">
      <c r="A1774" s="3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</row>
    <row r="1775" spans="1:14" s="25" customFormat="1">
      <c r="A1775" s="3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</row>
    <row r="1776" spans="1:14" s="25" customFormat="1">
      <c r="A1776" s="3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</row>
    <row r="1777" spans="1:14" s="25" customFormat="1">
      <c r="A1777" s="3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</row>
    <row r="1778" spans="1:14" s="25" customFormat="1">
      <c r="A1778" s="3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</row>
    <row r="1779" spans="1:14" s="25" customFormat="1">
      <c r="A1779" s="3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</row>
    <row r="1780" spans="1:14" s="25" customFormat="1">
      <c r="A1780" s="3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</row>
    <row r="1781" spans="1:14" s="25" customFormat="1">
      <c r="A1781" s="3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</row>
    <row r="1782" spans="1:14" s="25" customFormat="1">
      <c r="A1782" s="3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</row>
    <row r="1783" spans="1:14" s="25" customFormat="1">
      <c r="A1783" s="3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</row>
    <row r="1784" spans="1:14" s="25" customFormat="1">
      <c r="A1784" s="3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</row>
    <row r="1785" spans="1:14" s="25" customFormat="1">
      <c r="A1785" s="3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</row>
    <row r="1786" spans="1:14" s="25" customFormat="1">
      <c r="A1786" s="3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</row>
    <row r="1787" spans="1:14" s="25" customFormat="1">
      <c r="A1787" s="3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</row>
    <row r="1788" spans="1:14" s="25" customFormat="1">
      <c r="A1788" s="3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</row>
    <row r="1789" spans="1:14" s="25" customFormat="1">
      <c r="A1789" s="3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</row>
    <row r="1790" spans="1:14" s="25" customFormat="1">
      <c r="A1790" s="3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</row>
    <row r="1791" spans="1:14" s="25" customFormat="1">
      <c r="A1791" s="3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</row>
    <row r="1792" spans="1:14" s="25" customFormat="1">
      <c r="A1792" s="3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</row>
    <row r="1793" spans="1:14" s="25" customFormat="1">
      <c r="A1793" s="3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</row>
    <row r="1794" spans="1:14" s="25" customFormat="1">
      <c r="A1794" s="3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</row>
    <row r="1795" spans="1:14" s="25" customFormat="1">
      <c r="A1795" s="3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</row>
    <row r="1796" spans="1:14" s="25" customFormat="1">
      <c r="A1796" s="3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</row>
    <row r="1797" spans="1:14" s="25" customFormat="1">
      <c r="A1797" s="3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</row>
    <row r="1798" spans="1:14" s="25" customFormat="1">
      <c r="A1798" s="3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</row>
    <row r="1799" spans="1:14" s="25" customFormat="1">
      <c r="A1799" s="3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</row>
    <row r="1800" spans="1:14" s="25" customFormat="1">
      <c r="A1800" s="3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</row>
    <row r="1801" spans="1:14" s="25" customFormat="1">
      <c r="A1801" s="3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</row>
    <row r="1802" spans="1:14" s="25" customFormat="1">
      <c r="A1802" s="3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</row>
    <row r="1803" spans="1:14" s="25" customFormat="1">
      <c r="A1803" s="3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</row>
    <row r="1804" spans="1:14" s="25" customFormat="1">
      <c r="A1804" s="3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</row>
    <row r="1805" spans="1:14" s="25" customFormat="1">
      <c r="A1805" s="3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</row>
    <row r="1806" spans="1:14" s="25" customFormat="1">
      <c r="A1806" s="3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</row>
    <row r="1807" spans="1:14" s="25" customFormat="1">
      <c r="A1807" s="3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</row>
    <row r="1808" spans="1:14" s="25" customFormat="1">
      <c r="A1808" s="3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</row>
    <row r="1809" spans="1:14" s="25" customFormat="1">
      <c r="A1809" s="3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</row>
    <row r="1810" spans="1:14" s="25" customFormat="1">
      <c r="A1810" s="3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</row>
    <row r="1811" spans="1:14" s="25" customFormat="1">
      <c r="A1811" s="3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</row>
    <row r="1812" spans="1:14" s="25" customFormat="1">
      <c r="A1812" s="3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</row>
    <row r="1813" spans="1:14" s="25" customFormat="1">
      <c r="A1813" s="3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</row>
    <row r="1814" spans="1:14" s="25" customFormat="1">
      <c r="A1814" s="3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</row>
    <row r="1815" spans="1:14" s="25" customFormat="1">
      <c r="A1815" s="3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</row>
    <row r="1816" spans="1:14" s="25" customFormat="1">
      <c r="A1816" s="3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</row>
    <row r="1817" spans="1:14" s="25" customFormat="1">
      <c r="A1817" s="3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</row>
    <row r="1818" spans="1:14" s="25" customFormat="1">
      <c r="A1818" s="3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</row>
    <row r="1819" spans="1:14" s="25" customFormat="1">
      <c r="A1819" s="3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</row>
    <row r="1820" spans="1:14" s="25" customFormat="1">
      <c r="A1820" s="3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</row>
    <row r="1821" spans="1:14" s="25" customFormat="1">
      <c r="A1821" s="3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</row>
    <row r="1822" spans="1:14" s="25" customFormat="1">
      <c r="A1822" s="3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</row>
    <row r="1823" spans="1:14" s="25" customFormat="1">
      <c r="A1823" s="3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</row>
    <row r="1824" spans="1:14" s="25" customFormat="1">
      <c r="A1824" s="3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</row>
    <row r="1825" spans="1:14" s="25" customFormat="1">
      <c r="A1825" s="3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</row>
    <row r="1826" spans="1:14" s="25" customFormat="1">
      <c r="A1826" s="3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</row>
    <row r="1827" spans="1:14" s="25" customFormat="1">
      <c r="A1827" s="3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</row>
    <row r="1828" spans="1:14" s="25" customFormat="1">
      <c r="A1828" s="3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</row>
    <row r="1829" spans="1:14" s="25" customFormat="1">
      <c r="A1829" s="3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</row>
    <row r="1830" spans="1:14" s="25" customFormat="1">
      <c r="A1830" s="3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</row>
    <row r="1831" spans="1:14" s="25" customFormat="1">
      <c r="A1831" s="3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</row>
    <row r="1832" spans="1:14" s="25" customFormat="1">
      <c r="A1832" s="3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</row>
    <row r="1833" spans="1:14" s="25" customFormat="1">
      <c r="A1833" s="3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</row>
    <row r="1834" spans="1:14" s="25" customFormat="1">
      <c r="A1834" s="3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</row>
    <row r="1835" spans="1:14" s="25" customFormat="1">
      <c r="A1835" s="3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</row>
    <row r="1836" spans="1:14" s="25" customFormat="1">
      <c r="A1836" s="3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</row>
    <row r="1837" spans="1:14" s="25" customFormat="1">
      <c r="A1837" s="3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</row>
    <row r="1838" spans="1:14" s="25" customFormat="1">
      <c r="A1838" s="3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</row>
    <row r="1839" spans="1:14" s="25" customFormat="1">
      <c r="A1839" s="3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</row>
    <row r="1840" spans="1:14" s="25" customFormat="1">
      <c r="A1840" s="3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</row>
    <row r="1841" spans="1:14" s="25" customFormat="1">
      <c r="A1841" s="3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</row>
    <row r="1842" spans="1:14" s="25" customFormat="1">
      <c r="A1842" s="3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</row>
    <row r="1843" spans="1:14" s="25" customFormat="1">
      <c r="A1843" s="3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</row>
    <row r="1844" spans="1:14" s="25" customFormat="1">
      <c r="A1844" s="3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</row>
    <row r="1845" spans="1:14" s="25" customFormat="1">
      <c r="A1845" s="3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</row>
    <row r="1846" spans="1:14" s="25" customFormat="1">
      <c r="A1846" s="3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</row>
    <row r="1847" spans="1:14" s="25" customFormat="1">
      <c r="A1847" s="3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</row>
    <row r="1848" spans="1:14" s="25" customFormat="1">
      <c r="A1848" s="3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</row>
    <row r="1849" spans="1:14" s="25" customFormat="1">
      <c r="A1849" s="3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</row>
    <row r="1850" spans="1:14" s="25" customFormat="1">
      <c r="A1850" s="3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</row>
    <row r="1851" spans="1:14" s="25" customFormat="1">
      <c r="A1851" s="3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</row>
    <row r="1852" spans="1:14" s="25" customFormat="1">
      <c r="A1852" s="3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</row>
    <row r="1853" spans="1:14" s="25" customFormat="1">
      <c r="A1853" s="3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</row>
    <row r="1854" spans="1:14" s="25" customFormat="1">
      <c r="A1854" s="3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</row>
    <row r="1855" spans="1:14" s="25" customFormat="1">
      <c r="A1855" s="3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</row>
    <row r="1856" spans="1:14" s="25" customFormat="1">
      <c r="A1856" s="3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</row>
    <row r="1857" spans="1:14" s="25" customFormat="1">
      <c r="A1857" s="3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</row>
    <row r="1858" spans="1:14" s="25" customFormat="1">
      <c r="A1858" s="3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</row>
    <row r="1859" spans="1:14" s="25" customFormat="1">
      <c r="A1859" s="3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</row>
    <row r="1860" spans="1:14" s="25" customFormat="1">
      <c r="A1860" s="3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</row>
    <row r="1861" spans="1:14" s="25" customFormat="1">
      <c r="A1861" s="3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</row>
    <row r="1862" spans="1:14" s="25" customFormat="1">
      <c r="A1862" s="3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</row>
    <row r="1863" spans="1:14" s="25" customFormat="1">
      <c r="A1863" s="3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</row>
    <row r="1864" spans="1:14" s="25" customFormat="1">
      <c r="A1864" s="3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</row>
    <row r="1865" spans="1:14" s="25" customFormat="1">
      <c r="A1865" s="3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</row>
    <row r="1866" spans="1:14" s="25" customFormat="1">
      <c r="A1866" s="3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</row>
    <row r="1867" spans="1:14" s="25" customFormat="1">
      <c r="A1867" s="3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</row>
    <row r="1868" spans="1:14" s="25" customFormat="1">
      <c r="A1868" s="3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</row>
    <row r="1869" spans="1:14" s="25" customFormat="1">
      <c r="A1869" s="3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</row>
    <row r="1870" spans="1:14" s="25" customFormat="1">
      <c r="A1870" s="3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</row>
    <row r="1871" spans="1:14" s="25" customFormat="1">
      <c r="A1871" s="3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</row>
    <row r="1872" spans="1:14" s="25" customFormat="1">
      <c r="A1872" s="3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</row>
    <row r="1873" spans="1:14" s="25" customFormat="1">
      <c r="A1873" s="3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</row>
    <row r="1874" spans="1:14" s="25" customFormat="1">
      <c r="A1874" s="3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</row>
    <row r="1875" spans="1:14" s="25" customFormat="1">
      <c r="A1875" s="3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</row>
    <row r="1876" spans="1:14" s="25" customFormat="1">
      <c r="A1876" s="3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</row>
    <row r="1877" spans="1:14" s="25" customFormat="1">
      <c r="A1877" s="3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</row>
    <row r="1878" spans="1:14" s="25" customFormat="1">
      <c r="A1878" s="3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</row>
    <row r="1879" spans="1:14" s="25" customFormat="1">
      <c r="A1879" s="3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</row>
    <row r="1880" spans="1:14" s="25" customFormat="1">
      <c r="A1880" s="3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</row>
    <row r="1881" spans="1:14" s="25" customFormat="1">
      <c r="A1881" s="3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</row>
    <row r="1882" spans="1:14" s="25" customFormat="1">
      <c r="A1882" s="3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</row>
    <row r="1883" spans="1:14" s="25" customFormat="1">
      <c r="A1883" s="3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</row>
    <row r="1884" spans="1:14" s="25" customFormat="1">
      <c r="A1884" s="3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</row>
    <row r="1885" spans="1:14" s="25" customFormat="1">
      <c r="A1885" s="3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</row>
    <row r="1886" spans="1:14" s="25" customFormat="1">
      <c r="A1886" s="3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</row>
    <row r="1887" spans="1:14" s="25" customFormat="1">
      <c r="A1887" s="3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</row>
    <row r="1888" spans="1:14" s="25" customFormat="1">
      <c r="A1888" s="3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</row>
    <row r="1889" spans="1:14" s="25" customFormat="1">
      <c r="A1889" s="3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</row>
    <row r="1890" spans="1:14" s="25" customFormat="1">
      <c r="A1890" s="3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</row>
    <row r="1891" spans="1:14" s="25" customFormat="1">
      <c r="A1891" s="3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</row>
    <row r="1892" spans="1:14" s="25" customFormat="1">
      <c r="A1892" s="3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</row>
    <row r="1893" spans="1:14" s="25" customFormat="1">
      <c r="A1893" s="3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</row>
    <row r="1894" spans="1:14" s="25" customFormat="1">
      <c r="A1894" s="3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</row>
    <row r="1895" spans="1:14" s="25" customFormat="1">
      <c r="A1895" s="3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</row>
    <row r="1896" spans="1:14" s="25" customFormat="1">
      <c r="A1896" s="3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</row>
    <row r="1897" spans="1:14" s="25" customFormat="1">
      <c r="A1897" s="3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</row>
    <row r="1898" spans="1:14" s="25" customFormat="1">
      <c r="A1898" s="3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</row>
    <row r="1899" spans="1:14" s="25" customFormat="1">
      <c r="A1899" s="3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</row>
    <row r="1900" spans="1:14" s="25" customFormat="1">
      <c r="A1900" s="3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</row>
    <row r="1901" spans="1:14" s="25" customFormat="1">
      <c r="A1901" s="3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</row>
    <row r="1902" spans="1:14" s="25" customFormat="1">
      <c r="A1902" s="3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</row>
    <row r="1903" spans="1:14" s="25" customFormat="1">
      <c r="A1903" s="3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</row>
    <row r="1904" spans="1:14" s="25" customFormat="1">
      <c r="A1904" s="3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</row>
  </sheetData>
  <customSheetViews>
    <customSheetView guid="{DBA7BBC1-C371-11D3-BF15-005004F2CA52}" scale="75" fitToPage="1" showRuler="0" topLeftCell="A30">
      <pageMargins left="0.5" right="0.5" top="0.71" bottom="0.77" header="0.5" footer="0.5"/>
      <printOptions horizontalCentered="1"/>
      <pageSetup scale="83" firstPageNumber="3" orientation="portrait" horizontalDpi="4294967292" verticalDpi="4294967292" r:id="rId1"/>
      <headerFooter alignWithMargins="0">
        <oddFooter>&amp;Lkwpierce&amp;C7/31/96&amp;R&amp;F, Rev.1_x000D_Page &amp;P</oddFooter>
      </headerFooter>
    </customSheetView>
  </customSheetViews>
  <mergeCells count="2">
    <mergeCell ref="A1:I2"/>
    <mergeCell ref="J28:K28"/>
  </mergeCells>
  <printOptions horizontalCentered="1"/>
  <pageMargins left="0.75" right="0.75" top="1" bottom="1" header="0.5" footer="0.5"/>
  <pageSetup scale="80" firstPageNumber="3" orientation="landscape" horizontalDpi="4294967292" verticalDpi="4294967292" r:id="rId2"/>
  <headerFooter alignWithMargins="0">
    <oddFooter>&amp;LRichard Bickings
&amp;D&amp;CPage &amp;P&amp;R&amp;F
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348"/>
  <sheetViews>
    <sheetView showGridLines="0" topLeftCell="A8" zoomScale="85" workbookViewId="0">
      <selection activeCell="C50" sqref="C50"/>
    </sheetView>
  </sheetViews>
  <sheetFormatPr defaultRowHeight="12.75"/>
  <cols>
    <col min="1" max="1" width="7.140625" style="3" customWidth="1"/>
    <col min="2" max="2" width="39.28515625" style="3" customWidth="1"/>
    <col min="3" max="3" width="18.7109375" style="3" customWidth="1"/>
    <col min="4" max="4" width="12" style="3" customWidth="1"/>
    <col min="5" max="5" width="9.140625" style="3"/>
    <col min="6" max="16384" width="9.140625" style="2"/>
  </cols>
  <sheetData>
    <row r="1" spans="1:37" ht="18" customHeight="1">
      <c r="A1" s="899" t="str">
        <f>Scope!$A$1</f>
        <v>AES Corp, Dallas, TX (640 MW)</v>
      </c>
      <c r="B1" s="892"/>
      <c r="C1" s="892"/>
      <c r="D1" s="892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37" ht="18" customHeight="1">
      <c r="A2" s="892"/>
      <c r="B2" s="892"/>
      <c r="C2" s="892"/>
      <c r="D2" s="892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37" ht="15.75">
      <c r="A3" s="24" t="s">
        <v>1133</v>
      </c>
      <c r="B3" s="39"/>
      <c r="C3" s="39"/>
      <c r="D3" s="39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spans="1:37" ht="13.5" thickBo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ht="13.5" thickBot="1">
      <c r="A5" s="40"/>
      <c r="B5" s="41"/>
      <c r="C5" s="106"/>
      <c r="D5" s="42" t="s">
        <v>578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>
      <c r="A6"/>
      <c r="B6" s="16"/>
      <c r="C6" s="103"/>
      <c r="D6" s="28"/>
      <c r="E6" s="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>
      <c r="A7" s="32" t="s">
        <v>74</v>
      </c>
      <c r="B7" s="16"/>
      <c r="C7" s="103"/>
      <c r="D7" s="15">
        <f>Mob_Backup!H15</f>
        <v>33679</v>
      </c>
      <c r="E7" s="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>
      <c r="A8" s="32"/>
      <c r="B8" s="16"/>
      <c r="C8" s="103"/>
      <c r="D8" s="29"/>
      <c r="E8" s="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>
      <c r="A9" s="30" t="s">
        <v>75</v>
      </c>
      <c r="B9" s="16"/>
      <c r="C9" s="103"/>
      <c r="D9" s="15">
        <f>Mob_Backup!H21</f>
        <v>517680.91449999996</v>
      </c>
      <c r="E9" s="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>
      <c r="A10" s="32"/>
      <c r="B10" s="16"/>
      <c r="C10" s="103"/>
      <c r="D10" s="29"/>
      <c r="E10" s="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>
      <c r="A11" s="32" t="s">
        <v>582</v>
      </c>
      <c r="B11" s="16"/>
      <c r="C11" s="103"/>
      <c r="D11" s="29"/>
      <c r="E11" s="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>
      <c r="A12" s="5"/>
      <c r="B12" s="16" t="s">
        <v>76</v>
      </c>
      <c r="C12" s="104"/>
      <c r="D12" s="15">
        <f>Mob_Backup!H27</f>
        <v>6000</v>
      </c>
      <c r="E12" s="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>
      <c r="A13" s="5"/>
      <c r="B13" s="16" t="s">
        <v>77</v>
      </c>
      <c r="C13" s="104"/>
      <c r="D13" s="15">
        <f>Mob_Backup!H34</f>
        <v>10500</v>
      </c>
      <c r="E13" s="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>
      <c r="A14" s="5"/>
      <c r="B14" s="16" t="s">
        <v>78</v>
      </c>
      <c r="C14" s="104"/>
      <c r="D14" s="15">
        <f>Mob_Backup!H42</f>
        <v>21750</v>
      </c>
      <c r="E14" s="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>
      <c r="A15" s="5"/>
      <c r="B15" s="16" t="s">
        <v>79</v>
      </c>
      <c r="C15" s="104"/>
      <c r="D15" s="15">
        <f>Mob_Backup!H67</f>
        <v>47250</v>
      </c>
      <c r="E15" s="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>
      <c r="A16" s="5"/>
      <c r="B16" s="16" t="s">
        <v>80</v>
      </c>
      <c r="C16" s="104"/>
      <c r="D16" s="15">
        <f>Mob_Backup!H78</f>
        <v>8635.7142857142862</v>
      </c>
      <c r="E16" s="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1:37">
      <c r="A17" s="5"/>
      <c r="B17" s="16" t="s">
        <v>81</v>
      </c>
      <c r="C17" s="104"/>
      <c r="D17" s="15">
        <f>Mob_Backup!H84</f>
        <v>6300</v>
      </c>
      <c r="E17" s="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1:37">
      <c r="A18" s="5"/>
      <c r="B18" s="16" t="s">
        <v>82</v>
      </c>
      <c r="C18" s="104"/>
      <c r="D18" s="15">
        <f>Mob_Backup!H92</f>
        <v>2800</v>
      </c>
      <c r="E18" s="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1:37">
      <c r="A19" s="5"/>
      <c r="B19" s="16" t="s">
        <v>83</v>
      </c>
      <c r="C19" s="104"/>
      <c r="D19" s="15">
        <f>Mob_Backup!H109</f>
        <v>156579.99999999997</v>
      </c>
      <c r="E19" s="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1:37">
      <c r="A20" s="5"/>
      <c r="B20" s="16" t="s">
        <v>84</v>
      </c>
      <c r="C20" s="104"/>
      <c r="D20" s="15">
        <f>Mob_Backup!H129</f>
        <v>61150</v>
      </c>
      <c r="E20" s="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1:37">
      <c r="A21" s="5"/>
      <c r="B21" s="16" t="s">
        <v>85</v>
      </c>
      <c r="C21" s="104"/>
      <c r="D21" s="15">
        <f>Mob_Backup!H132</f>
        <v>0</v>
      </c>
      <c r="E21" s="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1:37">
      <c r="A22" s="5"/>
      <c r="B22" s="54" t="s">
        <v>86</v>
      </c>
      <c r="C22" s="104"/>
      <c r="D22" s="15">
        <f>Mob_Backup!H136</f>
        <v>5000</v>
      </c>
      <c r="E22" s="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1:37">
      <c r="A23" s="5"/>
      <c r="B23" s="54" t="s">
        <v>87</v>
      </c>
      <c r="C23" s="104"/>
      <c r="D23" s="15">
        <f>Mob_Backup!H143</f>
        <v>15250</v>
      </c>
      <c r="E23" s="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1:37">
      <c r="A24" s="5"/>
      <c r="B24" s="16"/>
      <c r="C24" s="104"/>
      <c r="D24" s="29"/>
      <c r="E24" s="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spans="1:37">
      <c r="A25" s="5"/>
      <c r="B25" s="30" t="s">
        <v>88</v>
      </c>
      <c r="C25" s="105"/>
      <c r="D25" s="15">
        <f>SUBTOTAL(9,D12:D24)</f>
        <v>341215.71428571426</v>
      </c>
      <c r="E25" s="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</row>
    <row r="26" spans="1:37">
      <c r="A26" s="5"/>
      <c r="B26" s="16"/>
      <c r="C26" s="104"/>
      <c r="D26" s="29"/>
      <c r="E26" s="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</row>
    <row r="27" spans="1:37">
      <c r="A27" s="5"/>
      <c r="B27" s="16"/>
      <c r="C27" s="104"/>
      <c r="D27" s="29"/>
      <c r="E27" s="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</row>
    <row r="28" spans="1:37">
      <c r="A28" s="32" t="s">
        <v>583</v>
      </c>
      <c r="B28" s="16"/>
      <c r="C28" s="104"/>
      <c r="D28" s="29"/>
      <c r="E28" s="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spans="1:37">
      <c r="A29" s="5"/>
      <c r="B29" s="16" t="s">
        <v>89</v>
      </c>
      <c r="C29" s="104"/>
      <c r="D29" s="15">
        <f>Mob_Backup!H179</f>
        <v>89092.5</v>
      </c>
      <c r="E29" s="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</row>
    <row r="30" spans="1:37">
      <c r="A30" s="5"/>
      <c r="B30" s="16" t="s">
        <v>90</v>
      </c>
      <c r="C30" s="104"/>
      <c r="D30" s="15">
        <f>Mob_Backup!H193</f>
        <v>21420</v>
      </c>
      <c r="E30" s="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spans="1:37">
      <c r="A31" s="5"/>
      <c r="B31" s="16" t="s">
        <v>92</v>
      </c>
      <c r="C31" s="104"/>
      <c r="D31" s="15">
        <f>Mob_Backup!H213</f>
        <v>13210</v>
      </c>
      <c r="E31" s="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  <row r="32" spans="1:37">
      <c r="A32" s="5"/>
      <c r="B32" s="16" t="s">
        <v>93</v>
      </c>
      <c r="C32" s="104"/>
      <c r="D32" s="15">
        <f>Mob_Backup!H221</f>
        <v>12075</v>
      </c>
      <c r="E32" s="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</row>
    <row r="33" spans="1:37">
      <c r="A33" s="5"/>
      <c r="B33" s="16" t="s">
        <v>94</v>
      </c>
      <c r="C33" s="104"/>
      <c r="D33" s="15">
        <f>Mob_Backup!H229</f>
        <v>6300</v>
      </c>
      <c r="E33" s="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</row>
    <row r="34" spans="1:37">
      <c r="A34" s="5"/>
      <c r="B34" s="16" t="s">
        <v>95</v>
      </c>
      <c r="C34" s="104"/>
      <c r="D34" s="15">
        <f>Mob_Backup!H279</f>
        <v>68097.75</v>
      </c>
      <c r="E34" s="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spans="1:37">
      <c r="A35" s="5"/>
      <c r="B35" s="16" t="s">
        <v>96</v>
      </c>
      <c r="C35" s="104"/>
      <c r="D35" s="15">
        <f>Mob_Backup!H285</f>
        <v>50359.972919563101</v>
      </c>
      <c r="E35" s="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</row>
    <row r="36" spans="1:37">
      <c r="A36" s="5"/>
      <c r="B36" s="16"/>
      <c r="C36" s="104"/>
      <c r="D36" s="29"/>
      <c r="E36" s="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</row>
    <row r="37" spans="1:37">
      <c r="A37" s="5"/>
      <c r="B37" s="30" t="s">
        <v>185</v>
      </c>
      <c r="C37" s="105"/>
      <c r="D37" s="15">
        <f>SUBTOTAL(9,D28:D36)</f>
        <v>260555.22291956309</v>
      </c>
      <c r="E37" s="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</row>
    <row r="38" spans="1:37">
      <c r="A38" s="5"/>
      <c r="B38" s="16"/>
      <c r="C38" s="104"/>
      <c r="D38" s="29"/>
      <c r="E38" s="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</row>
    <row r="39" spans="1:37" ht="13.5" thickBot="1">
      <c r="A39" s="32" t="s">
        <v>584</v>
      </c>
      <c r="B39" s="16"/>
      <c r="C39" s="104"/>
      <c r="D39" s="31">
        <f>D37+D25+D9+D7</f>
        <v>1153130.8517052773</v>
      </c>
      <c r="E39" s="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>
      <c r="A40" s="32"/>
      <c r="B40" s="16"/>
      <c r="C40" s="103"/>
      <c r="D40" s="23"/>
      <c r="E40" s="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>
      <c r="A41" s="2"/>
      <c r="B41" s="2"/>
      <c r="C41" s="2"/>
      <c r="D41" s="2"/>
      <c r="E41" s="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2" spans="1:37">
      <c r="A42" s="156"/>
      <c r="B42" s="5"/>
      <c r="C42" s="5"/>
      <c r="D42" s="23"/>
      <c r="E42" s="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</row>
    <row r="43" spans="1:37" ht="13.5" thickBot="1">
      <c r="A43" s="5"/>
      <c r="B43" s="5"/>
      <c r="C43" s="5"/>
      <c r="D43" s="5"/>
      <c r="E43" s="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</row>
    <row r="44" spans="1:37" ht="13.5" thickBot="1">
      <c r="A44" s="32" t="s">
        <v>1454</v>
      </c>
      <c r="B44" s="5"/>
      <c r="C44" s="104"/>
      <c r="D44" s="17">
        <f>Mob_Backup!H311</f>
        <v>9657148.0500000007</v>
      </c>
      <c r="E44" s="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</row>
    <row r="45" spans="1:37">
      <c r="A45" s="32"/>
      <c r="B45" s="5"/>
      <c r="C45" s="103"/>
      <c r="D45" s="23"/>
      <c r="E45" s="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</row>
    <row r="46" spans="1:37" ht="13.5" thickBot="1">
      <c r="A46" s="5"/>
      <c r="B46" s="5"/>
      <c r="C46" s="5"/>
      <c r="D46" s="5"/>
      <c r="E46" s="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</row>
    <row r="47" spans="1:37" ht="13.5" thickBot="1">
      <c r="A47" s="32" t="s">
        <v>187</v>
      </c>
      <c r="B47" s="5"/>
      <c r="C47" s="5"/>
      <c r="D47" s="138">
        <f>ROUND(Mob_Backup!H291*(Mob_Estimate!D39),-4)</f>
        <v>120000</v>
      </c>
      <c r="E47" s="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</row>
    <row r="48" spans="1:37" ht="13.5" hidden="1" thickBot="1">
      <c r="A48" s="30" t="s">
        <v>56</v>
      </c>
      <c r="B48" s="5"/>
      <c r="C48" s="5"/>
      <c r="D48" s="188">
        <f>ROUND(Mob_Backup!H297*Mob_Estimate!D9,-4)</f>
        <v>0</v>
      </c>
      <c r="E48" s="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</row>
    <row r="49" spans="1:37">
      <c r="A49" s="5"/>
      <c r="B49" s="5"/>
      <c r="C49" s="5"/>
      <c r="D49" s="5"/>
      <c r="E49" s="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1:37">
      <c r="A50" s="5"/>
      <c r="B50" s="5"/>
      <c r="C50" s="5"/>
      <c r="D50" s="5"/>
      <c r="E50" s="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1:37">
      <c r="A51" s="5"/>
      <c r="B51" s="5"/>
      <c r="C51" s="5"/>
      <c r="D51" s="5"/>
      <c r="E51" s="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1:37">
      <c r="A52" s="5"/>
      <c r="B52" s="5"/>
      <c r="C52" s="5"/>
      <c r="D52" s="5"/>
      <c r="E52" s="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1:37">
      <c r="A53" s="5"/>
      <c r="B53" s="5"/>
      <c r="C53" s="5"/>
      <c r="D53" s="5"/>
      <c r="E53" s="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1:37">
      <c r="A54" s="5"/>
      <c r="B54" s="5"/>
      <c r="C54" s="5"/>
      <c r="D54" s="5"/>
      <c r="E54" s="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1:37">
      <c r="A55" s="5"/>
      <c r="B55" s="5"/>
      <c r="C55" s="5"/>
      <c r="D55" s="5"/>
      <c r="E55" s="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1:37">
      <c r="A56" s="5"/>
      <c r="B56" s="5"/>
      <c r="C56" s="5"/>
      <c r="D56" s="5"/>
      <c r="E56" s="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</row>
    <row r="57" spans="1:37">
      <c r="A57" s="5"/>
      <c r="B57" s="5"/>
      <c r="C57" s="5"/>
      <c r="D57" s="5"/>
      <c r="E57" s="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</row>
    <row r="58" spans="1:37">
      <c r="A58" s="5"/>
      <c r="B58" s="5"/>
      <c r="C58" s="5"/>
      <c r="D58" s="5"/>
      <c r="E58" s="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</row>
    <row r="59" spans="1:37">
      <c r="A59" s="5"/>
      <c r="B59" s="5"/>
      <c r="C59" s="5"/>
      <c r="D59" s="5"/>
      <c r="E59" s="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</row>
    <row r="60" spans="1:37">
      <c r="A60" s="5"/>
      <c r="B60" s="5"/>
      <c r="C60" s="5"/>
      <c r="D60" s="5"/>
      <c r="E60" s="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spans="1:37">
      <c r="A61" s="5"/>
      <c r="B61" s="5"/>
      <c r="C61" s="5"/>
      <c r="D61" s="5"/>
      <c r="E61" s="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</row>
    <row r="62" spans="1:37">
      <c r="A62" s="5"/>
      <c r="B62" s="5"/>
      <c r="C62" s="5"/>
      <c r="D62" s="5"/>
      <c r="E62" s="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</row>
    <row r="63" spans="1:37">
      <c r="A63" s="5"/>
      <c r="B63" s="5"/>
      <c r="C63" s="5"/>
      <c r="D63" s="5"/>
      <c r="E63" s="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</row>
    <row r="64" spans="1:37">
      <c r="A64" s="5"/>
      <c r="B64" s="5"/>
      <c r="C64" s="5"/>
      <c r="D64" s="5"/>
      <c r="E64" s="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</row>
    <row r="65" spans="1:37">
      <c r="A65" s="5"/>
      <c r="B65" s="5"/>
      <c r="C65" s="5"/>
      <c r="D65" s="5"/>
      <c r="E65" s="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</row>
    <row r="66" spans="1:37">
      <c r="A66" s="5"/>
      <c r="B66" s="5"/>
      <c r="C66" s="5"/>
      <c r="D66" s="5"/>
      <c r="E66" s="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</row>
    <row r="67" spans="1:37">
      <c r="A67" s="5"/>
      <c r="B67" s="5"/>
      <c r="C67" s="5"/>
      <c r="D67" s="5"/>
      <c r="E67" s="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</row>
    <row r="68" spans="1:37">
      <c r="A68" s="5"/>
      <c r="B68" s="5"/>
      <c r="C68" s="5"/>
      <c r="D68" s="5"/>
      <c r="E68" s="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</row>
    <row r="69" spans="1:37">
      <c r="A69" s="5"/>
      <c r="B69" s="5"/>
      <c r="C69" s="5"/>
      <c r="D69" s="5"/>
      <c r="E69" s="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</row>
    <row r="70" spans="1:37">
      <c r="A70" s="5"/>
      <c r="B70" s="5"/>
      <c r="C70" s="5"/>
      <c r="D70" s="5"/>
      <c r="E70" s="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</row>
    <row r="71" spans="1:37">
      <c r="A71" s="5"/>
      <c r="B71" s="5"/>
      <c r="C71" s="5"/>
      <c r="D71" s="5"/>
      <c r="E71" s="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</row>
    <row r="72" spans="1:37">
      <c r="A72" s="5"/>
      <c r="B72" s="5"/>
      <c r="C72" s="5"/>
      <c r="D72" s="5"/>
      <c r="E72" s="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</row>
    <row r="73" spans="1:37">
      <c r="A73" s="5"/>
      <c r="B73" s="5"/>
      <c r="C73" s="5"/>
      <c r="D73" s="5"/>
      <c r="E73" s="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</row>
    <row r="74" spans="1:37">
      <c r="A74" s="5"/>
      <c r="B74" s="5"/>
      <c r="C74" s="5"/>
      <c r="D74" s="5"/>
      <c r="E74" s="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</row>
    <row r="75" spans="1:37">
      <c r="A75" s="5"/>
      <c r="B75" s="5"/>
      <c r="C75" s="5"/>
      <c r="D75" s="5"/>
      <c r="E75" s="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</row>
    <row r="76" spans="1:37">
      <c r="A76" s="5"/>
      <c r="B76" s="5"/>
      <c r="C76" s="5"/>
      <c r="D76" s="5"/>
      <c r="E76" s="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</row>
    <row r="77" spans="1:37">
      <c r="A77" s="5"/>
      <c r="B77" s="5"/>
      <c r="C77" s="5"/>
      <c r="D77" s="5"/>
      <c r="E77" s="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</row>
    <row r="78" spans="1:37">
      <c r="A78" s="5"/>
      <c r="B78" s="5"/>
      <c r="C78" s="5"/>
      <c r="D78" s="5"/>
      <c r="E78" s="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</row>
    <row r="79" spans="1:37">
      <c r="A79" s="5"/>
      <c r="B79" s="5"/>
      <c r="C79" s="5"/>
      <c r="D79" s="5"/>
      <c r="E79" s="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</row>
    <row r="80" spans="1:37">
      <c r="A80" s="5"/>
      <c r="B80" s="5"/>
      <c r="C80" s="5"/>
      <c r="D80" s="5"/>
      <c r="E80" s="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</row>
    <row r="81" spans="1:37">
      <c r="A81" s="5"/>
      <c r="B81" s="5"/>
      <c r="C81" s="5"/>
      <c r="D81" s="5"/>
      <c r="E81" s="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</row>
    <row r="82" spans="1:37">
      <c r="A82" s="5"/>
      <c r="B82" s="5"/>
      <c r="C82" s="5"/>
      <c r="D82" s="5"/>
      <c r="E82" s="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</row>
    <row r="83" spans="1:37">
      <c r="A83" s="5"/>
      <c r="B83" s="5"/>
      <c r="C83" s="5"/>
      <c r="D83" s="5"/>
      <c r="E83" s="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</row>
    <row r="84" spans="1:37">
      <c r="A84" s="5"/>
      <c r="B84" s="5"/>
      <c r="C84" s="5"/>
      <c r="D84" s="5"/>
      <c r="E84" s="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</row>
    <row r="85" spans="1:37">
      <c r="A85" s="5"/>
      <c r="B85" s="5"/>
      <c r="C85" s="5"/>
      <c r="D85" s="5"/>
      <c r="E85" s="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</row>
    <row r="86" spans="1:37">
      <c r="A86" s="5"/>
      <c r="B86" s="5"/>
      <c r="C86" s="5"/>
      <c r="D86" s="5"/>
      <c r="E86" s="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</row>
    <row r="87" spans="1:37">
      <c r="A87" s="5"/>
      <c r="B87" s="5"/>
      <c r="C87" s="5"/>
      <c r="D87" s="5"/>
      <c r="E87" s="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spans="1:37">
      <c r="A88" s="5"/>
      <c r="B88" s="5"/>
      <c r="C88" s="5"/>
      <c r="D88" s="5"/>
      <c r="E88" s="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</row>
    <row r="89" spans="1:37">
      <c r="A89" s="5"/>
      <c r="B89" s="5"/>
      <c r="C89" s="5"/>
      <c r="D89" s="5"/>
      <c r="E89" s="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</row>
    <row r="90" spans="1:37">
      <c r="A90" s="5"/>
      <c r="B90" s="5"/>
      <c r="C90" s="5"/>
      <c r="D90" s="5"/>
      <c r="E90" s="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</row>
    <row r="91" spans="1:37">
      <c r="A91" s="5"/>
      <c r="B91" s="5"/>
      <c r="C91" s="5"/>
      <c r="D91" s="5"/>
      <c r="E91" s="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</row>
    <row r="92" spans="1:37">
      <c r="A92" s="5"/>
      <c r="B92" s="5"/>
      <c r="C92" s="5"/>
      <c r="D92" s="5"/>
      <c r="E92" s="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</row>
    <row r="93" spans="1:37">
      <c r="A93" s="5"/>
      <c r="B93" s="5"/>
      <c r="C93" s="5"/>
      <c r="D93" s="5"/>
      <c r="E93" s="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</row>
    <row r="94" spans="1:37">
      <c r="A94" s="5"/>
      <c r="B94" s="5"/>
      <c r="C94" s="5"/>
      <c r="D94" s="5"/>
      <c r="E94" s="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</row>
    <row r="95" spans="1:37">
      <c r="A95" s="5"/>
      <c r="B95" s="5"/>
      <c r="C95" s="5"/>
      <c r="D95" s="5"/>
      <c r="E95" s="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</row>
    <row r="96" spans="1:37">
      <c r="A96" s="5"/>
      <c r="B96" s="5"/>
      <c r="C96" s="5"/>
      <c r="D96" s="5"/>
      <c r="E96" s="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</row>
    <row r="97" spans="1:37">
      <c r="A97" s="5"/>
      <c r="B97" s="5"/>
      <c r="C97" s="5"/>
      <c r="D97" s="5"/>
      <c r="E97" s="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</row>
    <row r="98" spans="1:37">
      <c r="A98" s="5"/>
      <c r="B98" s="5"/>
      <c r="C98" s="5"/>
      <c r="D98" s="5"/>
      <c r="E98" s="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</row>
    <row r="99" spans="1:37">
      <c r="A99" s="5"/>
      <c r="B99" s="5"/>
      <c r="C99" s="5"/>
      <c r="D99" s="5"/>
      <c r="E99" s="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</row>
    <row r="100" spans="1:37">
      <c r="A100" s="5"/>
      <c r="B100" s="5"/>
      <c r="C100" s="5"/>
      <c r="D100" s="5"/>
      <c r="E100" s="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</row>
    <row r="101" spans="1:37">
      <c r="A101" s="5"/>
      <c r="B101" s="5"/>
      <c r="C101" s="5"/>
      <c r="D101" s="5"/>
      <c r="E101" s="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</row>
    <row r="102" spans="1:37">
      <c r="A102" s="5"/>
      <c r="B102" s="5"/>
      <c r="C102" s="5"/>
      <c r="D102" s="5"/>
      <c r="E102" s="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</row>
    <row r="103" spans="1:37">
      <c r="A103" s="5"/>
      <c r="B103" s="5"/>
      <c r="C103" s="5"/>
      <c r="D103" s="5"/>
      <c r="E103" s="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</row>
    <row r="104" spans="1:37">
      <c r="A104" s="5"/>
      <c r="B104" s="5"/>
      <c r="C104" s="5"/>
      <c r="D104" s="5"/>
      <c r="E104" s="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</row>
    <row r="105" spans="1:37">
      <c r="A105" s="5"/>
      <c r="B105" s="5"/>
      <c r="C105" s="5"/>
      <c r="D105" s="5"/>
      <c r="E105" s="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</row>
    <row r="106" spans="1:37">
      <c r="A106" s="5"/>
      <c r="B106" s="5"/>
      <c r="C106" s="5"/>
      <c r="D106" s="5"/>
      <c r="E106" s="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</row>
    <row r="107" spans="1:37">
      <c r="A107" s="5"/>
      <c r="B107" s="5"/>
      <c r="C107" s="5"/>
      <c r="D107" s="5"/>
      <c r="E107" s="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</row>
    <row r="108" spans="1:37">
      <c r="A108" s="5"/>
      <c r="B108" s="5"/>
      <c r="C108" s="5"/>
      <c r="D108" s="5"/>
      <c r="E108" s="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</row>
    <row r="109" spans="1:37">
      <c r="A109" s="5"/>
      <c r="B109" s="5"/>
      <c r="C109" s="5"/>
      <c r="D109" s="5"/>
      <c r="E109" s="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</row>
    <row r="110" spans="1:37">
      <c r="A110" s="5"/>
      <c r="B110" s="5"/>
      <c r="C110" s="5"/>
      <c r="D110" s="5"/>
      <c r="E110" s="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</row>
    <row r="111" spans="1:37">
      <c r="A111" s="5"/>
      <c r="B111" s="5"/>
      <c r="C111" s="5"/>
      <c r="D111" s="5"/>
      <c r="E111" s="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</row>
    <row r="112" spans="1:37">
      <c r="A112" s="5"/>
      <c r="B112" s="5"/>
      <c r="C112" s="5"/>
      <c r="D112" s="5"/>
      <c r="E112" s="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</row>
    <row r="113" spans="1:37">
      <c r="A113" s="5"/>
      <c r="B113" s="5"/>
      <c r="C113" s="5"/>
      <c r="D113" s="5"/>
      <c r="E113" s="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</row>
    <row r="114" spans="1:37">
      <c r="A114" s="5"/>
      <c r="B114" s="5"/>
      <c r="C114" s="5"/>
      <c r="D114" s="5"/>
      <c r="E114" s="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</row>
    <row r="115" spans="1:37">
      <c r="A115" s="5"/>
      <c r="B115" s="5"/>
      <c r="C115" s="5"/>
      <c r="D115" s="5"/>
      <c r="E115" s="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</row>
    <row r="116" spans="1:37">
      <c r="A116" s="5"/>
      <c r="B116" s="5"/>
      <c r="C116" s="5"/>
      <c r="D116" s="5"/>
      <c r="E116" s="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</row>
    <row r="117" spans="1:37">
      <c r="A117" s="5"/>
      <c r="B117" s="5"/>
      <c r="C117" s="5"/>
      <c r="D117" s="5"/>
      <c r="E117" s="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</row>
    <row r="118" spans="1:37">
      <c r="A118" s="5"/>
      <c r="B118" s="5"/>
      <c r="C118" s="5"/>
      <c r="D118" s="5"/>
      <c r="E118" s="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</row>
    <row r="119" spans="1:37">
      <c r="A119" s="5"/>
      <c r="B119" s="5"/>
      <c r="C119" s="5"/>
      <c r="D119" s="5"/>
      <c r="E119" s="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</row>
    <row r="120" spans="1:37">
      <c r="A120" s="5"/>
      <c r="B120" s="5"/>
      <c r="C120" s="5"/>
      <c r="D120" s="5"/>
      <c r="E120" s="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</row>
    <row r="121" spans="1:37">
      <c r="A121" s="5"/>
      <c r="B121" s="5"/>
      <c r="C121" s="5"/>
      <c r="D121" s="5"/>
      <c r="E121" s="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</row>
    <row r="122" spans="1:37">
      <c r="A122" s="5"/>
      <c r="B122" s="5"/>
      <c r="C122" s="5"/>
      <c r="D122" s="5"/>
      <c r="E122" s="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</row>
    <row r="123" spans="1:37">
      <c r="A123" s="5"/>
      <c r="B123" s="5"/>
      <c r="C123" s="5"/>
      <c r="D123" s="5"/>
      <c r="E123" s="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</row>
    <row r="124" spans="1:37">
      <c r="A124" s="5"/>
      <c r="B124" s="5"/>
      <c r="C124" s="5"/>
      <c r="D124" s="5"/>
      <c r="E124" s="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</row>
    <row r="125" spans="1:37">
      <c r="A125" s="5"/>
      <c r="B125" s="5"/>
      <c r="C125" s="5"/>
      <c r="D125" s="5"/>
      <c r="E125" s="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</row>
    <row r="126" spans="1:37">
      <c r="A126" s="5"/>
      <c r="B126" s="5"/>
      <c r="C126" s="5"/>
      <c r="D126" s="5"/>
      <c r="E126" s="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</row>
    <row r="127" spans="1:37">
      <c r="A127" s="5"/>
      <c r="B127" s="5"/>
      <c r="C127" s="5"/>
      <c r="D127" s="5"/>
      <c r="E127" s="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</row>
    <row r="128" spans="1:37">
      <c r="A128" s="5"/>
      <c r="B128" s="5"/>
      <c r="C128" s="5"/>
      <c r="D128" s="5"/>
      <c r="E128" s="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</row>
    <row r="129" spans="1:37">
      <c r="A129" s="5"/>
      <c r="B129" s="5"/>
      <c r="C129" s="5"/>
      <c r="D129" s="5"/>
      <c r="E129" s="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</row>
    <row r="130" spans="1:37">
      <c r="A130" s="5"/>
      <c r="B130" s="5"/>
      <c r="C130" s="5"/>
      <c r="D130" s="5"/>
      <c r="E130" s="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</row>
    <row r="131" spans="1:37">
      <c r="A131" s="5"/>
      <c r="B131" s="5"/>
      <c r="C131" s="5"/>
      <c r="D131" s="5"/>
      <c r="E131" s="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</row>
    <row r="132" spans="1:37">
      <c r="A132" s="5"/>
      <c r="B132" s="5"/>
      <c r="C132" s="5"/>
      <c r="D132" s="5"/>
      <c r="E132" s="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</row>
    <row r="133" spans="1:37">
      <c r="A133" s="5"/>
      <c r="B133" s="5"/>
      <c r="C133" s="5"/>
      <c r="D133" s="5"/>
      <c r="E133" s="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</row>
    <row r="134" spans="1:37">
      <c r="A134" s="5"/>
      <c r="B134" s="5"/>
      <c r="C134" s="5"/>
      <c r="D134" s="5"/>
      <c r="E134" s="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</row>
    <row r="135" spans="1:37">
      <c r="A135" s="5"/>
      <c r="B135" s="5"/>
      <c r="C135" s="5"/>
      <c r="D135" s="5"/>
      <c r="E135" s="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</row>
    <row r="136" spans="1:37">
      <c r="A136" s="5"/>
      <c r="B136" s="5"/>
      <c r="C136" s="5"/>
      <c r="D136" s="5"/>
      <c r="E136" s="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</row>
    <row r="137" spans="1:37">
      <c r="A137" s="5"/>
      <c r="B137" s="5"/>
      <c r="C137" s="5"/>
      <c r="D137" s="5"/>
      <c r="E137" s="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</row>
    <row r="138" spans="1:37">
      <c r="A138" s="5"/>
      <c r="B138" s="5"/>
      <c r="C138" s="5"/>
      <c r="D138" s="5"/>
      <c r="E138" s="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</row>
    <row r="139" spans="1:37">
      <c r="A139" s="5"/>
      <c r="B139" s="5"/>
      <c r="C139" s="5"/>
      <c r="D139" s="5"/>
      <c r="E139" s="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</row>
    <row r="140" spans="1:37">
      <c r="A140" s="5"/>
      <c r="B140" s="5"/>
      <c r="C140" s="5"/>
      <c r="D140" s="5"/>
      <c r="E140" s="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</row>
    <row r="141" spans="1:37">
      <c r="A141" s="5"/>
      <c r="B141" s="5"/>
      <c r="C141" s="5"/>
      <c r="D141" s="5"/>
      <c r="E141" s="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</row>
    <row r="142" spans="1:37">
      <c r="A142" s="5"/>
      <c r="B142" s="5"/>
      <c r="C142" s="5"/>
      <c r="D142" s="5"/>
      <c r="E142" s="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</row>
    <row r="143" spans="1:37">
      <c r="A143" s="5"/>
      <c r="B143" s="5"/>
      <c r="C143" s="5"/>
      <c r="D143" s="5"/>
      <c r="E143" s="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</row>
    <row r="144" spans="1:37">
      <c r="A144" s="5"/>
      <c r="B144" s="5"/>
      <c r="C144" s="5"/>
      <c r="D144" s="5"/>
      <c r="E144" s="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</row>
    <row r="145" spans="1:37">
      <c r="A145" s="5"/>
      <c r="B145" s="5"/>
      <c r="C145" s="5"/>
      <c r="D145" s="5"/>
      <c r="E145" s="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</row>
    <row r="146" spans="1:37">
      <c r="A146" s="5"/>
      <c r="B146" s="5"/>
      <c r="C146" s="5"/>
      <c r="D146" s="5"/>
      <c r="E146" s="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</row>
    <row r="147" spans="1:37">
      <c r="A147" s="5"/>
      <c r="B147" s="5"/>
      <c r="C147" s="5"/>
      <c r="D147" s="5"/>
      <c r="E147" s="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</row>
    <row r="148" spans="1:37">
      <c r="A148" s="5"/>
      <c r="B148" s="5"/>
      <c r="C148" s="5"/>
      <c r="D148" s="5"/>
      <c r="E148" s="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</row>
    <row r="149" spans="1:37">
      <c r="A149" s="5"/>
      <c r="B149" s="5"/>
      <c r="C149" s="5"/>
      <c r="D149" s="5"/>
      <c r="E149" s="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</row>
    <row r="150" spans="1:37">
      <c r="A150" s="5"/>
      <c r="B150" s="5"/>
      <c r="C150" s="5"/>
      <c r="D150" s="5"/>
      <c r="E150" s="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</row>
    <row r="151" spans="1:37">
      <c r="A151" s="5"/>
      <c r="B151" s="5"/>
      <c r="C151" s="5"/>
      <c r="D151" s="5"/>
      <c r="E151" s="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</row>
    <row r="152" spans="1:37">
      <c r="A152" s="5"/>
      <c r="B152" s="5"/>
      <c r="C152" s="5"/>
      <c r="D152" s="5"/>
      <c r="E152" s="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</row>
    <row r="153" spans="1:37">
      <c r="A153" s="5"/>
      <c r="B153" s="5"/>
      <c r="C153" s="5"/>
      <c r="D153" s="5"/>
      <c r="E153" s="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</row>
    <row r="154" spans="1:37">
      <c r="A154" s="5"/>
      <c r="B154" s="5"/>
      <c r="C154" s="5"/>
      <c r="D154" s="5"/>
      <c r="E154" s="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</row>
    <row r="155" spans="1:37">
      <c r="A155" s="5"/>
      <c r="B155" s="5"/>
      <c r="C155" s="5"/>
      <c r="D155" s="5"/>
      <c r="E155" s="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</row>
    <row r="156" spans="1:37">
      <c r="A156" s="5"/>
      <c r="B156" s="5"/>
      <c r="C156" s="5"/>
      <c r="D156" s="5"/>
      <c r="E156" s="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</row>
    <row r="157" spans="1:37">
      <c r="A157" s="5"/>
      <c r="B157" s="5"/>
      <c r="C157" s="5"/>
      <c r="D157" s="5"/>
      <c r="E157" s="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</row>
    <row r="158" spans="1:37">
      <c r="A158" s="5"/>
      <c r="B158" s="5"/>
      <c r="C158" s="5"/>
      <c r="D158" s="5"/>
      <c r="E158" s="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</row>
    <row r="159" spans="1:37">
      <c r="A159" s="5"/>
      <c r="B159" s="5"/>
      <c r="C159" s="5"/>
      <c r="D159" s="5"/>
      <c r="E159" s="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</row>
    <row r="160" spans="1:37">
      <c r="A160" s="5"/>
      <c r="B160" s="5"/>
      <c r="C160" s="5"/>
      <c r="D160" s="5"/>
      <c r="E160" s="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</row>
    <row r="161" spans="1:37">
      <c r="A161" s="5"/>
      <c r="B161" s="5"/>
      <c r="C161" s="5"/>
      <c r="D161" s="5"/>
      <c r="E161" s="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</row>
    <row r="162" spans="1:37">
      <c r="A162" s="5"/>
      <c r="B162" s="5"/>
      <c r="C162" s="5"/>
      <c r="D162" s="5"/>
      <c r="E162" s="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</row>
    <row r="163" spans="1:37">
      <c r="A163" s="5"/>
      <c r="B163" s="5"/>
      <c r="C163" s="5"/>
      <c r="D163" s="5"/>
      <c r="E163" s="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</row>
    <row r="164" spans="1:37">
      <c r="A164" s="5"/>
      <c r="B164" s="5"/>
      <c r="C164" s="5"/>
      <c r="D164" s="5"/>
      <c r="E164" s="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</row>
    <row r="165" spans="1:37">
      <c r="A165" s="5"/>
      <c r="B165" s="5"/>
      <c r="C165" s="5"/>
      <c r="D165" s="5"/>
      <c r="E165" s="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</row>
    <row r="166" spans="1:37">
      <c r="A166" s="5"/>
      <c r="B166" s="5"/>
      <c r="C166" s="5"/>
      <c r="D166" s="5"/>
      <c r="E166" s="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</row>
    <row r="167" spans="1:37">
      <c r="A167" s="5"/>
      <c r="B167" s="5"/>
      <c r="C167" s="5"/>
      <c r="D167" s="5"/>
      <c r="E167" s="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</row>
    <row r="168" spans="1:37">
      <c r="A168" s="5"/>
      <c r="B168" s="5"/>
      <c r="C168" s="5"/>
      <c r="D168" s="5"/>
      <c r="E168" s="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</row>
    <row r="169" spans="1:37">
      <c r="A169" s="5"/>
      <c r="B169" s="5"/>
      <c r="C169" s="5"/>
      <c r="D169" s="5"/>
      <c r="E169" s="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</row>
    <row r="170" spans="1:37">
      <c r="A170" s="5"/>
      <c r="B170" s="5"/>
      <c r="C170" s="5"/>
      <c r="D170" s="5"/>
      <c r="E170" s="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</row>
    <row r="171" spans="1:37">
      <c r="A171" s="5"/>
      <c r="B171" s="5"/>
      <c r="C171" s="5"/>
      <c r="D171" s="5"/>
      <c r="E171" s="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</row>
    <row r="172" spans="1:37">
      <c r="A172" s="5"/>
      <c r="B172" s="5"/>
      <c r="C172" s="5"/>
      <c r="D172" s="5"/>
      <c r="E172" s="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</row>
    <row r="173" spans="1:37">
      <c r="A173" s="5"/>
      <c r="B173" s="5"/>
      <c r="C173" s="5"/>
      <c r="D173" s="5"/>
      <c r="E173" s="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</row>
    <row r="174" spans="1:37">
      <c r="A174" s="5"/>
      <c r="B174" s="5"/>
      <c r="C174" s="5"/>
      <c r="D174" s="5"/>
      <c r="E174" s="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</row>
    <row r="175" spans="1:37">
      <c r="A175" s="5"/>
      <c r="B175" s="5"/>
      <c r="C175" s="5"/>
      <c r="D175" s="5"/>
      <c r="E175" s="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</row>
    <row r="176" spans="1:37">
      <c r="A176" s="5"/>
      <c r="B176" s="5"/>
      <c r="C176" s="5"/>
      <c r="D176" s="5"/>
      <c r="E176" s="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</row>
    <row r="177" spans="1:37">
      <c r="A177" s="5"/>
      <c r="B177" s="5"/>
      <c r="C177" s="5"/>
      <c r="D177" s="5"/>
      <c r="E177" s="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</row>
    <row r="178" spans="1:37">
      <c r="A178" s="5"/>
      <c r="B178" s="5"/>
      <c r="C178" s="5"/>
      <c r="D178" s="5"/>
      <c r="E178" s="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</row>
    <row r="179" spans="1:37">
      <c r="A179" s="5"/>
      <c r="B179" s="5"/>
      <c r="C179" s="5"/>
      <c r="D179" s="5"/>
      <c r="E179" s="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</row>
    <row r="180" spans="1:37">
      <c r="A180" s="5"/>
      <c r="B180" s="5"/>
      <c r="C180" s="5"/>
      <c r="D180" s="5"/>
      <c r="E180" s="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</row>
    <row r="181" spans="1:37">
      <c r="A181" s="5"/>
      <c r="B181" s="5"/>
      <c r="C181" s="5"/>
      <c r="D181" s="5"/>
      <c r="E181" s="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</row>
    <row r="182" spans="1:37">
      <c r="A182" s="5"/>
      <c r="B182" s="5"/>
      <c r="C182" s="5"/>
      <c r="D182" s="5"/>
      <c r="E182" s="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</row>
    <row r="183" spans="1:37">
      <c r="A183" s="5"/>
      <c r="B183" s="5"/>
      <c r="C183" s="5"/>
      <c r="D183" s="5"/>
      <c r="E183" s="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</row>
    <row r="184" spans="1:37">
      <c r="A184" s="5"/>
      <c r="B184" s="5"/>
      <c r="C184" s="5"/>
      <c r="D184" s="5"/>
      <c r="E184" s="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</row>
    <row r="185" spans="1:37">
      <c r="A185" s="5"/>
      <c r="B185" s="5"/>
      <c r="C185" s="5"/>
      <c r="D185" s="5"/>
      <c r="E185" s="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</row>
    <row r="186" spans="1:37">
      <c r="A186" s="5"/>
      <c r="B186" s="5"/>
      <c r="C186" s="5"/>
      <c r="D186" s="5"/>
      <c r="E186" s="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</row>
    <row r="187" spans="1:37">
      <c r="A187" s="5"/>
      <c r="B187" s="5"/>
      <c r="C187" s="5"/>
      <c r="D187" s="5"/>
      <c r="E187" s="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</row>
    <row r="188" spans="1:37">
      <c r="A188" s="5"/>
      <c r="B188" s="5"/>
      <c r="C188" s="5"/>
      <c r="D188" s="5"/>
      <c r="E188" s="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</row>
    <row r="189" spans="1:37">
      <c r="A189" s="5"/>
      <c r="B189" s="5"/>
      <c r="C189" s="5"/>
      <c r="D189" s="5"/>
      <c r="E189" s="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</row>
    <row r="190" spans="1:37">
      <c r="A190" s="5"/>
      <c r="B190" s="5"/>
      <c r="C190" s="5"/>
      <c r="D190" s="5"/>
      <c r="E190" s="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</row>
    <row r="191" spans="1:37">
      <c r="A191" s="5"/>
      <c r="B191" s="5"/>
      <c r="C191" s="5"/>
      <c r="D191" s="5"/>
      <c r="E191" s="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</row>
    <row r="192" spans="1:37">
      <c r="A192" s="5"/>
      <c r="B192" s="5"/>
      <c r="C192" s="5"/>
      <c r="D192" s="5"/>
      <c r="E192" s="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</row>
    <row r="193" spans="1:37">
      <c r="A193" s="5"/>
      <c r="B193" s="5"/>
      <c r="C193" s="5"/>
      <c r="D193" s="5"/>
      <c r="E193" s="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</row>
    <row r="194" spans="1:37">
      <c r="A194" s="5"/>
      <c r="B194" s="5"/>
      <c r="C194" s="5"/>
      <c r="D194" s="5"/>
      <c r="E194" s="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</row>
    <row r="195" spans="1:37">
      <c r="A195" s="5"/>
      <c r="B195" s="5"/>
      <c r="C195" s="5"/>
      <c r="D195" s="5"/>
      <c r="E195" s="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</row>
    <row r="196" spans="1:37">
      <c r="A196" s="5"/>
      <c r="B196" s="5"/>
      <c r="C196" s="5"/>
      <c r="D196" s="5"/>
      <c r="E196" s="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</row>
    <row r="197" spans="1:37">
      <c r="A197" s="5"/>
      <c r="B197" s="5"/>
      <c r="C197" s="5"/>
      <c r="D197" s="5"/>
      <c r="E197" s="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</row>
    <row r="198" spans="1:37">
      <c r="A198" s="5"/>
      <c r="B198" s="5"/>
      <c r="C198" s="5"/>
      <c r="D198" s="5"/>
      <c r="E198" s="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</row>
    <row r="199" spans="1:37">
      <c r="A199" s="5"/>
      <c r="B199" s="5"/>
      <c r="C199" s="5"/>
      <c r="D199" s="5"/>
      <c r="E199" s="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</row>
    <row r="200" spans="1:37">
      <c r="A200" s="5"/>
      <c r="B200" s="5"/>
      <c r="C200" s="5"/>
      <c r="D200" s="5"/>
      <c r="E200" s="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</row>
    <row r="201" spans="1:37">
      <c r="A201" s="5"/>
      <c r="B201" s="5"/>
      <c r="C201" s="5"/>
      <c r="D201" s="5"/>
      <c r="E201" s="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</row>
    <row r="202" spans="1:37">
      <c r="A202" s="5"/>
      <c r="B202" s="5"/>
      <c r="C202" s="5"/>
      <c r="D202" s="5"/>
      <c r="E202" s="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</row>
    <row r="203" spans="1:37">
      <c r="A203" s="5"/>
      <c r="B203" s="5"/>
      <c r="C203" s="5"/>
      <c r="D203" s="5"/>
      <c r="E203" s="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</row>
    <row r="204" spans="1:37">
      <c r="A204" s="5"/>
      <c r="B204" s="5"/>
      <c r="C204" s="5"/>
      <c r="D204" s="5"/>
      <c r="E204" s="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</row>
    <row r="205" spans="1:37">
      <c r="A205" s="5"/>
      <c r="B205" s="5"/>
      <c r="C205" s="5"/>
      <c r="D205" s="5"/>
      <c r="E205" s="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</row>
    <row r="206" spans="1:37">
      <c r="A206" s="5"/>
      <c r="B206" s="5"/>
      <c r="C206" s="5"/>
      <c r="D206" s="5"/>
      <c r="E206" s="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</row>
    <row r="207" spans="1:37">
      <c r="A207" s="5"/>
      <c r="B207" s="5"/>
      <c r="C207" s="5"/>
      <c r="D207" s="5"/>
      <c r="E207" s="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</row>
    <row r="208" spans="1:37">
      <c r="A208" s="5"/>
      <c r="B208" s="5"/>
      <c r="C208" s="5"/>
      <c r="D208" s="5"/>
      <c r="E208" s="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</row>
    <row r="209" spans="1:37">
      <c r="A209" s="5"/>
      <c r="B209" s="5"/>
      <c r="C209" s="5"/>
      <c r="D209" s="5"/>
      <c r="E209" s="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</row>
    <row r="210" spans="1:37">
      <c r="A210" s="5"/>
      <c r="B210" s="5"/>
      <c r="C210" s="5"/>
      <c r="D210" s="5"/>
      <c r="E210" s="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</row>
    <row r="211" spans="1:37">
      <c r="A211" s="5"/>
      <c r="B211" s="5"/>
      <c r="C211" s="5"/>
      <c r="D211" s="5"/>
      <c r="E211" s="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</row>
    <row r="212" spans="1:37">
      <c r="A212" s="5"/>
      <c r="B212" s="5"/>
      <c r="C212" s="5"/>
      <c r="D212" s="5"/>
      <c r="E212" s="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</row>
    <row r="213" spans="1:37">
      <c r="A213" s="5"/>
      <c r="B213" s="5"/>
      <c r="C213" s="5"/>
      <c r="D213" s="5"/>
      <c r="E213" s="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</row>
    <row r="214" spans="1:37">
      <c r="A214" s="5"/>
      <c r="B214" s="5"/>
      <c r="C214" s="5"/>
      <c r="D214" s="5"/>
      <c r="E214" s="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</row>
    <row r="215" spans="1:37">
      <c r="A215" s="5"/>
      <c r="B215" s="5"/>
      <c r="C215" s="5"/>
      <c r="D215" s="5"/>
      <c r="E215" s="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</row>
    <row r="216" spans="1:37">
      <c r="A216" s="5"/>
      <c r="B216" s="5"/>
      <c r="C216" s="5"/>
      <c r="D216" s="5"/>
      <c r="E216" s="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</row>
    <row r="217" spans="1:37">
      <c r="A217" s="5"/>
      <c r="B217" s="5"/>
      <c r="C217" s="5"/>
      <c r="D217" s="5"/>
      <c r="E217" s="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</row>
    <row r="218" spans="1:37">
      <c r="A218" s="5"/>
      <c r="B218" s="5"/>
      <c r="C218" s="5"/>
      <c r="D218" s="5"/>
      <c r="E218" s="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</row>
    <row r="219" spans="1:37">
      <c r="A219" s="5"/>
      <c r="B219" s="5"/>
      <c r="C219" s="5"/>
      <c r="D219" s="5"/>
      <c r="E219" s="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</row>
    <row r="220" spans="1:37">
      <c r="A220" s="5"/>
      <c r="B220" s="5"/>
      <c r="C220" s="5"/>
      <c r="D220" s="5"/>
      <c r="E220" s="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</row>
    <row r="221" spans="1:37">
      <c r="A221" s="5"/>
      <c r="B221" s="5"/>
      <c r="C221" s="5"/>
      <c r="D221" s="5"/>
      <c r="E221" s="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</row>
    <row r="222" spans="1:37">
      <c r="A222" s="5"/>
      <c r="B222" s="5"/>
      <c r="C222" s="5"/>
      <c r="D222" s="5"/>
      <c r="E222" s="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</row>
    <row r="223" spans="1:37">
      <c r="A223" s="5"/>
      <c r="B223" s="5"/>
      <c r="C223" s="5"/>
      <c r="D223" s="5"/>
      <c r="E223" s="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</row>
    <row r="224" spans="1:37">
      <c r="A224" s="5"/>
      <c r="B224" s="5"/>
      <c r="C224" s="5"/>
      <c r="D224" s="5"/>
      <c r="E224" s="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</row>
    <row r="225" spans="1:37">
      <c r="A225" s="5"/>
      <c r="B225" s="5"/>
      <c r="C225" s="5"/>
      <c r="D225" s="5"/>
      <c r="E225" s="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</row>
    <row r="226" spans="1:37">
      <c r="A226" s="5"/>
      <c r="B226" s="5"/>
      <c r="C226" s="5"/>
      <c r="D226" s="5"/>
      <c r="E226" s="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</row>
    <row r="227" spans="1:37">
      <c r="A227" s="5"/>
      <c r="B227" s="5"/>
      <c r="C227" s="5"/>
      <c r="D227" s="5"/>
      <c r="E227" s="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</row>
    <row r="228" spans="1:37">
      <c r="A228" s="5"/>
      <c r="B228" s="5"/>
      <c r="C228" s="5"/>
      <c r="D228" s="5"/>
      <c r="E228" s="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</row>
    <row r="229" spans="1:37">
      <c r="A229" s="5"/>
      <c r="B229" s="5"/>
      <c r="C229" s="5"/>
      <c r="D229" s="5"/>
      <c r="E229" s="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</row>
    <row r="230" spans="1:37">
      <c r="A230" s="5"/>
      <c r="B230" s="5"/>
      <c r="C230" s="5"/>
      <c r="D230" s="5"/>
      <c r="E230" s="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</row>
    <row r="231" spans="1:37">
      <c r="A231" s="5"/>
      <c r="B231" s="5"/>
      <c r="C231" s="5"/>
      <c r="D231" s="5"/>
      <c r="E231" s="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</row>
    <row r="232" spans="1:37">
      <c r="A232" s="5"/>
      <c r="B232" s="5"/>
      <c r="C232" s="5"/>
      <c r="D232" s="5"/>
      <c r="E232" s="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</row>
    <row r="233" spans="1:37">
      <c r="A233" s="5"/>
      <c r="B233" s="5"/>
      <c r="C233" s="5"/>
      <c r="D233" s="5"/>
      <c r="E233" s="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</row>
    <row r="234" spans="1:37">
      <c r="A234" s="5"/>
      <c r="B234" s="5"/>
      <c r="C234" s="5"/>
      <c r="D234" s="5"/>
      <c r="E234" s="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</row>
    <row r="235" spans="1:37">
      <c r="A235" s="5"/>
      <c r="B235" s="5"/>
      <c r="C235" s="5"/>
      <c r="D235" s="5"/>
      <c r="E235" s="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</row>
    <row r="236" spans="1:37">
      <c r="A236" s="5"/>
      <c r="B236" s="5"/>
      <c r="C236" s="5"/>
      <c r="D236" s="5"/>
      <c r="E236" s="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</row>
    <row r="237" spans="1:37">
      <c r="A237" s="5"/>
      <c r="B237" s="5"/>
      <c r="C237" s="5"/>
      <c r="D237" s="5"/>
      <c r="E237" s="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</row>
    <row r="238" spans="1:37">
      <c r="A238" s="5"/>
      <c r="B238" s="5"/>
      <c r="C238" s="5"/>
      <c r="D238" s="5"/>
      <c r="E238" s="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</row>
    <row r="239" spans="1:37">
      <c r="A239" s="5"/>
      <c r="B239" s="5"/>
      <c r="C239" s="5"/>
      <c r="D239" s="5"/>
      <c r="E239" s="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</row>
    <row r="240" spans="1:37">
      <c r="A240" s="5"/>
      <c r="B240" s="5"/>
      <c r="C240" s="5"/>
      <c r="D240" s="5"/>
      <c r="E240" s="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</row>
    <row r="241" spans="1:37">
      <c r="A241" s="5"/>
      <c r="B241" s="5"/>
      <c r="C241" s="5"/>
      <c r="D241" s="5"/>
      <c r="E241" s="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</row>
    <row r="242" spans="1:37">
      <c r="A242" s="5"/>
      <c r="B242" s="5"/>
      <c r="C242" s="5"/>
      <c r="D242" s="5"/>
      <c r="E242" s="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</row>
    <row r="243" spans="1:37">
      <c r="A243" s="5"/>
      <c r="B243" s="5"/>
      <c r="C243" s="5"/>
      <c r="D243" s="5"/>
      <c r="E243" s="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</row>
    <row r="244" spans="1:37">
      <c r="A244" s="5"/>
      <c r="B244" s="5"/>
      <c r="C244" s="5"/>
      <c r="D244" s="5"/>
      <c r="E244" s="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</row>
    <row r="245" spans="1:37">
      <c r="A245" s="5"/>
      <c r="B245" s="5"/>
      <c r="C245" s="5"/>
      <c r="D245" s="5"/>
      <c r="E245" s="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</row>
    <row r="246" spans="1:37">
      <c r="A246" s="5"/>
      <c r="B246" s="5"/>
      <c r="C246" s="5"/>
      <c r="D246" s="5"/>
      <c r="E246" s="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</row>
    <row r="247" spans="1:37">
      <c r="A247" s="5"/>
      <c r="B247" s="5"/>
      <c r="C247" s="5"/>
      <c r="D247" s="5"/>
      <c r="E247" s="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</row>
    <row r="248" spans="1:37">
      <c r="A248" s="5"/>
      <c r="B248" s="5"/>
      <c r="C248" s="5"/>
      <c r="D248" s="5"/>
      <c r="E248" s="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</row>
    <row r="249" spans="1:37">
      <c r="A249" s="5"/>
      <c r="B249" s="5"/>
      <c r="C249" s="5"/>
      <c r="D249" s="5"/>
      <c r="E249" s="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</row>
    <row r="250" spans="1:37">
      <c r="A250" s="5"/>
      <c r="B250" s="5"/>
      <c r="C250" s="5"/>
      <c r="D250" s="5"/>
      <c r="E250" s="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</row>
    <row r="251" spans="1:37">
      <c r="A251" s="5"/>
      <c r="B251" s="5"/>
      <c r="C251" s="5"/>
      <c r="D251" s="5"/>
      <c r="E251" s="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</row>
    <row r="252" spans="1:37">
      <c r="A252" s="5"/>
      <c r="B252" s="5"/>
      <c r="C252" s="5"/>
      <c r="D252" s="5"/>
      <c r="E252" s="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</row>
    <row r="253" spans="1:37">
      <c r="A253" s="5"/>
      <c r="B253" s="5"/>
      <c r="C253" s="5"/>
      <c r="D253" s="5"/>
      <c r="E253" s="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</row>
    <row r="254" spans="1:37">
      <c r="A254" s="5"/>
      <c r="B254" s="5"/>
      <c r="C254" s="5"/>
      <c r="D254" s="5"/>
      <c r="E254" s="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</row>
    <row r="255" spans="1:37">
      <c r="A255" s="5"/>
      <c r="B255" s="5"/>
      <c r="C255" s="5"/>
      <c r="D255" s="5"/>
      <c r="E255" s="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</row>
    <row r="256" spans="1:37">
      <c r="A256" s="5"/>
      <c r="B256" s="5"/>
      <c r="C256" s="5"/>
      <c r="D256" s="5"/>
      <c r="E256" s="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</row>
    <row r="257" spans="1:37">
      <c r="A257" s="5"/>
      <c r="B257" s="5"/>
      <c r="C257" s="5"/>
      <c r="D257" s="5"/>
      <c r="E257" s="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</row>
    <row r="258" spans="1:37">
      <c r="A258" s="5"/>
      <c r="B258" s="5"/>
      <c r="C258" s="5"/>
      <c r="D258" s="5"/>
      <c r="E258" s="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</row>
    <row r="259" spans="1:37">
      <c r="A259" s="5"/>
      <c r="B259" s="5"/>
      <c r="C259" s="5"/>
      <c r="D259" s="5"/>
      <c r="E259" s="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</row>
    <row r="260" spans="1:37">
      <c r="A260" s="5"/>
      <c r="B260" s="5"/>
      <c r="C260" s="5"/>
      <c r="D260" s="5"/>
      <c r="E260" s="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</row>
    <row r="261" spans="1:37">
      <c r="A261" s="5"/>
      <c r="B261" s="5"/>
      <c r="C261" s="5"/>
      <c r="D261" s="5"/>
      <c r="E261" s="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</row>
    <row r="262" spans="1:37">
      <c r="A262" s="5"/>
      <c r="B262" s="5"/>
      <c r="C262" s="5"/>
      <c r="D262" s="5"/>
      <c r="E262" s="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</row>
    <row r="263" spans="1:37">
      <c r="A263" s="5"/>
      <c r="B263" s="5"/>
      <c r="C263" s="5"/>
      <c r="D263" s="5"/>
      <c r="E263" s="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</row>
    <row r="264" spans="1:37">
      <c r="A264" s="5"/>
      <c r="B264" s="5"/>
      <c r="C264" s="5"/>
      <c r="D264" s="5"/>
      <c r="E264" s="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</row>
    <row r="265" spans="1:37">
      <c r="A265" s="5"/>
      <c r="B265" s="5"/>
      <c r="C265" s="5"/>
      <c r="D265" s="5"/>
      <c r="E265" s="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</row>
    <row r="266" spans="1:37">
      <c r="A266" s="5"/>
      <c r="B266" s="5"/>
      <c r="C266" s="5"/>
      <c r="D266" s="5"/>
      <c r="E266" s="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</row>
    <row r="267" spans="1:37">
      <c r="A267" s="5"/>
      <c r="B267" s="5"/>
      <c r="C267" s="5"/>
      <c r="D267" s="5"/>
      <c r="E267" s="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</row>
    <row r="268" spans="1:37">
      <c r="A268" s="5"/>
      <c r="B268" s="5"/>
      <c r="C268" s="5"/>
      <c r="D268" s="5"/>
      <c r="E268" s="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</row>
    <row r="269" spans="1:37">
      <c r="A269" s="5"/>
      <c r="B269" s="5"/>
      <c r="C269" s="5"/>
      <c r="D269" s="5"/>
      <c r="E269" s="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</row>
    <row r="270" spans="1:37">
      <c r="A270" s="5"/>
      <c r="B270" s="5"/>
      <c r="C270" s="5"/>
      <c r="D270" s="5"/>
      <c r="E270" s="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</row>
    <row r="271" spans="1:37">
      <c r="A271" s="5"/>
      <c r="B271" s="5"/>
      <c r="C271" s="5"/>
      <c r="D271" s="5"/>
      <c r="E271" s="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</row>
    <row r="272" spans="1:37">
      <c r="A272" s="5"/>
      <c r="B272" s="5"/>
      <c r="C272" s="5"/>
      <c r="D272" s="5"/>
      <c r="E272" s="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</row>
    <row r="273" spans="1:37">
      <c r="A273" s="5"/>
      <c r="B273" s="5"/>
      <c r="C273" s="5"/>
      <c r="D273" s="5"/>
      <c r="E273" s="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</row>
    <row r="274" spans="1:37">
      <c r="A274" s="5"/>
      <c r="B274" s="5"/>
      <c r="C274" s="5"/>
      <c r="D274" s="5"/>
      <c r="E274" s="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</row>
    <row r="275" spans="1:37">
      <c r="A275" s="5"/>
      <c r="B275" s="5"/>
      <c r="C275" s="5"/>
      <c r="D275" s="5"/>
      <c r="E275" s="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</row>
    <row r="276" spans="1:37">
      <c r="A276" s="5"/>
      <c r="B276" s="5"/>
      <c r="C276" s="5"/>
      <c r="D276" s="5"/>
      <c r="E276" s="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</row>
    <row r="277" spans="1:37">
      <c r="A277" s="5"/>
      <c r="B277" s="5"/>
      <c r="C277" s="5"/>
      <c r="D277" s="5"/>
      <c r="E277" s="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</row>
    <row r="278" spans="1:37">
      <c r="A278" s="5"/>
      <c r="B278" s="5"/>
      <c r="C278" s="5"/>
      <c r="D278" s="5"/>
      <c r="E278" s="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</row>
    <row r="279" spans="1:37">
      <c r="A279" s="5"/>
      <c r="B279" s="5"/>
      <c r="C279" s="5"/>
      <c r="D279" s="5"/>
      <c r="E279" s="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</row>
    <row r="280" spans="1:37">
      <c r="A280" s="5"/>
      <c r="B280" s="5"/>
      <c r="C280" s="5"/>
      <c r="D280" s="5"/>
      <c r="E280" s="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</row>
    <row r="281" spans="1:37">
      <c r="A281" s="5"/>
      <c r="B281" s="5"/>
      <c r="C281" s="5"/>
      <c r="D281" s="5"/>
      <c r="E281" s="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</row>
    <row r="282" spans="1:37">
      <c r="A282" s="5"/>
      <c r="B282" s="5"/>
      <c r="C282" s="5"/>
      <c r="D282" s="5"/>
      <c r="E282" s="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</row>
    <row r="283" spans="1:37">
      <c r="A283" s="5"/>
      <c r="B283" s="5"/>
      <c r="C283" s="5"/>
      <c r="D283" s="5"/>
      <c r="E283" s="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</row>
    <row r="284" spans="1:37">
      <c r="A284" s="5"/>
      <c r="B284" s="5"/>
      <c r="C284" s="5"/>
      <c r="D284" s="5"/>
      <c r="E284" s="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</row>
    <row r="285" spans="1:37">
      <c r="A285" s="5"/>
      <c r="B285" s="5"/>
      <c r="C285" s="5"/>
      <c r="D285" s="5"/>
      <c r="E285" s="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</row>
    <row r="286" spans="1:37">
      <c r="A286" s="5"/>
      <c r="B286" s="5"/>
      <c r="C286" s="5"/>
      <c r="D286" s="5"/>
      <c r="E286" s="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</row>
    <row r="287" spans="1:37">
      <c r="A287" s="5"/>
      <c r="B287" s="5"/>
      <c r="C287" s="5"/>
      <c r="D287" s="5"/>
      <c r="E287" s="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</row>
    <row r="288" spans="1:37">
      <c r="A288" s="5"/>
      <c r="B288" s="5"/>
      <c r="C288" s="5"/>
      <c r="D288" s="5"/>
      <c r="E288" s="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</row>
    <row r="289" spans="1:37">
      <c r="A289" s="5"/>
      <c r="B289" s="5"/>
      <c r="C289" s="5"/>
      <c r="D289" s="5"/>
      <c r="E289" s="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</row>
    <row r="290" spans="1:37">
      <c r="A290" s="5"/>
      <c r="B290" s="5"/>
      <c r="C290" s="5"/>
      <c r="D290" s="5"/>
      <c r="E290" s="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</row>
    <row r="291" spans="1:37">
      <c r="A291" s="5"/>
      <c r="B291" s="5"/>
      <c r="C291" s="5"/>
      <c r="D291" s="5"/>
      <c r="E291" s="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</row>
    <row r="292" spans="1:37">
      <c r="A292" s="5"/>
      <c r="B292" s="5"/>
      <c r="C292" s="5"/>
      <c r="D292" s="5"/>
      <c r="E292" s="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</row>
    <row r="293" spans="1:37">
      <c r="A293" s="5"/>
      <c r="B293" s="5"/>
      <c r="C293" s="5"/>
      <c r="D293" s="5"/>
      <c r="E293" s="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</row>
    <row r="294" spans="1:37">
      <c r="A294" s="5"/>
      <c r="B294" s="5"/>
      <c r="C294" s="5"/>
      <c r="D294" s="5"/>
      <c r="E294" s="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</row>
    <row r="295" spans="1:37">
      <c r="A295" s="5"/>
      <c r="B295" s="5"/>
      <c r="C295" s="5"/>
      <c r="D295" s="5"/>
      <c r="E295" s="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</row>
    <row r="296" spans="1:37">
      <c r="A296" s="5"/>
      <c r="B296" s="5"/>
      <c r="C296" s="5"/>
      <c r="D296" s="5"/>
      <c r="E296" s="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</row>
    <row r="297" spans="1:37">
      <c r="A297" s="5"/>
      <c r="B297" s="5"/>
      <c r="C297" s="5"/>
      <c r="D297" s="5"/>
      <c r="E297" s="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</row>
    <row r="298" spans="1:37">
      <c r="A298" s="5"/>
      <c r="B298" s="5"/>
      <c r="C298" s="5"/>
      <c r="D298" s="5"/>
      <c r="E298" s="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</row>
    <row r="299" spans="1:37">
      <c r="A299" s="5"/>
      <c r="B299" s="5"/>
      <c r="C299" s="5"/>
      <c r="D299" s="5"/>
      <c r="E299" s="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</row>
    <row r="300" spans="1:37">
      <c r="A300" s="5"/>
      <c r="B300" s="5"/>
      <c r="C300" s="5"/>
      <c r="D300" s="5"/>
      <c r="E300" s="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</row>
    <row r="301" spans="1:37">
      <c r="A301" s="5"/>
      <c r="B301" s="5"/>
      <c r="C301" s="5"/>
      <c r="D301" s="5"/>
      <c r="E301" s="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</row>
    <row r="302" spans="1:37">
      <c r="A302" s="5"/>
      <c r="B302" s="5"/>
      <c r="C302" s="5"/>
      <c r="D302" s="5"/>
      <c r="E302" s="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</row>
    <row r="303" spans="1:37">
      <c r="A303" s="5"/>
      <c r="B303" s="5"/>
      <c r="C303" s="5"/>
      <c r="D303" s="5"/>
      <c r="E303" s="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</row>
    <row r="304" spans="1:37">
      <c r="A304" s="5"/>
      <c r="B304" s="5"/>
      <c r="C304" s="5"/>
      <c r="D304" s="5"/>
      <c r="E304" s="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</row>
    <row r="305" spans="1:37">
      <c r="A305" s="5"/>
      <c r="B305" s="5"/>
      <c r="C305" s="5"/>
      <c r="D305" s="5"/>
      <c r="E305" s="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</row>
    <row r="306" spans="1:37">
      <c r="A306" s="5"/>
      <c r="B306" s="5"/>
      <c r="C306" s="5"/>
      <c r="D306" s="5"/>
      <c r="E306" s="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</row>
    <row r="307" spans="1:37">
      <c r="A307" s="5"/>
      <c r="B307" s="5"/>
      <c r="C307" s="5"/>
      <c r="D307" s="5"/>
      <c r="E307" s="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</row>
    <row r="308" spans="1:37">
      <c r="A308" s="5"/>
      <c r="B308" s="5"/>
      <c r="C308" s="5"/>
      <c r="D308" s="5"/>
      <c r="E308" s="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</row>
    <row r="309" spans="1:37">
      <c r="A309" s="5"/>
      <c r="B309" s="5"/>
      <c r="C309" s="5"/>
      <c r="D309" s="5"/>
      <c r="E309" s="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</row>
    <row r="310" spans="1:37">
      <c r="A310" s="5"/>
      <c r="B310" s="5"/>
      <c r="C310" s="5"/>
      <c r="D310" s="5"/>
      <c r="E310" s="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</row>
    <row r="311" spans="1:37">
      <c r="A311" s="5"/>
      <c r="B311" s="5"/>
      <c r="C311" s="5"/>
      <c r="D311" s="5"/>
      <c r="E311" s="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</row>
    <row r="312" spans="1:37">
      <c r="A312" s="5"/>
      <c r="B312" s="5"/>
      <c r="C312" s="5"/>
      <c r="D312" s="5"/>
      <c r="E312" s="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</row>
    <row r="313" spans="1:37">
      <c r="A313" s="5"/>
      <c r="B313" s="5"/>
      <c r="C313" s="5"/>
      <c r="D313" s="5"/>
      <c r="E313" s="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</row>
    <row r="314" spans="1:37">
      <c r="A314" s="5"/>
      <c r="B314" s="5"/>
      <c r="C314" s="5"/>
      <c r="D314" s="5"/>
      <c r="E314" s="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</row>
    <row r="315" spans="1:37">
      <c r="A315" s="5"/>
      <c r="B315" s="5"/>
      <c r="C315" s="5"/>
      <c r="D315" s="5"/>
      <c r="E315" s="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</row>
    <row r="316" spans="1:37">
      <c r="A316" s="5"/>
      <c r="B316" s="5"/>
      <c r="C316" s="5"/>
      <c r="D316" s="5"/>
      <c r="E316" s="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</row>
    <row r="317" spans="1:37">
      <c r="A317" s="5"/>
      <c r="B317" s="5"/>
      <c r="C317" s="5"/>
      <c r="D317" s="5"/>
      <c r="E317" s="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</row>
    <row r="318" spans="1:37">
      <c r="A318" s="5"/>
      <c r="B318" s="5"/>
      <c r="C318" s="5"/>
      <c r="D318" s="5"/>
      <c r="E318" s="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</row>
    <row r="319" spans="1:37">
      <c r="A319" s="5"/>
      <c r="B319" s="5"/>
      <c r="C319" s="5"/>
      <c r="D319" s="5"/>
      <c r="E319" s="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</row>
    <row r="320" spans="1:37">
      <c r="A320" s="5"/>
      <c r="B320" s="5"/>
      <c r="C320" s="5"/>
      <c r="D320" s="5"/>
      <c r="E320" s="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</row>
    <row r="321" spans="1:37">
      <c r="A321" s="5"/>
      <c r="B321" s="5"/>
      <c r="C321" s="5"/>
      <c r="D321" s="5"/>
      <c r="E321" s="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</row>
    <row r="322" spans="1:37">
      <c r="A322" s="5"/>
      <c r="B322" s="5"/>
      <c r="C322" s="5"/>
      <c r="D322" s="5"/>
      <c r="E322" s="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</row>
    <row r="323" spans="1:37">
      <c r="A323" s="5"/>
      <c r="B323" s="5"/>
      <c r="C323" s="5"/>
      <c r="D323" s="5"/>
      <c r="E323" s="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</row>
    <row r="324" spans="1:37">
      <c r="A324" s="5"/>
      <c r="B324" s="5"/>
      <c r="C324" s="5"/>
      <c r="D324" s="5"/>
      <c r="E324" s="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</row>
    <row r="325" spans="1:37">
      <c r="A325" s="5"/>
      <c r="B325" s="5"/>
      <c r="C325" s="5"/>
      <c r="D325" s="5"/>
      <c r="E325" s="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</row>
    <row r="326" spans="1:37">
      <c r="A326" s="5"/>
      <c r="B326" s="5"/>
      <c r="C326" s="5"/>
      <c r="D326" s="5"/>
      <c r="E326" s="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</row>
    <row r="327" spans="1:37">
      <c r="A327" s="5"/>
      <c r="B327" s="5"/>
      <c r="C327" s="5"/>
      <c r="D327" s="5"/>
      <c r="E327" s="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</row>
    <row r="328" spans="1:37">
      <c r="A328" s="5"/>
      <c r="B328" s="5"/>
      <c r="C328" s="5"/>
      <c r="D328" s="5"/>
      <c r="E328" s="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</row>
    <row r="329" spans="1:37">
      <c r="A329" s="5"/>
      <c r="B329" s="5"/>
      <c r="C329" s="5"/>
      <c r="D329" s="5"/>
      <c r="E329" s="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</row>
    <row r="330" spans="1:37">
      <c r="A330" s="5"/>
      <c r="B330" s="5"/>
      <c r="C330" s="5"/>
      <c r="D330" s="5"/>
      <c r="E330" s="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</row>
    <row r="331" spans="1:37">
      <c r="A331" s="5"/>
      <c r="B331" s="5"/>
      <c r="C331" s="5"/>
      <c r="D331" s="5"/>
      <c r="E331" s="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</row>
    <row r="332" spans="1:37">
      <c r="A332" s="5"/>
      <c r="B332" s="5"/>
      <c r="C332" s="5"/>
      <c r="D332" s="5"/>
      <c r="E332" s="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</row>
    <row r="333" spans="1:37">
      <c r="A333" s="5"/>
      <c r="B333" s="5"/>
      <c r="C333" s="5"/>
      <c r="D333" s="5"/>
      <c r="E333" s="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</row>
    <row r="334" spans="1:37">
      <c r="A334" s="5"/>
      <c r="B334" s="5"/>
      <c r="C334" s="5"/>
      <c r="D334" s="5"/>
      <c r="E334" s="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</row>
    <row r="335" spans="1:37">
      <c r="A335" s="5"/>
      <c r="B335" s="5"/>
      <c r="C335" s="5"/>
      <c r="D335" s="5"/>
      <c r="E335" s="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</row>
    <row r="336" spans="1:37">
      <c r="A336" s="5"/>
      <c r="B336" s="5"/>
      <c r="C336" s="5"/>
      <c r="D336" s="5"/>
      <c r="E336" s="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</row>
    <row r="337" spans="1:37">
      <c r="A337" s="5"/>
      <c r="B337" s="5"/>
      <c r="C337" s="5"/>
      <c r="D337" s="5"/>
      <c r="E337" s="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</row>
    <row r="338" spans="1:37">
      <c r="A338" s="5"/>
      <c r="B338" s="5"/>
      <c r="C338" s="5"/>
      <c r="D338" s="5"/>
      <c r="E338" s="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</row>
    <row r="339" spans="1:37">
      <c r="A339" s="5"/>
      <c r="B339" s="5"/>
      <c r="C339" s="5"/>
      <c r="D339" s="5"/>
      <c r="E339" s="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</row>
    <row r="340" spans="1:37">
      <c r="A340" s="5"/>
      <c r="B340" s="5"/>
      <c r="C340" s="5"/>
      <c r="D340" s="5"/>
      <c r="E340" s="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</row>
    <row r="341" spans="1:37">
      <c r="A341" s="5"/>
      <c r="B341" s="5"/>
      <c r="C341" s="5"/>
      <c r="D341" s="5"/>
      <c r="E341" s="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</row>
    <row r="342" spans="1:37">
      <c r="A342" s="5"/>
      <c r="B342" s="5"/>
      <c r="C342" s="5"/>
      <c r="D342" s="5"/>
      <c r="E342" s="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</row>
    <row r="343" spans="1:37">
      <c r="A343" s="5"/>
      <c r="B343" s="5"/>
      <c r="C343" s="5"/>
      <c r="D343" s="5"/>
      <c r="E343" s="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</row>
    <row r="344" spans="1:37">
      <c r="A344" s="5"/>
      <c r="B344" s="5"/>
      <c r="C344" s="5"/>
      <c r="D344" s="5"/>
      <c r="E344" s="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</row>
    <row r="345" spans="1:37">
      <c r="A345" s="5"/>
      <c r="B345" s="5"/>
      <c r="C345" s="5"/>
      <c r="D345" s="5"/>
      <c r="E345" s="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</row>
    <row r="346" spans="1:37">
      <c r="A346" s="5"/>
      <c r="B346" s="5"/>
      <c r="C346" s="5"/>
      <c r="D346" s="5"/>
      <c r="E346" s="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</row>
    <row r="347" spans="1:37">
      <c r="A347" s="5"/>
      <c r="B347" s="5"/>
      <c r="C347" s="5"/>
      <c r="D347" s="5"/>
      <c r="E347" s="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</row>
    <row r="348" spans="1:37">
      <c r="A348" s="5"/>
      <c r="B348" s="5"/>
      <c r="C348" s="5"/>
      <c r="D348" s="5"/>
      <c r="E348" s="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</row>
  </sheetData>
  <mergeCells count="1">
    <mergeCell ref="A1:D2"/>
  </mergeCells>
  <printOptions horizontalCentered="1"/>
  <pageMargins left="0.75" right="0.75" top="1" bottom="1" header="0.5" footer="0.5"/>
  <pageSetup firstPageNumber="6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Z375"/>
  <sheetViews>
    <sheetView showGridLines="0" zoomScale="60" workbookViewId="0">
      <selection activeCell="G40" sqref="G40"/>
    </sheetView>
  </sheetViews>
  <sheetFormatPr defaultRowHeight="12.75" outlineLevelCol="1"/>
  <cols>
    <col min="1" max="1" width="39.42578125" style="111" customWidth="1"/>
    <col min="2" max="2" width="16.28515625" style="163" customWidth="1"/>
    <col min="3" max="3" width="16.7109375" style="163" customWidth="1"/>
    <col min="4" max="4" width="14.5703125" style="163" customWidth="1"/>
    <col min="5" max="11" width="8.7109375" customWidth="1" outlineLevel="1"/>
    <col min="12" max="24" width="8.7109375" customWidth="1"/>
    <col min="28" max="28" width="9.28515625" customWidth="1"/>
  </cols>
  <sheetData>
    <row r="1" spans="1:52" s="265" customFormat="1" ht="27" customHeight="1">
      <c r="A1" s="463" t="str">
        <f>Summary!$A$1</f>
        <v>AES Corp, Dallas, TX (640 MW)</v>
      </c>
      <c r="B1" s="266"/>
      <c r="C1" s="266"/>
      <c r="D1" s="266"/>
      <c r="E1" s="267"/>
      <c r="F1" s="267"/>
      <c r="G1" s="267"/>
      <c r="H1" s="268"/>
      <c r="I1" s="268"/>
      <c r="J1" s="268"/>
      <c r="K1" s="268"/>
      <c r="L1" s="268"/>
      <c r="M1" s="268"/>
      <c r="N1" s="268"/>
      <c r="O1" s="268"/>
      <c r="Q1" s="268"/>
      <c r="R1" s="268"/>
      <c r="S1" s="268"/>
      <c r="T1" s="268"/>
      <c r="U1" s="268"/>
      <c r="V1" s="268"/>
      <c r="W1" s="268"/>
      <c r="X1" s="268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</row>
    <row r="2" spans="1:52" s="265" customFormat="1" ht="29.25" customHeight="1">
      <c r="A2" s="464" t="s">
        <v>188</v>
      </c>
      <c r="B2" s="270"/>
      <c r="C2" s="270"/>
      <c r="D2" s="270"/>
      <c r="E2" s="271"/>
      <c r="F2" s="271"/>
      <c r="G2" s="271"/>
      <c r="H2" s="268"/>
      <c r="I2" s="268"/>
      <c r="J2" s="268"/>
      <c r="K2" s="268"/>
      <c r="L2" s="268"/>
      <c r="M2" s="268"/>
      <c r="N2"/>
      <c r="Q2" s="268"/>
      <c r="R2" s="268"/>
      <c r="S2" s="268"/>
      <c r="T2" s="268"/>
      <c r="U2" s="268"/>
      <c r="V2" s="268"/>
      <c r="W2" s="268"/>
      <c r="X2" s="268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</row>
    <row r="3" spans="1:52" ht="15">
      <c r="A3" s="459"/>
      <c r="B3" s="240"/>
      <c r="C3" s="240"/>
      <c r="D3" s="240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16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26.25" customHeight="1" thickBot="1">
      <c r="A4" s="60"/>
      <c r="B4" s="183"/>
      <c r="C4" s="183"/>
      <c r="D4" s="183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1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58.5" customHeight="1">
      <c r="A5" s="247" t="s">
        <v>250</v>
      </c>
      <c r="B5" s="461" t="s">
        <v>1379</v>
      </c>
      <c r="C5" s="461" t="str">
        <f>Mob_Staffing!F5</f>
        <v>Month on Site Prior to COD</v>
      </c>
      <c r="D5" s="461" t="s">
        <v>436</v>
      </c>
      <c r="E5" s="248">
        <f t="shared" ref="E5:K5" si="0">F5-1</f>
        <v>-19</v>
      </c>
      <c r="F5" s="248">
        <f t="shared" si="0"/>
        <v>-18</v>
      </c>
      <c r="G5" s="248">
        <f t="shared" si="0"/>
        <v>-17</v>
      </c>
      <c r="H5" s="248">
        <f t="shared" si="0"/>
        <v>-16</v>
      </c>
      <c r="I5" s="248">
        <f t="shared" si="0"/>
        <v>-15</v>
      </c>
      <c r="J5" s="248">
        <f t="shared" si="0"/>
        <v>-14</v>
      </c>
      <c r="K5" s="248">
        <f t="shared" si="0"/>
        <v>-13</v>
      </c>
      <c r="L5" s="248">
        <f t="shared" ref="L5:U5" si="1">M5-1</f>
        <v>-12</v>
      </c>
      <c r="M5" s="248">
        <f t="shared" si="1"/>
        <v>-11</v>
      </c>
      <c r="N5" s="248">
        <f t="shared" si="1"/>
        <v>-10</v>
      </c>
      <c r="O5" s="248">
        <f t="shared" si="1"/>
        <v>-9</v>
      </c>
      <c r="P5" s="248">
        <f t="shared" si="1"/>
        <v>-8</v>
      </c>
      <c r="Q5" s="248">
        <f t="shared" si="1"/>
        <v>-7</v>
      </c>
      <c r="R5" s="248">
        <f t="shared" si="1"/>
        <v>-6</v>
      </c>
      <c r="S5" s="248">
        <f t="shared" si="1"/>
        <v>-5</v>
      </c>
      <c r="T5" s="248">
        <f t="shared" si="1"/>
        <v>-4</v>
      </c>
      <c r="U5" s="248">
        <f t="shared" si="1"/>
        <v>-3</v>
      </c>
      <c r="V5" s="248">
        <f>W5-1</f>
        <v>-2</v>
      </c>
      <c r="W5" s="249">
        <v>-1</v>
      </c>
      <c r="X5" s="250" t="s">
        <v>1470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30.75" customHeight="1">
      <c r="A6" s="251" t="s">
        <v>1265</v>
      </c>
      <c r="B6" s="242">
        <f>SUM(B7:B29)</f>
        <v>3</v>
      </c>
      <c r="C6" s="462"/>
      <c r="D6" s="462"/>
      <c r="E6" s="180"/>
      <c r="F6" s="179"/>
      <c r="G6" s="179"/>
      <c r="H6" s="181"/>
      <c r="I6" s="178"/>
      <c r="J6" s="136"/>
      <c r="K6" s="136"/>
      <c r="L6" s="245" t="s">
        <v>189</v>
      </c>
      <c r="M6" s="136"/>
      <c r="N6" s="136"/>
      <c r="O6" s="140"/>
      <c r="P6" s="245" t="s">
        <v>247</v>
      </c>
      <c r="Q6" s="136"/>
      <c r="R6" s="136"/>
      <c r="S6" s="136"/>
      <c r="T6" s="245" t="s">
        <v>190</v>
      </c>
      <c r="U6" s="136"/>
      <c r="V6" s="136"/>
      <c r="W6" s="137"/>
      <c r="X6" s="252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2" customHeight="1">
      <c r="A7" s="253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4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7.25" customHeight="1">
      <c r="A8" s="251" t="s">
        <v>258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47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4.25" customHeight="1">
      <c r="A9" s="454" t="str">
        <f>Mob_Staffing!B8</f>
        <v>Plant Manager</v>
      </c>
      <c r="B9" s="458">
        <f>Mob_Staffing!E8</f>
        <v>1</v>
      </c>
      <c r="C9" s="458">
        <f>Mob_Staffing!F8</f>
        <v>-12</v>
      </c>
      <c r="D9" s="458">
        <f>Mob_Staffing!G8</f>
        <v>12</v>
      </c>
      <c r="E9" s="542" t="str">
        <f>IF(AND($C9&lt;=E$5,$C9+$D9&gt;E$5),"XXXXX","")</f>
        <v/>
      </c>
      <c r="F9" s="542" t="str">
        <f t="shared" ref="F9:W19" si="2">IF(AND($C9&lt;=F$5,$C9+$D9&gt;F$5),"XXXXX","")</f>
        <v/>
      </c>
      <c r="G9" s="542" t="str">
        <f t="shared" si="2"/>
        <v/>
      </c>
      <c r="H9" s="542" t="str">
        <f t="shared" si="2"/>
        <v/>
      </c>
      <c r="I9" s="542" t="str">
        <f t="shared" si="2"/>
        <v/>
      </c>
      <c r="J9" s="542" t="str">
        <f t="shared" si="2"/>
        <v/>
      </c>
      <c r="K9" s="542" t="str">
        <f t="shared" si="2"/>
        <v/>
      </c>
      <c r="L9" s="542" t="str">
        <f t="shared" si="2"/>
        <v>XXXXX</v>
      </c>
      <c r="M9" s="542" t="str">
        <f t="shared" si="2"/>
        <v>XXXXX</v>
      </c>
      <c r="N9" s="542" t="str">
        <f t="shared" si="2"/>
        <v>XXXXX</v>
      </c>
      <c r="O9" s="542" t="str">
        <f t="shared" si="2"/>
        <v>XXXXX</v>
      </c>
      <c r="P9" s="542" t="str">
        <f t="shared" si="2"/>
        <v>XXXXX</v>
      </c>
      <c r="Q9" s="542" t="str">
        <f t="shared" si="2"/>
        <v>XXXXX</v>
      </c>
      <c r="R9" s="542" t="str">
        <f t="shared" si="2"/>
        <v>XXXXX</v>
      </c>
      <c r="S9" s="542" t="str">
        <f t="shared" si="2"/>
        <v>XXXXX</v>
      </c>
      <c r="T9" s="542" t="str">
        <f t="shared" si="2"/>
        <v>XXXXX</v>
      </c>
      <c r="U9" s="542" t="str">
        <f t="shared" si="2"/>
        <v>XXXXX</v>
      </c>
      <c r="V9" s="542" t="str">
        <f t="shared" si="2"/>
        <v>XXXXX</v>
      </c>
      <c r="W9" s="542" t="str">
        <f t="shared" si="2"/>
        <v>XXXXX</v>
      </c>
      <c r="X9" s="25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4.25" customHeight="1">
      <c r="A10" s="454" t="str">
        <f>Mob_Staffing!B9</f>
        <v>Assistant Plant Manager</v>
      </c>
      <c r="B10" s="458">
        <f>Mob_Staffing!E9</f>
        <v>0</v>
      </c>
      <c r="C10" s="458">
        <f>Mob_Staffing!F9</f>
        <v>0</v>
      </c>
      <c r="D10" s="458">
        <f>Mob_Staffing!G9</f>
        <v>0</v>
      </c>
      <c r="E10" s="542" t="str">
        <f t="shared" ref="E10:E19" si="3">IF(AND($C10&lt;=E$5,$C10+$D10&gt;E$5),"XXXXX","")</f>
        <v/>
      </c>
      <c r="F10" s="542" t="str">
        <f t="shared" si="2"/>
        <v/>
      </c>
      <c r="G10" s="542" t="str">
        <f t="shared" si="2"/>
        <v/>
      </c>
      <c r="H10" s="542" t="str">
        <f t="shared" si="2"/>
        <v/>
      </c>
      <c r="I10" s="542" t="str">
        <f t="shared" si="2"/>
        <v/>
      </c>
      <c r="J10" s="542" t="str">
        <f t="shared" si="2"/>
        <v/>
      </c>
      <c r="K10" s="542" t="str">
        <f t="shared" si="2"/>
        <v/>
      </c>
      <c r="L10" s="542" t="str">
        <f t="shared" si="2"/>
        <v/>
      </c>
      <c r="M10" s="542" t="str">
        <f t="shared" si="2"/>
        <v/>
      </c>
      <c r="N10" s="542" t="str">
        <f t="shared" si="2"/>
        <v/>
      </c>
      <c r="O10" s="542" t="str">
        <f t="shared" si="2"/>
        <v/>
      </c>
      <c r="P10" s="542" t="str">
        <f t="shared" si="2"/>
        <v/>
      </c>
      <c r="Q10" s="542" t="str">
        <f t="shared" si="2"/>
        <v/>
      </c>
      <c r="R10" s="542" t="str">
        <f t="shared" si="2"/>
        <v/>
      </c>
      <c r="S10" s="542" t="str">
        <f t="shared" si="2"/>
        <v/>
      </c>
      <c r="T10" s="542" t="str">
        <f t="shared" si="2"/>
        <v/>
      </c>
      <c r="U10" s="542" t="str">
        <f t="shared" si="2"/>
        <v/>
      </c>
      <c r="V10" s="542" t="str">
        <f t="shared" si="2"/>
        <v/>
      </c>
      <c r="W10" s="542" t="str">
        <f t="shared" si="2"/>
        <v/>
      </c>
      <c r="X10" s="25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4.25" customHeight="1">
      <c r="A11" s="454" t="str">
        <f>Mob_Staffing!B10</f>
        <v>Plant Engineer</v>
      </c>
      <c r="B11" s="458">
        <f>Mob_Staffing!E10</f>
        <v>0</v>
      </c>
      <c r="C11" s="458">
        <f>Mob_Staffing!F10</f>
        <v>0</v>
      </c>
      <c r="D11" s="458">
        <f>Mob_Staffing!G10</f>
        <v>0</v>
      </c>
      <c r="E11" s="542" t="str">
        <f t="shared" si="3"/>
        <v/>
      </c>
      <c r="F11" s="542" t="str">
        <f t="shared" si="2"/>
        <v/>
      </c>
      <c r="G11" s="542" t="str">
        <f t="shared" si="2"/>
        <v/>
      </c>
      <c r="H11" s="542" t="str">
        <f t="shared" si="2"/>
        <v/>
      </c>
      <c r="I11" s="542" t="str">
        <f t="shared" si="2"/>
        <v/>
      </c>
      <c r="J11" s="542" t="str">
        <f t="shared" si="2"/>
        <v/>
      </c>
      <c r="K11" s="542" t="str">
        <f t="shared" si="2"/>
        <v/>
      </c>
      <c r="L11" s="542" t="str">
        <f t="shared" si="2"/>
        <v/>
      </c>
      <c r="M11" s="542" t="str">
        <f t="shared" si="2"/>
        <v/>
      </c>
      <c r="N11" s="542" t="str">
        <f t="shared" si="2"/>
        <v/>
      </c>
      <c r="O11" s="542" t="str">
        <f t="shared" si="2"/>
        <v/>
      </c>
      <c r="P11" s="542" t="str">
        <f t="shared" si="2"/>
        <v/>
      </c>
      <c r="Q11" s="542" t="str">
        <f t="shared" si="2"/>
        <v/>
      </c>
      <c r="R11" s="542" t="str">
        <f t="shared" si="2"/>
        <v/>
      </c>
      <c r="S11" s="542" t="str">
        <f t="shared" si="2"/>
        <v/>
      </c>
      <c r="T11" s="542" t="str">
        <f t="shared" si="2"/>
        <v/>
      </c>
      <c r="U11" s="542" t="str">
        <f t="shared" si="2"/>
        <v/>
      </c>
      <c r="V11" s="542" t="str">
        <f t="shared" si="2"/>
        <v/>
      </c>
      <c r="W11" s="542" t="str">
        <f t="shared" si="2"/>
        <v/>
      </c>
      <c r="X11" s="254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4.25" customHeight="1">
      <c r="A12" s="454" t="str">
        <f>Mob_Staffing!B11</f>
        <v>Administration Manager</v>
      </c>
      <c r="B12" s="458">
        <f>Mob_Staffing!E11</f>
        <v>0</v>
      </c>
      <c r="C12" s="458">
        <f>Mob_Staffing!F11</f>
        <v>0</v>
      </c>
      <c r="D12" s="458">
        <f>Mob_Staffing!G11</f>
        <v>0</v>
      </c>
      <c r="E12" s="542" t="str">
        <f t="shared" si="3"/>
        <v/>
      </c>
      <c r="F12" s="542" t="str">
        <f t="shared" si="2"/>
        <v/>
      </c>
      <c r="G12" s="542" t="str">
        <f t="shared" si="2"/>
        <v/>
      </c>
      <c r="H12" s="542" t="str">
        <f t="shared" si="2"/>
        <v/>
      </c>
      <c r="I12" s="542" t="str">
        <f t="shared" si="2"/>
        <v/>
      </c>
      <c r="J12" s="542" t="str">
        <f t="shared" si="2"/>
        <v/>
      </c>
      <c r="K12" s="542" t="str">
        <f t="shared" si="2"/>
        <v/>
      </c>
      <c r="L12" s="542" t="str">
        <f t="shared" si="2"/>
        <v/>
      </c>
      <c r="M12" s="542" t="str">
        <f t="shared" si="2"/>
        <v/>
      </c>
      <c r="N12" s="542" t="str">
        <f t="shared" si="2"/>
        <v/>
      </c>
      <c r="O12" s="542" t="str">
        <f t="shared" si="2"/>
        <v/>
      </c>
      <c r="P12" s="542" t="str">
        <f t="shared" si="2"/>
        <v/>
      </c>
      <c r="Q12" s="542" t="str">
        <f t="shared" si="2"/>
        <v/>
      </c>
      <c r="R12" s="542" t="str">
        <f t="shared" si="2"/>
        <v/>
      </c>
      <c r="S12" s="542" t="str">
        <f t="shared" si="2"/>
        <v/>
      </c>
      <c r="T12" s="542" t="str">
        <f t="shared" si="2"/>
        <v/>
      </c>
      <c r="U12" s="542" t="str">
        <f t="shared" si="2"/>
        <v/>
      </c>
      <c r="V12" s="542" t="str">
        <f t="shared" si="2"/>
        <v/>
      </c>
      <c r="W12" s="542" t="str">
        <f t="shared" si="2"/>
        <v/>
      </c>
      <c r="X12" s="25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4.25" customHeight="1">
      <c r="A13" s="454" t="str">
        <f>Mob_Staffing!B12</f>
        <v>Controller</v>
      </c>
      <c r="B13" s="458">
        <f>Mob_Staffing!E12</f>
        <v>0</v>
      </c>
      <c r="C13" s="458">
        <f>Mob_Staffing!F12</f>
        <v>0</v>
      </c>
      <c r="D13" s="458">
        <f>Mob_Staffing!G12</f>
        <v>0</v>
      </c>
      <c r="E13" s="542" t="str">
        <f t="shared" si="3"/>
        <v/>
      </c>
      <c r="F13" s="542" t="str">
        <f t="shared" si="2"/>
        <v/>
      </c>
      <c r="G13" s="542" t="str">
        <f t="shared" si="2"/>
        <v/>
      </c>
      <c r="H13" s="542" t="str">
        <f t="shared" si="2"/>
        <v/>
      </c>
      <c r="I13" s="542" t="str">
        <f t="shared" si="2"/>
        <v/>
      </c>
      <c r="J13" s="542" t="str">
        <f t="shared" si="2"/>
        <v/>
      </c>
      <c r="K13" s="542" t="str">
        <f t="shared" si="2"/>
        <v/>
      </c>
      <c r="L13" s="542" t="str">
        <f t="shared" si="2"/>
        <v/>
      </c>
      <c r="M13" s="542" t="str">
        <f t="shared" si="2"/>
        <v/>
      </c>
      <c r="N13" s="542" t="str">
        <f t="shared" si="2"/>
        <v/>
      </c>
      <c r="O13" s="542" t="str">
        <f t="shared" si="2"/>
        <v/>
      </c>
      <c r="P13" s="542" t="str">
        <f t="shared" si="2"/>
        <v/>
      </c>
      <c r="Q13" s="542" t="str">
        <f t="shared" si="2"/>
        <v/>
      </c>
      <c r="R13" s="542" t="str">
        <f t="shared" si="2"/>
        <v/>
      </c>
      <c r="S13" s="542" t="str">
        <f t="shared" si="2"/>
        <v/>
      </c>
      <c r="T13" s="542" t="str">
        <f t="shared" si="2"/>
        <v/>
      </c>
      <c r="U13" s="542" t="str">
        <f t="shared" si="2"/>
        <v/>
      </c>
      <c r="V13" s="542" t="str">
        <f t="shared" si="2"/>
        <v/>
      </c>
      <c r="W13" s="542" t="str">
        <f t="shared" si="2"/>
        <v/>
      </c>
      <c r="X13" s="25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4.25" customHeight="1">
      <c r="A14" s="454" t="str">
        <f>Mob_Staffing!B13</f>
        <v>Accountant</v>
      </c>
      <c r="B14" s="458">
        <f>Mob_Staffing!E13</f>
        <v>0</v>
      </c>
      <c r="C14" s="458">
        <f>Mob_Staffing!F13</f>
        <v>0</v>
      </c>
      <c r="D14" s="458">
        <f>Mob_Staffing!G13</f>
        <v>0</v>
      </c>
      <c r="E14" s="542" t="str">
        <f t="shared" si="3"/>
        <v/>
      </c>
      <c r="F14" s="542" t="str">
        <f t="shared" si="2"/>
        <v/>
      </c>
      <c r="G14" s="542" t="str">
        <f t="shared" si="2"/>
        <v/>
      </c>
      <c r="H14" s="542" t="str">
        <f t="shared" si="2"/>
        <v/>
      </c>
      <c r="I14" s="542" t="str">
        <f t="shared" si="2"/>
        <v/>
      </c>
      <c r="J14" s="542" t="str">
        <f t="shared" si="2"/>
        <v/>
      </c>
      <c r="K14" s="542" t="str">
        <f t="shared" si="2"/>
        <v/>
      </c>
      <c r="L14" s="542" t="str">
        <f t="shared" si="2"/>
        <v/>
      </c>
      <c r="M14" s="542" t="str">
        <f t="shared" si="2"/>
        <v/>
      </c>
      <c r="N14" s="542" t="str">
        <f t="shared" si="2"/>
        <v/>
      </c>
      <c r="O14" s="542" t="str">
        <f t="shared" si="2"/>
        <v/>
      </c>
      <c r="P14" s="542" t="str">
        <f t="shared" si="2"/>
        <v/>
      </c>
      <c r="Q14" s="542" t="str">
        <f t="shared" si="2"/>
        <v/>
      </c>
      <c r="R14" s="542" t="str">
        <f t="shared" si="2"/>
        <v/>
      </c>
      <c r="S14" s="542" t="str">
        <f t="shared" si="2"/>
        <v/>
      </c>
      <c r="T14" s="542" t="str">
        <f t="shared" si="2"/>
        <v/>
      </c>
      <c r="U14" s="542" t="str">
        <f t="shared" si="2"/>
        <v/>
      </c>
      <c r="V14" s="542" t="str">
        <f t="shared" si="2"/>
        <v/>
      </c>
      <c r="W14" s="542" t="str">
        <f t="shared" si="2"/>
        <v/>
      </c>
      <c r="X14" s="25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4.25" customHeight="1">
      <c r="A15" s="454" t="str">
        <f>Mob_Staffing!B14</f>
        <v>Administrative Assistant</v>
      </c>
      <c r="B15" s="458">
        <f>Mob_Staffing!E14</f>
        <v>1</v>
      </c>
      <c r="C15" s="458">
        <f>Mob_Staffing!F14</f>
        <v>7</v>
      </c>
      <c r="D15" s="458">
        <f>Mob_Staffing!G14</f>
        <v>-7</v>
      </c>
      <c r="E15" s="542" t="str">
        <f t="shared" si="3"/>
        <v/>
      </c>
      <c r="F15" s="542" t="str">
        <f t="shared" si="2"/>
        <v/>
      </c>
      <c r="G15" s="542" t="str">
        <f t="shared" si="2"/>
        <v/>
      </c>
      <c r="H15" s="542" t="str">
        <f t="shared" si="2"/>
        <v/>
      </c>
      <c r="I15" s="542" t="str">
        <f t="shared" si="2"/>
        <v/>
      </c>
      <c r="J15" s="542" t="str">
        <f t="shared" si="2"/>
        <v/>
      </c>
      <c r="K15" s="542" t="str">
        <f t="shared" si="2"/>
        <v/>
      </c>
      <c r="L15" s="542" t="str">
        <f t="shared" si="2"/>
        <v/>
      </c>
      <c r="M15" s="542" t="str">
        <f t="shared" si="2"/>
        <v/>
      </c>
      <c r="N15" s="542" t="str">
        <f t="shared" si="2"/>
        <v/>
      </c>
      <c r="O15" s="542" t="str">
        <f t="shared" si="2"/>
        <v/>
      </c>
      <c r="P15" s="542" t="str">
        <f t="shared" si="2"/>
        <v/>
      </c>
      <c r="Q15" s="542" t="str">
        <f t="shared" si="2"/>
        <v/>
      </c>
      <c r="R15" s="542" t="str">
        <f t="shared" si="2"/>
        <v/>
      </c>
      <c r="S15" s="542" t="str">
        <f t="shared" si="2"/>
        <v/>
      </c>
      <c r="T15" s="542" t="str">
        <f t="shared" si="2"/>
        <v/>
      </c>
      <c r="U15" s="542" t="str">
        <f t="shared" si="2"/>
        <v/>
      </c>
      <c r="V15" s="542" t="str">
        <f t="shared" si="2"/>
        <v/>
      </c>
      <c r="W15" s="542" t="str">
        <f t="shared" si="2"/>
        <v/>
      </c>
      <c r="X15" s="25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4.25" customHeight="1">
      <c r="A16" s="454" t="str">
        <f>Mob_Staffing!B15</f>
        <v>Warehouse Supervisor</v>
      </c>
      <c r="B16" s="458">
        <f>Mob_Staffing!E15</f>
        <v>0</v>
      </c>
      <c r="C16" s="458">
        <f>Mob_Staffing!F15</f>
        <v>0</v>
      </c>
      <c r="D16" s="458">
        <f>Mob_Staffing!G15</f>
        <v>0</v>
      </c>
      <c r="E16" s="542" t="str">
        <f t="shared" si="3"/>
        <v/>
      </c>
      <c r="F16" s="542" t="str">
        <f t="shared" si="2"/>
        <v/>
      </c>
      <c r="G16" s="542" t="str">
        <f t="shared" si="2"/>
        <v/>
      </c>
      <c r="H16" s="542" t="str">
        <f t="shared" si="2"/>
        <v/>
      </c>
      <c r="I16" s="542" t="str">
        <f t="shared" si="2"/>
        <v/>
      </c>
      <c r="J16" s="542" t="str">
        <f t="shared" si="2"/>
        <v/>
      </c>
      <c r="K16" s="542" t="str">
        <f t="shared" si="2"/>
        <v/>
      </c>
      <c r="L16" s="542" t="str">
        <f t="shared" si="2"/>
        <v/>
      </c>
      <c r="M16" s="542" t="str">
        <f t="shared" si="2"/>
        <v/>
      </c>
      <c r="N16" s="542" t="str">
        <f t="shared" si="2"/>
        <v/>
      </c>
      <c r="O16" s="542" t="str">
        <f t="shared" si="2"/>
        <v/>
      </c>
      <c r="P16" s="542" t="str">
        <f t="shared" si="2"/>
        <v/>
      </c>
      <c r="Q16" s="542" t="str">
        <f t="shared" si="2"/>
        <v/>
      </c>
      <c r="R16" s="542" t="str">
        <f t="shared" si="2"/>
        <v/>
      </c>
      <c r="S16" s="542" t="str">
        <f t="shared" si="2"/>
        <v/>
      </c>
      <c r="T16" s="542" t="str">
        <f t="shared" si="2"/>
        <v/>
      </c>
      <c r="U16" s="542" t="str">
        <f t="shared" si="2"/>
        <v/>
      </c>
      <c r="V16" s="542" t="str">
        <f t="shared" si="2"/>
        <v/>
      </c>
      <c r="W16" s="542" t="str">
        <f t="shared" si="2"/>
        <v/>
      </c>
      <c r="X16" s="25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4.25" customHeight="1">
      <c r="A17" s="454" t="str">
        <f>Mob_Staffing!B16</f>
        <v>Other</v>
      </c>
      <c r="B17" s="458">
        <f>Mob_Staffing!E16</f>
        <v>0</v>
      </c>
      <c r="C17" s="458">
        <f>Mob_Staffing!F16</f>
        <v>0</v>
      </c>
      <c r="D17" s="458">
        <f>Mob_Staffing!G16</f>
        <v>0</v>
      </c>
      <c r="E17" s="542" t="str">
        <f t="shared" si="3"/>
        <v/>
      </c>
      <c r="F17" s="542" t="str">
        <f t="shared" si="2"/>
        <v/>
      </c>
      <c r="G17" s="542" t="str">
        <f t="shared" si="2"/>
        <v/>
      </c>
      <c r="H17" s="542" t="str">
        <f t="shared" si="2"/>
        <v/>
      </c>
      <c r="I17" s="542" t="str">
        <f t="shared" si="2"/>
        <v/>
      </c>
      <c r="J17" s="542" t="str">
        <f t="shared" si="2"/>
        <v/>
      </c>
      <c r="K17" s="542" t="str">
        <f t="shared" si="2"/>
        <v/>
      </c>
      <c r="L17" s="542" t="str">
        <f t="shared" si="2"/>
        <v/>
      </c>
      <c r="M17" s="542" t="str">
        <f t="shared" si="2"/>
        <v/>
      </c>
      <c r="N17" s="542" t="str">
        <f t="shared" si="2"/>
        <v/>
      </c>
      <c r="O17" s="542" t="str">
        <f t="shared" si="2"/>
        <v/>
      </c>
      <c r="P17" s="542" t="str">
        <f t="shared" si="2"/>
        <v/>
      </c>
      <c r="Q17" s="542" t="str">
        <f t="shared" si="2"/>
        <v/>
      </c>
      <c r="R17" s="542" t="str">
        <f t="shared" si="2"/>
        <v/>
      </c>
      <c r="S17" s="542" t="str">
        <f t="shared" si="2"/>
        <v/>
      </c>
      <c r="T17" s="542" t="str">
        <f t="shared" si="2"/>
        <v/>
      </c>
      <c r="U17" s="542" t="str">
        <f t="shared" si="2"/>
        <v/>
      </c>
      <c r="V17" s="542" t="str">
        <f t="shared" si="2"/>
        <v/>
      </c>
      <c r="W17" s="542" t="str">
        <f t="shared" si="2"/>
        <v/>
      </c>
      <c r="X17" s="25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4.25" customHeight="1">
      <c r="A18" s="454" t="str">
        <f>Mob_Staffing!B17</f>
        <v>Other</v>
      </c>
      <c r="B18" s="458">
        <f>Mob_Staffing!E17</f>
        <v>0</v>
      </c>
      <c r="C18" s="458">
        <f>Mob_Staffing!F17</f>
        <v>0</v>
      </c>
      <c r="D18" s="458">
        <f>Mob_Staffing!G17</f>
        <v>0</v>
      </c>
      <c r="E18" s="542" t="str">
        <f t="shared" si="3"/>
        <v/>
      </c>
      <c r="F18" s="542" t="str">
        <f t="shared" si="2"/>
        <v/>
      </c>
      <c r="G18" s="542" t="str">
        <f t="shared" si="2"/>
        <v/>
      </c>
      <c r="H18" s="542" t="str">
        <f t="shared" si="2"/>
        <v/>
      </c>
      <c r="I18" s="542" t="str">
        <f t="shared" si="2"/>
        <v/>
      </c>
      <c r="J18" s="542" t="str">
        <f t="shared" si="2"/>
        <v/>
      </c>
      <c r="K18" s="542" t="str">
        <f t="shared" si="2"/>
        <v/>
      </c>
      <c r="L18" s="542" t="str">
        <f t="shared" si="2"/>
        <v/>
      </c>
      <c r="M18" s="542" t="str">
        <f t="shared" si="2"/>
        <v/>
      </c>
      <c r="N18" s="542" t="str">
        <f t="shared" si="2"/>
        <v/>
      </c>
      <c r="O18" s="542" t="str">
        <f t="shared" si="2"/>
        <v/>
      </c>
      <c r="P18" s="542" t="str">
        <f t="shared" si="2"/>
        <v/>
      </c>
      <c r="Q18" s="542" t="str">
        <f t="shared" si="2"/>
        <v/>
      </c>
      <c r="R18" s="542" t="str">
        <f t="shared" si="2"/>
        <v/>
      </c>
      <c r="S18" s="542" t="str">
        <f t="shared" si="2"/>
        <v/>
      </c>
      <c r="T18" s="542" t="str">
        <f t="shared" si="2"/>
        <v/>
      </c>
      <c r="U18" s="542" t="str">
        <f t="shared" si="2"/>
        <v/>
      </c>
      <c r="V18" s="542" t="str">
        <f t="shared" si="2"/>
        <v/>
      </c>
      <c r="W18" s="542" t="str">
        <f t="shared" si="2"/>
        <v/>
      </c>
      <c r="X18" s="25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4.25" customHeight="1">
      <c r="A19" s="454" t="str">
        <f>Mob_Staffing!B18</f>
        <v>Other</v>
      </c>
      <c r="B19" s="458">
        <f>Mob_Staffing!E18</f>
        <v>0</v>
      </c>
      <c r="C19" s="458">
        <f>Mob_Staffing!F18</f>
        <v>0</v>
      </c>
      <c r="D19" s="458">
        <f>Mob_Staffing!G18</f>
        <v>0</v>
      </c>
      <c r="E19" s="542" t="str">
        <f t="shared" si="3"/>
        <v/>
      </c>
      <c r="F19" s="542" t="str">
        <f t="shared" si="2"/>
        <v/>
      </c>
      <c r="G19" s="542" t="str">
        <f t="shared" si="2"/>
        <v/>
      </c>
      <c r="H19" s="542" t="str">
        <f t="shared" si="2"/>
        <v/>
      </c>
      <c r="I19" s="542" t="str">
        <f t="shared" si="2"/>
        <v/>
      </c>
      <c r="J19" s="542" t="str">
        <f t="shared" si="2"/>
        <v/>
      </c>
      <c r="K19" s="542" t="str">
        <f t="shared" si="2"/>
        <v/>
      </c>
      <c r="L19" s="542" t="str">
        <f t="shared" si="2"/>
        <v/>
      </c>
      <c r="M19" s="542" t="str">
        <f t="shared" si="2"/>
        <v/>
      </c>
      <c r="N19" s="542" t="str">
        <f t="shared" si="2"/>
        <v/>
      </c>
      <c r="O19" s="542" t="str">
        <f t="shared" si="2"/>
        <v/>
      </c>
      <c r="P19" s="542" t="str">
        <f t="shared" si="2"/>
        <v/>
      </c>
      <c r="Q19" s="542" t="str">
        <f t="shared" si="2"/>
        <v/>
      </c>
      <c r="R19" s="542" t="str">
        <f t="shared" si="2"/>
        <v/>
      </c>
      <c r="S19" s="542" t="str">
        <f t="shared" si="2"/>
        <v/>
      </c>
      <c r="T19" s="542" t="str">
        <f t="shared" si="2"/>
        <v/>
      </c>
      <c r="U19" s="542" t="str">
        <f t="shared" si="2"/>
        <v/>
      </c>
      <c r="V19" s="542" t="str">
        <f t="shared" si="2"/>
        <v/>
      </c>
      <c r="W19" s="542" t="str">
        <f t="shared" si="2"/>
        <v/>
      </c>
      <c r="X19" s="25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4.25" customHeight="1">
      <c r="A20" s="454"/>
      <c r="B20" s="102"/>
      <c r="C20"/>
      <c r="D20"/>
      <c r="E20" s="155"/>
      <c r="F20" s="155"/>
      <c r="G20" s="155"/>
      <c r="H20" s="155"/>
      <c r="I20" s="155"/>
      <c r="J20" s="155"/>
      <c r="K20" s="155"/>
      <c r="L20" s="547"/>
      <c r="M20" s="547"/>
      <c r="N20" s="547"/>
      <c r="O20" s="547"/>
      <c r="P20" s="547"/>
      <c r="Q20" s="547"/>
      <c r="R20" s="547"/>
      <c r="S20" s="547"/>
      <c r="T20" s="547"/>
      <c r="U20" s="547"/>
      <c r="V20" s="547"/>
      <c r="W20" s="547"/>
      <c r="X20" s="147"/>
    </row>
    <row r="21" spans="1:52" ht="14.25" customHeight="1">
      <c r="A21" s="460" t="s">
        <v>267</v>
      </c>
      <c r="B21" s="102"/>
      <c r="C21"/>
      <c r="D21"/>
      <c r="E21" s="155"/>
      <c r="F21" s="155"/>
      <c r="G21" s="155"/>
      <c r="H21" s="155"/>
      <c r="I21" s="155"/>
      <c r="J21" s="155"/>
      <c r="K21" s="155"/>
      <c r="L21" s="547"/>
      <c r="M21" s="547"/>
      <c r="N21" s="547"/>
      <c r="O21" s="547"/>
      <c r="P21" s="547"/>
      <c r="Q21" s="547"/>
      <c r="R21" s="547"/>
      <c r="S21" s="547"/>
      <c r="T21" s="547"/>
      <c r="U21" s="547"/>
      <c r="V21" s="547"/>
      <c r="W21" s="547"/>
      <c r="X21" s="147"/>
    </row>
    <row r="22" spans="1:52" ht="14.25" customHeight="1">
      <c r="A22" s="454" t="str">
        <f>Mob_Staffing!B21</f>
        <v>Operations Manager</v>
      </c>
      <c r="B22" s="458">
        <f>Mob_Staffing!E21</f>
        <v>1</v>
      </c>
      <c r="C22" s="458">
        <f>Mob_Staffing!F21</f>
        <v>-9</v>
      </c>
      <c r="D22" s="458">
        <f>Mob_Staffing!G21</f>
        <v>9</v>
      </c>
      <c r="E22" s="542" t="str">
        <f>IF(AND($C22&lt;=E$5,$C22+$D22&gt;E$5),"XXXXX","")</f>
        <v/>
      </c>
      <c r="F22" s="542" t="str">
        <f t="shared" ref="F22:W32" si="4">IF(AND($C22&lt;=F$5,$C22+$D22&gt;F$5),"XXXXX","")</f>
        <v/>
      </c>
      <c r="G22" s="542" t="str">
        <f t="shared" si="4"/>
        <v/>
      </c>
      <c r="H22" s="542" t="str">
        <f t="shared" si="4"/>
        <v/>
      </c>
      <c r="I22" s="542" t="str">
        <f t="shared" si="4"/>
        <v/>
      </c>
      <c r="J22" s="542" t="str">
        <f t="shared" si="4"/>
        <v/>
      </c>
      <c r="K22" s="542" t="str">
        <f t="shared" si="4"/>
        <v/>
      </c>
      <c r="L22" s="542" t="str">
        <f t="shared" si="4"/>
        <v/>
      </c>
      <c r="M22" s="542" t="str">
        <f t="shared" si="4"/>
        <v/>
      </c>
      <c r="N22" s="542" t="str">
        <f t="shared" si="4"/>
        <v/>
      </c>
      <c r="O22" s="542" t="str">
        <f t="shared" si="4"/>
        <v>XXXXX</v>
      </c>
      <c r="P22" s="542" t="str">
        <f t="shared" si="4"/>
        <v>XXXXX</v>
      </c>
      <c r="Q22" s="542" t="str">
        <f t="shared" si="4"/>
        <v>XXXXX</v>
      </c>
      <c r="R22" s="542" t="str">
        <f t="shared" si="4"/>
        <v>XXXXX</v>
      </c>
      <c r="S22" s="542" t="str">
        <f t="shared" si="4"/>
        <v>XXXXX</v>
      </c>
      <c r="T22" s="542" t="str">
        <f t="shared" si="4"/>
        <v>XXXXX</v>
      </c>
      <c r="U22" s="542" t="str">
        <f t="shared" si="4"/>
        <v>XXXXX</v>
      </c>
      <c r="V22" s="542" t="str">
        <f t="shared" si="4"/>
        <v>XXXXX</v>
      </c>
      <c r="W22" s="542" t="str">
        <f t="shared" si="4"/>
        <v>XXXXX</v>
      </c>
      <c r="X22" s="25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4.25" customHeight="1">
      <c r="A23" s="454" t="str">
        <f>Mob_Staffing!B22</f>
        <v>Operations Shift Supervisors</v>
      </c>
      <c r="B23" s="458">
        <f>Mob_Staffing!E22</f>
        <v>0</v>
      </c>
      <c r="C23" s="458">
        <f>Mob_Staffing!F22</f>
        <v>0</v>
      </c>
      <c r="D23" s="458">
        <f>Mob_Staffing!G22</f>
        <v>0</v>
      </c>
      <c r="E23" s="542" t="str">
        <f t="shared" ref="E23:E32" si="5">IF(AND($C23&lt;=E$5,$C23+$D23&gt;E$5),"XXXXX","")</f>
        <v/>
      </c>
      <c r="F23" s="542" t="str">
        <f t="shared" si="4"/>
        <v/>
      </c>
      <c r="G23" s="542" t="str">
        <f t="shared" si="4"/>
        <v/>
      </c>
      <c r="H23" s="542" t="str">
        <f t="shared" si="4"/>
        <v/>
      </c>
      <c r="I23" s="542" t="str">
        <f t="shared" si="4"/>
        <v/>
      </c>
      <c r="J23" s="542" t="str">
        <f t="shared" si="4"/>
        <v/>
      </c>
      <c r="K23" s="542" t="str">
        <f t="shared" si="4"/>
        <v/>
      </c>
      <c r="L23" s="542" t="str">
        <f t="shared" si="4"/>
        <v/>
      </c>
      <c r="M23" s="542" t="str">
        <f t="shared" si="4"/>
        <v/>
      </c>
      <c r="N23" s="542" t="str">
        <f t="shared" si="4"/>
        <v/>
      </c>
      <c r="O23" s="542" t="str">
        <f t="shared" si="4"/>
        <v/>
      </c>
      <c r="P23" s="542" t="str">
        <f t="shared" si="4"/>
        <v/>
      </c>
      <c r="Q23" s="542" t="str">
        <f t="shared" si="4"/>
        <v/>
      </c>
      <c r="R23" s="542" t="str">
        <f t="shared" si="4"/>
        <v/>
      </c>
      <c r="S23" s="542" t="str">
        <f t="shared" si="4"/>
        <v/>
      </c>
      <c r="T23" s="542" t="str">
        <f t="shared" si="4"/>
        <v/>
      </c>
      <c r="U23" s="542" t="str">
        <f t="shared" si="4"/>
        <v/>
      </c>
      <c r="V23" s="542" t="str">
        <f t="shared" si="4"/>
        <v/>
      </c>
      <c r="W23" s="542" t="str">
        <f t="shared" si="4"/>
        <v/>
      </c>
      <c r="X23" s="25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4.25" customHeight="1">
      <c r="A24" s="454" t="str">
        <f>Mob_Staffing!B23</f>
        <v>Control Room Operators</v>
      </c>
      <c r="B24" s="458">
        <f>Mob_Staffing!E23</f>
        <v>0</v>
      </c>
      <c r="C24" s="458">
        <f>Mob_Staffing!F23</f>
        <v>0</v>
      </c>
      <c r="D24" s="458">
        <f>Mob_Staffing!G23</f>
        <v>0</v>
      </c>
      <c r="E24" s="542" t="str">
        <f t="shared" si="5"/>
        <v/>
      </c>
      <c r="F24" s="542" t="str">
        <f t="shared" si="4"/>
        <v/>
      </c>
      <c r="G24" s="542" t="str">
        <f t="shared" si="4"/>
        <v/>
      </c>
      <c r="H24" s="542" t="str">
        <f t="shared" si="4"/>
        <v/>
      </c>
      <c r="I24" s="542" t="str">
        <f t="shared" si="4"/>
        <v/>
      </c>
      <c r="J24" s="542" t="str">
        <f t="shared" si="4"/>
        <v/>
      </c>
      <c r="K24" s="542" t="str">
        <f t="shared" si="4"/>
        <v/>
      </c>
      <c r="L24" s="542" t="str">
        <f t="shared" si="4"/>
        <v/>
      </c>
      <c r="M24" s="542" t="str">
        <f t="shared" si="4"/>
        <v/>
      </c>
      <c r="N24" s="542" t="str">
        <f t="shared" si="4"/>
        <v/>
      </c>
      <c r="O24" s="542" t="str">
        <f t="shared" si="4"/>
        <v/>
      </c>
      <c r="P24" s="542" t="str">
        <f t="shared" si="4"/>
        <v/>
      </c>
      <c r="Q24" s="542" t="str">
        <f t="shared" si="4"/>
        <v/>
      </c>
      <c r="R24" s="542" t="str">
        <f t="shared" si="4"/>
        <v/>
      </c>
      <c r="S24" s="542" t="str">
        <f t="shared" si="4"/>
        <v/>
      </c>
      <c r="T24" s="542" t="str">
        <f t="shared" si="4"/>
        <v/>
      </c>
      <c r="U24" s="542" t="str">
        <f t="shared" si="4"/>
        <v/>
      </c>
      <c r="V24" s="542" t="str">
        <f t="shared" si="4"/>
        <v/>
      </c>
      <c r="W24" s="542" t="str">
        <f t="shared" si="4"/>
        <v/>
      </c>
      <c r="X24" s="25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4.25" customHeight="1">
      <c r="A25" s="454" t="str">
        <f>Mob_Staffing!B24</f>
        <v>Turbine Operators</v>
      </c>
      <c r="B25" s="458">
        <f>Mob_Staffing!E24</f>
        <v>0</v>
      </c>
      <c r="C25" s="458">
        <f>Mob_Staffing!F24</f>
        <v>0</v>
      </c>
      <c r="D25" s="458">
        <f>Mob_Staffing!G24</f>
        <v>0</v>
      </c>
      <c r="E25" s="542" t="str">
        <f t="shared" si="5"/>
        <v/>
      </c>
      <c r="F25" s="542" t="str">
        <f t="shared" si="4"/>
        <v/>
      </c>
      <c r="G25" s="542" t="str">
        <f t="shared" si="4"/>
        <v/>
      </c>
      <c r="H25" s="542" t="str">
        <f t="shared" si="4"/>
        <v/>
      </c>
      <c r="I25" s="542" t="str">
        <f t="shared" si="4"/>
        <v/>
      </c>
      <c r="J25" s="542" t="str">
        <f t="shared" si="4"/>
        <v/>
      </c>
      <c r="K25" s="542" t="str">
        <f t="shared" si="4"/>
        <v/>
      </c>
      <c r="L25" s="542" t="str">
        <f t="shared" si="4"/>
        <v/>
      </c>
      <c r="M25" s="542" t="str">
        <f t="shared" si="4"/>
        <v/>
      </c>
      <c r="N25" s="542" t="str">
        <f t="shared" si="4"/>
        <v/>
      </c>
      <c r="O25" s="542" t="str">
        <f t="shared" si="4"/>
        <v/>
      </c>
      <c r="P25" s="542" t="str">
        <f t="shared" si="4"/>
        <v/>
      </c>
      <c r="Q25" s="542" t="str">
        <f t="shared" si="4"/>
        <v/>
      </c>
      <c r="R25" s="542" t="str">
        <f t="shared" si="4"/>
        <v/>
      </c>
      <c r="S25" s="542" t="str">
        <f t="shared" si="4"/>
        <v/>
      </c>
      <c r="T25" s="542" t="str">
        <f t="shared" si="4"/>
        <v/>
      </c>
      <c r="U25" s="542" t="str">
        <f t="shared" si="4"/>
        <v/>
      </c>
      <c r="V25" s="542" t="str">
        <f t="shared" si="4"/>
        <v/>
      </c>
      <c r="W25" s="542" t="str">
        <f t="shared" si="4"/>
        <v/>
      </c>
      <c r="X25" s="25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4.25" customHeight="1">
      <c r="A26" s="454" t="str">
        <f>Mob_Staffing!B25</f>
        <v>Water System Opertors</v>
      </c>
      <c r="B26" s="458">
        <f>Mob_Staffing!E25</f>
        <v>0</v>
      </c>
      <c r="C26" s="458">
        <f>Mob_Staffing!F25</f>
        <v>0</v>
      </c>
      <c r="D26" s="458">
        <f>Mob_Staffing!G25</f>
        <v>0</v>
      </c>
      <c r="E26" s="542" t="str">
        <f t="shared" si="5"/>
        <v/>
      </c>
      <c r="F26" s="542" t="str">
        <f t="shared" si="4"/>
        <v/>
      </c>
      <c r="G26" s="542" t="str">
        <f t="shared" si="4"/>
        <v/>
      </c>
      <c r="H26" s="542" t="str">
        <f t="shared" si="4"/>
        <v/>
      </c>
      <c r="I26" s="542" t="str">
        <f t="shared" si="4"/>
        <v/>
      </c>
      <c r="J26" s="542" t="str">
        <f t="shared" si="4"/>
        <v/>
      </c>
      <c r="K26" s="542" t="str">
        <f t="shared" si="4"/>
        <v/>
      </c>
      <c r="L26" s="542" t="str">
        <f t="shared" si="4"/>
        <v/>
      </c>
      <c r="M26" s="542" t="str">
        <f t="shared" si="4"/>
        <v/>
      </c>
      <c r="N26" s="542" t="str">
        <f t="shared" si="4"/>
        <v/>
      </c>
      <c r="O26" s="542" t="str">
        <f t="shared" si="4"/>
        <v/>
      </c>
      <c r="P26" s="542" t="str">
        <f t="shared" si="4"/>
        <v/>
      </c>
      <c r="Q26" s="542" t="str">
        <f t="shared" si="4"/>
        <v/>
      </c>
      <c r="R26" s="542" t="str">
        <f t="shared" si="4"/>
        <v/>
      </c>
      <c r="S26" s="542" t="str">
        <f t="shared" si="4"/>
        <v/>
      </c>
      <c r="T26" s="542" t="str">
        <f t="shared" si="4"/>
        <v/>
      </c>
      <c r="U26" s="542" t="str">
        <f t="shared" si="4"/>
        <v/>
      </c>
      <c r="V26" s="542" t="str">
        <f t="shared" si="4"/>
        <v/>
      </c>
      <c r="W26" s="542" t="str">
        <f t="shared" si="4"/>
        <v/>
      </c>
      <c r="X26" s="25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4.25" customHeight="1">
      <c r="A27" s="454" t="str">
        <f>Mob_Staffing!B26</f>
        <v>Fuel Storage/Handling Operators</v>
      </c>
      <c r="B27" s="458">
        <f>Mob_Staffing!E26</f>
        <v>0</v>
      </c>
      <c r="C27" s="458">
        <f>Mob_Staffing!F26</f>
        <v>0</v>
      </c>
      <c r="D27" s="458">
        <f>Mob_Staffing!G26</f>
        <v>0</v>
      </c>
      <c r="E27" s="542" t="str">
        <f t="shared" si="5"/>
        <v/>
      </c>
      <c r="F27" s="542" t="str">
        <f t="shared" si="4"/>
        <v/>
      </c>
      <c r="G27" s="542" t="str">
        <f t="shared" si="4"/>
        <v/>
      </c>
      <c r="H27" s="542" t="str">
        <f t="shared" si="4"/>
        <v/>
      </c>
      <c r="I27" s="542" t="str">
        <f t="shared" si="4"/>
        <v/>
      </c>
      <c r="J27" s="542" t="str">
        <f t="shared" si="4"/>
        <v/>
      </c>
      <c r="K27" s="542" t="str">
        <f t="shared" si="4"/>
        <v/>
      </c>
      <c r="L27" s="542" t="str">
        <f t="shared" si="4"/>
        <v/>
      </c>
      <c r="M27" s="542" t="str">
        <f t="shared" si="4"/>
        <v/>
      </c>
      <c r="N27" s="542" t="str">
        <f t="shared" si="4"/>
        <v/>
      </c>
      <c r="O27" s="542" t="str">
        <f t="shared" si="4"/>
        <v/>
      </c>
      <c r="P27" s="542" t="str">
        <f t="shared" si="4"/>
        <v/>
      </c>
      <c r="Q27" s="542" t="str">
        <f t="shared" si="4"/>
        <v/>
      </c>
      <c r="R27" s="542" t="str">
        <f t="shared" si="4"/>
        <v/>
      </c>
      <c r="S27" s="542" t="str">
        <f t="shared" si="4"/>
        <v/>
      </c>
      <c r="T27" s="542" t="str">
        <f t="shared" si="4"/>
        <v/>
      </c>
      <c r="U27" s="542" t="str">
        <f t="shared" si="4"/>
        <v/>
      </c>
      <c r="V27" s="542" t="str">
        <f t="shared" si="4"/>
        <v/>
      </c>
      <c r="W27" s="542" t="str">
        <f t="shared" si="4"/>
        <v/>
      </c>
      <c r="X27" s="25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4.25" customHeight="1">
      <c r="A28" s="454" t="str">
        <f>Mob_Staffing!B27</f>
        <v>Utility Operators</v>
      </c>
      <c r="B28" s="458">
        <f>Mob_Staffing!E27</f>
        <v>0</v>
      </c>
      <c r="C28" s="458">
        <f>Mob_Staffing!F27</f>
        <v>0</v>
      </c>
      <c r="D28" s="458">
        <f>Mob_Staffing!G27</f>
        <v>0</v>
      </c>
      <c r="E28" s="542" t="str">
        <f t="shared" si="5"/>
        <v/>
      </c>
      <c r="F28" s="542" t="str">
        <f t="shared" si="4"/>
        <v/>
      </c>
      <c r="G28" s="542" t="str">
        <f t="shared" si="4"/>
        <v/>
      </c>
      <c r="H28" s="542" t="str">
        <f t="shared" si="4"/>
        <v/>
      </c>
      <c r="I28" s="542" t="str">
        <f t="shared" si="4"/>
        <v/>
      </c>
      <c r="J28" s="542" t="str">
        <f t="shared" si="4"/>
        <v/>
      </c>
      <c r="K28" s="542" t="str">
        <f t="shared" si="4"/>
        <v/>
      </c>
      <c r="L28" s="542" t="str">
        <f t="shared" si="4"/>
        <v/>
      </c>
      <c r="M28" s="542" t="str">
        <f t="shared" si="4"/>
        <v/>
      </c>
      <c r="N28" s="542" t="str">
        <f t="shared" si="4"/>
        <v/>
      </c>
      <c r="O28" s="542" t="str">
        <f t="shared" si="4"/>
        <v/>
      </c>
      <c r="P28" s="542" t="str">
        <f t="shared" si="4"/>
        <v/>
      </c>
      <c r="Q28" s="542" t="str">
        <f t="shared" si="4"/>
        <v/>
      </c>
      <c r="R28" s="542" t="str">
        <f t="shared" si="4"/>
        <v/>
      </c>
      <c r="S28" s="542" t="str">
        <f t="shared" si="4"/>
        <v/>
      </c>
      <c r="T28" s="542" t="str">
        <f t="shared" si="4"/>
        <v/>
      </c>
      <c r="U28" s="542" t="str">
        <f t="shared" si="4"/>
        <v/>
      </c>
      <c r="V28" s="542" t="str">
        <f t="shared" si="4"/>
        <v/>
      </c>
      <c r="W28" s="542" t="str">
        <f t="shared" si="4"/>
        <v/>
      </c>
      <c r="X28" s="25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4.25" customHeight="1">
      <c r="A29" s="454" t="str">
        <f>Mob_Staffing!B28</f>
        <v>Chemist</v>
      </c>
      <c r="B29" s="458">
        <f>Mob_Staffing!E28</f>
        <v>0</v>
      </c>
      <c r="C29" s="458">
        <f>Mob_Staffing!F28</f>
        <v>0</v>
      </c>
      <c r="D29" s="458">
        <f>Mob_Staffing!G28</f>
        <v>0</v>
      </c>
      <c r="E29" s="542" t="str">
        <f t="shared" si="5"/>
        <v/>
      </c>
      <c r="F29" s="542" t="str">
        <f t="shared" si="4"/>
        <v/>
      </c>
      <c r="G29" s="542" t="str">
        <f t="shared" si="4"/>
        <v/>
      </c>
      <c r="H29" s="542" t="str">
        <f t="shared" si="4"/>
        <v/>
      </c>
      <c r="I29" s="542" t="str">
        <f t="shared" si="4"/>
        <v/>
      </c>
      <c r="J29" s="542" t="str">
        <f t="shared" si="4"/>
        <v/>
      </c>
      <c r="K29" s="542" t="str">
        <f t="shared" si="4"/>
        <v/>
      </c>
      <c r="L29" s="542" t="str">
        <f t="shared" si="4"/>
        <v/>
      </c>
      <c r="M29" s="542" t="str">
        <f t="shared" si="4"/>
        <v/>
      </c>
      <c r="N29" s="542" t="str">
        <f t="shared" si="4"/>
        <v/>
      </c>
      <c r="O29" s="542" t="str">
        <f t="shared" si="4"/>
        <v/>
      </c>
      <c r="P29" s="542" t="str">
        <f t="shared" si="4"/>
        <v/>
      </c>
      <c r="Q29" s="542" t="str">
        <f t="shared" si="4"/>
        <v/>
      </c>
      <c r="R29" s="542" t="str">
        <f t="shared" si="4"/>
        <v/>
      </c>
      <c r="S29" s="542" t="str">
        <f t="shared" si="4"/>
        <v/>
      </c>
      <c r="T29" s="542" t="str">
        <f t="shared" si="4"/>
        <v/>
      </c>
      <c r="U29" s="542" t="str">
        <f t="shared" si="4"/>
        <v/>
      </c>
      <c r="V29" s="542" t="str">
        <f t="shared" si="4"/>
        <v/>
      </c>
      <c r="W29" s="542" t="str">
        <f t="shared" si="4"/>
        <v/>
      </c>
      <c r="X29" s="25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4.25" customHeight="1">
      <c r="A30" s="454" t="str">
        <f>Mob_Staffing!B29</f>
        <v>Tech III</v>
      </c>
      <c r="B30" s="458">
        <f>Mob_Staffing!E29</f>
        <v>4</v>
      </c>
      <c r="C30" s="458">
        <f>Mob_Staffing!F29</f>
        <v>-6</v>
      </c>
      <c r="D30" s="458">
        <f>Mob_Staffing!G29</f>
        <v>6</v>
      </c>
      <c r="E30" s="542" t="str">
        <f t="shared" si="5"/>
        <v/>
      </c>
      <c r="F30" s="542" t="str">
        <f t="shared" si="4"/>
        <v/>
      </c>
      <c r="G30" s="542" t="str">
        <f t="shared" si="4"/>
        <v/>
      </c>
      <c r="H30" s="542" t="str">
        <f t="shared" si="4"/>
        <v/>
      </c>
      <c r="I30" s="542" t="str">
        <f t="shared" si="4"/>
        <v/>
      </c>
      <c r="J30" s="542" t="str">
        <f t="shared" si="4"/>
        <v/>
      </c>
      <c r="K30" s="542" t="str">
        <f t="shared" si="4"/>
        <v/>
      </c>
      <c r="L30" s="542" t="str">
        <f t="shared" si="4"/>
        <v/>
      </c>
      <c r="M30" s="542" t="str">
        <f t="shared" si="4"/>
        <v/>
      </c>
      <c r="N30" s="542" t="str">
        <f t="shared" si="4"/>
        <v/>
      </c>
      <c r="O30" s="542" t="str">
        <f t="shared" si="4"/>
        <v/>
      </c>
      <c r="P30" s="542" t="str">
        <f t="shared" si="4"/>
        <v/>
      </c>
      <c r="Q30" s="542" t="str">
        <f t="shared" si="4"/>
        <v/>
      </c>
      <c r="R30" s="542" t="str">
        <f t="shared" si="4"/>
        <v>XXXXX</v>
      </c>
      <c r="S30" s="542" t="str">
        <f t="shared" si="4"/>
        <v>XXXXX</v>
      </c>
      <c r="T30" s="542" t="str">
        <f t="shared" si="4"/>
        <v>XXXXX</v>
      </c>
      <c r="U30" s="542" t="str">
        <f t="shared" si="4"/>
        <v>XXXXX</v>
      </c>
      <c r="V30" s="542" t="str">
        <f t="shared" si="4"/>
        <v>XXXXX</v>
      </c>
      <c r="W30" s="542" t="str">
        <f t="shared" si="4"/>
        <v>XXXXX</v>
      </c>
      <c r="X30" s="25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s="239" customFormat="1" ht="14.25" customHeight="1">
      <c r="A31" s="454" t="str">
        <f>Mob_Staffing!B30</f>
        <v>Tech II</v>
      </c>
      <c r="B31" s="458">
        <f>Mob_Staffing!E30</f>
        <v>4</v>
      </c>
      <c r="C31" s="458">
        <f>Mob_Staffing!F30</f>
        <v>-6</v>
      </c>
      <c r="D31" s="458">
        <f>Mob_Staffing!G30</f>
        <v>6</v>
      </c>
      <c r="E31" s="542" t="str">
        <f t="shared" si="5"/>
        <v/>
      </c>
      <c r="F31" s="542" t="str">
        <f t="shared" si="4"/>
        <v/>
      </c>
      <c r="G31" s="542" t="str">
        <f t="shared" si="4"/>
        <v/>
      </c>
      <c r="H31" s="542" t="str">
        <f t="shared" si="4"/>
        <v/>
      </c>
      <c r="I31" s="542" t="str">
        <f t="shared" si="4"/>
        <v/>
      </c>
      <c r="J31" s="542" t="str">
        <f t="shared" si="4"/>
        <v/>
      </c>
      <c r="K31" s="542" t="str">
        <f t="shared" si="4"/>
        <v/>
      </c>
      <c r="L31" s="542" t="str">
        <f t="shared" si="4"/>
        <v/>
      </c>
      <c r="M31" s="542" t="str">
        <f t="shared" si="4"/>
        <v/>
      </c>
      <c r="N31" s="542" t="str">
        <f t="shared" si="4"/>
        <v/>
      </c>
      <c r="O31" s="542" t="str">
        <f t="shared" si="4"/>
        <v/>
      </c>
      <c r="P31" s="542" t="str">
        <f t="shared" si="4"/>
        <v/>
      </c>
      <c r="Q31" s="542" t="str">
        <f t="shared" si="4"/>
        <v/>
      </c>
      <c r="R31" s="542" t="str">
        <f t="shared" si="4"/>
        <v>XXXXX</v>
      </c>
      <c r="S31" s="542" t="str">
        <f t="shared" si="4"/>
        <v>XXXXX</v>
      </c>
      <c r="T31" s="542" t="str">
        <f t="shared" si="4"/>
        <v>XXXXX</v>
      </c>
      <c r="U31" s="542" t="str">
        <f t="shared" si="4"/>
        <v>XXXXX</v>
      </c>
      <c r="V31" s="542" t="str">
        <f t="shared" si="4"/>
        <v>XXXXX</v>
      </c>
      <c r="W31" s="542" t="str">
        <f t="shared" si="4"/>
        <v>XXXXX</v>
      </c>
      <c r="X31" s="256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</row>
    <row r="32" spans="1:52" ht="14.25" customHeight="1">
      <c r="A32" s="454" t="str">
        <f>Mob_Staffing!B31</f>
        <v>Other</v>
      </c>
      <c r="B32" s="458">
        <f>Mob_Staffing!E31</f>
        <v>0</v>
      </c>
      <c r="C32" s="458">
        <f>Mob_Staffing!F31</f>
        <v>0</v>
      </c>
      <c r="D32" s="458">
        <f>Mob_Staffing!G31</f>
        <v>0</v>
      </c>
      <c r="E32" s="542" t="str">
        <f t="shared" si="5"/>
        <v/>
      </c>
      <c r="F32" s="542" t="str">
        <f t="shared" si="4"/>
        <v/>
      </c>
      <c r="G32" s="542" t="str">
        <f t="shared" si="4"/>
        <v/>
      </c>
      <c r="H32" s="542" t="str">
        <f t="shared" si="4"/>
        <v/>
      </c>
      <c r="I32" s="542" t="str">
        <f t="shared" si="4"/>
        <v/>
      </c>
      <c r="J32" s="542" t="str">
        <f t="shared" si="4"/>
        <v/>
      </c>
      <c r="K32" s="542" t="str">
        <f t="shared" si="4"/>
        <v/>
      </c>
      <c r="L32" s="542" t="str">
        <f t="shared" si="4"/>
        <v/>
      </c>
      <c r="M32" s="542" t="str">
        <f t="shared" si="4"/>
        <v/>
      </c>
      <c r="N32" s="542" t="str">
        <f t="shared" si="4"/>
        <v/>
      </c>
      <c r="O32" s="542" t="str">
        <f t="shared" si="4"/>
        <v/>
      </c>
      <c r="P32" s="542" t="str">
        <f t="shared" si="4"/>
        <v/>
      </c>
      <c r="Q32" s="542" t="str">
        <f t="shared" si="4"/>
        <v/>
      </c>
      <c r="R32" s="542" t="str">
        <f t="shared" si="4"/>
        <v/>
      </c>
      <c r="S32" s="542" t="str">
        <f t="shared" si="4"/>
        <v/>
      </c>
      <c r="T32" s="542" t="str">
        <f t="shared" si="4"/>
        <v/>
      </c>
      <c r="U32" s="542" t="str">
        <f t="shared" si="4"/>
        <v/>
      </c>
      <c r="V32" s="542" t="str">
        <f t="shared" si="4"/>
        <v/>
      </c>
      <c r="W32" s="542" t="str">
        <f t="shared" si="4"/>
        <v/>
      </c>
      <c r="X32" s="25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4.25" customHeight="1">
      <c r="A33" s="454"/>
      <c r="B33" s="102"/>
      <c r="C33" s="102"/>
      <c r="D33"/>
      <c r="E33" s="155"/>
      <c r="F33" s="155"/>
      <c r="G33" s="155"/>
      <c r="H33" s="155"/>
      <c r="I33" s="155"/>
      <c r="J33" s="155"/>
      <c r="K33" s="155"/>
      <c r="L33" s="547"/>
      <c r="M33" s="547"/>
      <c r="N33" s="547"/>
      <c r="O33" s="547"/>
      <c r="P33" s="547"/>
      <c r="Q33" s="547"/>
      <c r="R33" s="547"/>
      <c r="S33" s="547"/>
      <c r="T33" s="547"/>
      <c r="U33" s="547"/>
      <c r="V33" s="547"/>
      <c r="W33" s="547"/>
      <c r="X33" s="147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4.25" customHeight="1">
      <c r="A34" s="460" t="s">
        <v>268</v>
      </c>
      <c r="B34" s="102"/>
      <c r="C34" s="102"/>
      <c r="D34"/>
      <c r="E34" s="155"/>
      <c r="F34" s="155"/>
      <c r="G34" s="155"/>
      <c r="H34" s="155"/>
      <c r="I34" s="155"/>
      <c r="J34" s="155"/>
      <c r="K34" s="155"/>
      <c r="L34" s="547"/>
      <c r="M34" s="547"/>
      <c r="N34" s="547"/>
      <c r="O34" s="547"/>
      <c r="P34" s="547"/>
      <c r="Q34" s="547"/>
      <c r="R34" s="547"/>
      <c r="S34" s="547"/>
      <c r="T34" s="547"/>
      <c r="U34" s="547"/>
      <c r="V34" s="547"/>
      <c r="W34" s="547"/>
      <c r="X34" s="147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4.25" customHeight="1">
      <c r="A35" s="454" t="str">
        <f>Mob_Staffing!B34</f>
        <v>Maintenance Manager</v>
      </c>
      <c r="B35" s="458">
        <f>Mob_Staffing!E34</f>
        <v>1</v>
      </c>
      <c r="C35" s="458">
        <f>Mob_Staffing!F34</f>
        <v>-9</v>
      </c>
      <c r="D35" s="458">
        <f>Mob_Staffing!G34</f>
        <v>9</v>
      </c>
      <c r="E35" s="542" t="str">
        <f>IF(AND($C35&lt;=E$5,$C35+$D35&gt;E$5),"XXXXX","")</f>
        <v/>
      </c>
      <c r="F35" s="542" t="str">
        <f t="shared" ref="F35:W45" si="6">IF(AND($C35&lt;=F$5,$C35+$D35&gt;F$5),"XXXXX","")</f>
        <v/>
      </c>
      <c r="G35" s="542" t="str">
        <f t="shared" si="6"/>
        <v/>
      </c>
      <c r="H35" s="542" t="str">
        <f t="shared" si="6"/>
        <v/>
      </c>
      <c r="I35" s="542" t="str">
        <f t="shared" si="6"/>
        <v/>
      </c>
      <c r="J35" s="542" t="str">
        <f t="shared" si="6"/>
        <v/>
      </c>
      <c r="K35" s="542" t="str">
        <f t="shared" si="6"/>
        <v/>
      </c>
      <c r="L35" s="542" t="str">
        <f t="shared" si="6"/>
        <v/>
      </c>
      <c r="M35" s="542" t="str">
        <f t="shared" si="6"/>
        <v/>
      </c>
      <c r="N35" s="542" t="str">
        <f t="shared" si="6"/>
        <v/>
      </c>
      <c r="O35" s="542" t="str">
        <f t="shared" si="6"/>
        <v>XXXXX</v>
      </c>
      <c r="P35" s="542" t="str">
        <f t="shared" si="6"/>
        <v>XXXXX</v>
      </c>
      <c r="Q35" s="542" t="str">
        <f t="shared" si="6"/>
        <v>XXXXX</v>
      </c>
      <c r="R35" s="542" t="str">
        <f t="shared" si="6"/>
        <v>XXXXX</v>
      </c>
      <c r="S35" s="542" t="str">
        <f t="shared" si="6"/>
        <v>XXXXX</v>
      </c>
      <c r="T35" s="542" t="str">
        <f t="shared" si="6"/>
        <v>XXXXX</v>
      </c>
      <c r="U35" s="542" t="str">
        <f t="shared" si="6"/>
        <v>XXXXX</v>
      </c>
      <c r="V35" s="542" t="str">
        <f t="shared" si="6"/>
        <v>XXXXX</v>
      </c>
      <c r="W35" s="542" t="str">
        <f t="shared" si="6"/>
        <v>XXXXX</v>
      </c>
      <c r="X35" s="25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4.25" customHeight="1">
      <c r="A36" s="454" t="str">
        <f>Mob_Staffing!B35</f>
        <v>Mechanical Engineer</v>
      </c>
      <c r="B36" s="458">
        <f>Mob_Staffing!E35</f>
        <v>0</v>
      </c>
      <c r="C36" s="458">
        <f>Mob_Staffing!F35</f>
        <v>0</v>
      </c>
      <c r="D36" s="458">
        <f>Mob_Staffing!G35</f>
        <v>0</v>
      </c>
      <c r="E36" s="542" t="str">
        <f t="shared" ref="E36:E45" si="7">IF(AND($C36&lt;=E$5,$C36+$D36&gt;E$5),"XXXXX","")</f>
        <v/>
      </c>
      <c r="F36" s="542" t="str">
        <f t="shared" si="6"/>
        <v/>
      </c>
      <c r="G36" s="542" t="str">
        <f t="shared" si="6"/>
        <v/>
      </c>
      <c r="H36" s="542" t="str">
        <f t="shared" si="6"/>
        <v/>
      </c>
      <c r="I36" s="542" t="str">
        <f t="shared" si="6"/>
        <v/>
      </c>
      <c r="J36" s="542" t="str">
        <f t="shared" si="6"/>
        <v/>
      </c>
      <c r="K36" s="542" t="str">
        <f t="shared" si="6"/>
        <v/>
      </c>
      <c r="L36" s="542" t="str">
        <f t="shared" si="6"/>
        <v/>
      </c>
      <c r="M36" s="542" t="str">
        <f t="shared" si="6"/>
        <v/>
      </c>
      <c r="N36" s="542" t="str">
        <f t="shared" si="6"/>
        <v/>
      </c>
      <c r="O36" s="542" t="str">
        <f t="shared" si="6"/>
        <v/>
      </c>
      <c r="P36" s="542" t="str">
        <f t="shared" si="6"/>
        <v/>
      </c>
      <c r="Q36" s="542" t="str">
        <f t="shared" si="6"/>
        <v/>
      </c>
      <c r="R36" s="542" t="str">
        <f t="shared" si="6"/>
        <v/>
      </c>
      <c r="S36" s="542" t="str">
        <f t="shared" si="6"/>
        <v/>
      </c>
      <c r="T36" s="542" t="str">
        <f t="shared" si="6"/>
        <v/>
      </c>
      <c r="U36" s="542" t="str">
        <f t="shared" si="6"/>
        <v/>
      </c>
      <c r="V36" s="542" t="str">
        <f t="shared" si="6"/>
        <v/>
      </c>
      <c r="W36" s="542" t="str">
        <f t="shared" si="6"/>
        <v/>
      </c>
      <c r="X36" s="25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4.25" customHeight="1">
      <c r="A37" s="454" t="str">
        <f>Mob_Staffing!B36</f>
        <v>Maintenance Planner</v>
      </c>
      <c r="B37" s="458">
        <f>Mob_Staffing!E36</f>
        <v>0</v>
      </c>
      <c r="C37" s="458">
        <f>Mob_Staffing!F36</f>
        <v>0</v>
      </c>
      <c r="D37" s="458">
        <f>Mob_Staffing!G36</f>
        <v>0</v>
      </c>
      <c r="E37" s="542" t="str">
        <f t="shared" si="7"/>
        <v/>
      </c>
      <c r="F37" s="542" t="str">
        <f t="shared" si="6"/>
        <v/>
      </c>
      <c r="G37" s="542" t="str">
        <f t="shared" si="6"/>
        <v/>
      </c>
      <c r="H37" s="542" t="str">
        <f t="shared" si="6"/>
        <v/>
      </c>
      <c r="I37" s="542" t="str">
        <f t="shared" si="6"/>
        <v/>
      </c>
      <c r="J37" s="542" t="str">
        <f t="shared" si="6"/>
        <v/>
      </c>
      <c r="K37" s="542" t="str">
        <f t="shared" si="6"/>
        <v/>
      </c>
      <c r="L37" s="542" t="str">
        <f t="shared" si="6"/>
        <v/>
      </c>
      <c r="M37" s="542" t="str">
        <f t="shared" si="6"/>
        <v/>
      </c>
      <c r="N37" s="542" t="str">
        <f t="shared" si="6"/>
        <v/>
      </c>
      <c r="O37" s="542" t="str">
        <f t="shared" si="6"/>
        <v/>
      </c>
      <c r="P37" s="542" t="str">
        <f t="shared" si="6"/>
        <v/>
      </c>
      <c r="Q37" s="542" t="str">
        <f t="shared" si="6"/>
        <v/>
      </c>
      <c r="R37" s="542" t="str">
        <f t="shared" si="6"/>
        <v/>
      </c>
      <c r="S37" s="542" t="str">
        <f t="shared" si="6"/>
        <v/>
      </c>
      <c r="T37" s="542" t="str">
        <f t="shared" si="6"/>
        <v/>
      </c>
      <c r="U37" s="542" t="str">
        <f t="shared" si="6"/>
        <v/>
      </c>
      <c r="V37" s="542" t="str">
        <f t="shared" si="6"/>
        <v/>
      </c>
      <c r="W37" s="542" t="str">
        <f t="shared" si="6"/>
        <v/>
      </c>
      <c r="X37" s="25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4.25" customHeight="1">
      <c r="A38" s="454" t="str">
        <f>Mob_Staffing!B37</f>
        <v>Mechanic</v>
      </c>
      <c r="B38" s="458">
        <f>Mob_Staffing!E37</f>
        <v>1</v>
      </c>
      <c r="C38" s="458">
        <f>Mob_Staffing!F37</f>
        <v>-6</v>
      </c>
      <c r="D38" s="458">
        <f>Mob_Staffing!G37</f>
        <v>6</v>
      </c>
      <c r="E38" s="542" t="str">
        <f t="shared" si="7"/>
        <v/>
      </c>
      <c r="F38" s="542" t="str">
        <f t="shared" si="6"/>
        <v/>
      </c>
      <c r="G38" s="542" t="str">
        <f t="shared" si="6"/>
        <v/>
      </c>
      <c r="H38" s="542" t="str">
        <f t="shared" si="6"/>
        <v/>
      </c>
      <c r="I38" s="542" t="str">
        <f t="shared" si="6"/>
        <v/>
      </c>
      <c r="J38" s="542" t="str">
        <f t="shared" si="6"/>
        <v/>
      </c>
      <c r="K38" s="542" t="str">
        <f t="shared" si="6"/>
        <v/>
      </c>
      <c r="L38" s="542" t="str">
        <f t="shared" si="6"/>
        <v/>
      </c>
      <c r="M38" s="542" t="str">
        <f t="shared" si="6"/>
        <v/>
      </c>
      <c r="N38" s="542" t="str">
        <f t="shared" si="6"/>
        <v/>
      </c>
      <c r="O38" s="542" t="str">
        <f t="shared" si="6"/>
        <v/>
      </c>
      <c r="P38" s="542" t="str">
        <f t="shared" si="6"/>
        <v/>
      </c>
      <c r="Q38" s="542" t="str">
        <f t="shared" si="6"/>
        <v/>
      </c>
      <c r="R38" s="542" t="str">
        <f t="shared" si="6"/>
        <v>XXXXX</v>
      </c>
      <c r="S38" s="542" t="str">
        <f t="shared" si="6"/>
        <v>XXXXX</v>
      </c>
      <c r="T38" s="542" t="str">
        <f t="shared" si="6"/>
        <v>XXXXX</v>
      </c>
      <c r="U38" s="542" t="str">
        <f t="shared" si="6"/>
        <v>XXXXX</v>
      </c>
      <c r="V38" s="542" t="str">
        <f t="shared" si="6"/>
        <v>XXXXX</v>
      </c>
      <c r="W38" s="542" t="str">
        <f t="shared" si="6"/>
        <v>XXXXX</v>
      </c>
      <c r="X38" s="25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4.25" customHeight="1">
      <c r="A39" s="454" t="str">
        <f>Mob_Staffing!B38</f>
        <v>I&amp;C Engineer</v>
      </c>
      <c r="B39" s="458">
        <f>Mob_Staffing!E38</f>
        <v>0</v>
      </c>
      <c r="C39" s="458">
        <f>Mob_Staffing!F38</f>
        <v>0</v>
      </c>
      <c r="D39" s="458">
        <f>Mob_Staffing!G38</f>
        <v>0</v>
      </c>
      <c r="E39" s="542" t="str">
        <f t="shared" si="7"/>
        <v/>
      </c>
      <c r="F39" s="542" t="str">
        <f t="shared" si="6"/>
        <v/>
      </c>
      <c r="G39" s="542" t="str">
        <f t="shared" si="6"/>
        <v/>
      </c>
      <c r="H39" s="542" t="str">
        <f t="shared" si="6"/>
        <v/>
      </c>
      <c r="I39" s="542" t="str">
        <f t="shared" si="6"/>
        <v/>
      </c>
      <c r="J39" s="542" t="str">
        <f t="shared" si="6"/>
        <v/>
      </c>
      <c r="K39" s="542" t="str">
        <f t="shared" si="6"/>
        <v/>
      </c>
      <c r="L39" s="542" t="str">
        <f t="shared" si="6"/>
        <v/>
      </c>
      <c r="M39" s="542" t="str">
        <f t="shared" si="6"/>
        <v/>
      </c>
      <c r="N39" s="542" t="str">
        <f t="shared" si="6"/>
        <v/>
      </c>
      <c r="O39" s="542" t="str">
        <f t="shared" si="6"/>
        <v/>
      </c>
      <c r="P39" s="542" t="str">
        <f t="shared" si="6"/>
        <v/>
      </c>
      <c r="Q39" s="542" t="str">
        <f t="shared" si="6"/>
        <v/>
      </c>
      <c r="R39" s="542" t="str">
        <f t="shared" si="6"/>
        <v/>
      </c>
      <c r="S39" s="542" t="str">
        <f t="shared" si="6"/>
        <v/>
      </c>
      <c r="T39" s="542" t="str">
        <f t="shared" si="6"/>
        <v/>
      </c>
      <c r="U39" s="542" t="str">
        <f t="shared" si="6"/>
        <v/>
      </c>
      <c r="V39" s="542" t="str">
        <f t="shared" si="6"/>
        <v/>
      </c>
      <c r="W39" s="542" t="str">
        <f t="shared" si="6"/>
        <v/>
      </c>
      <c r="X39" s="25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4.25" customHeight="1">
      <c r="A40" s="454" t="str">
        <f>Mob_Staffing!B39</f>
        <v>I&amp;C Technician</v>
      </c>
      <c r="B40" s="458">
        <f>Mob_Staffing!E39</f>
        <v>1</v>
      </c>
      <c r="C40" s="458">
        <f>Mob_Staffing!F39</f>
        <v>-6</v>
      </c>
      <c r="D40" s="458">
        <f>Mob_Staffing!G39</f>
        <v>6</v>
      </c>
      <c r="E40" s="542" t="str">
        <f t="shared" si="7"/>
        <v/>
      </c>
      <c r="F40" s="542" t="str">
        <f t="shared" si="6"/>
        <v/>
      </c>
      <c r="G40" s="542" t="str">
        <f t="shared" si="6"/>
        <v/>
      </c>
      <c r="H40" s="542" t="str">
        <f t="shared" si="6"/>
        <v/>
      </c>
      <c r="I40" s="542" t="str">
        <f t="shared" si="6"/>
        <v/>
      </c>
      <c r="J40" s="542" t="str">
        <f t="shared" si="6"/>
        <v/>
      </c>
      <c r="K40" s="542" t="str">
        <f t="shared" si="6"/>
        <v/>
      </c>
      <c r="L40" s="542" t="str">
        <f t="shared" si="6"/>
        <v/>
      </c>
      <c r="M40" s="542" t="str">
        <f t="shared" si="6"/>
        <v/>
      </c>
      <c r="N40" s="542" t="str">
        <f t="shared" si="6"/>
        <v/>
      </c>
      <c r="O40" s="542" t="str">
        <f t="shared" si="6"/>
        <v/>
      </c>
      <c r="P40" s="542" t="str">
        <f t="shared" si="6"/>
        <v/>
      </c>
      <c r="Q40" s="542" t="str">
        <f t="shared" si="6"/>
        <v/>
      </c>
      <c r="R40" s="542" t="str">
        <f t="shared" si="6"/>
        <v>XXXXX</v>
      </c>
      <c r="S40" s="542" t="str">
        <f t="shared" si="6"/>
        <v>XXXXX</v>
      </c>
      <c r="T40" s="542" t="str">
        <f t="shared" si="6"/>
        <v>XXXXX</v>
      </c>
      <c r="U40" s="542" t="str">
        <f t="shared" si="6"/>
        <v>XXXXX</v>
      </c>
      <c r="V40" s="542" t="str">
        <f t="shared" si="6"/>
        <v>XXXXX</v>
      </c>
      <c r="W40" s="542" t="str">
        <f t="shared" si="6"/>
        <v>XXXXX</v>
      </c>
      <c r="X40" s="25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4.25" customHeight="1">
      <c r="A41" s="454" t="str">
        <f>Mob_Staffing!B40</f>
        <v>Electrical Technician</v>
      </c>
      <c r="B41" s="458">
        <f>Mob_Staffing!E40</f>
        <v>1</v>
      </c>
      <c r="C41" s="458">
        <f>Mob_Staffing!F40</f>
        <v>-6</v>
      </c>
      <c r="D41" s="458">
        <f>Mob_Staffing!G40</f>
        <v>6</v>
      </c>
      <c r="E41" s="542" t="str">
        <f t="shared" si="7"/>
        <v/>
      </c>
      <c r="F41" s="542" t="str">
        <f t="shared" si="6"/>
        <v/>
      </c>
      <c r="G41" s="542" t="str">
        <f t="shared" si="6"/>
        <v/>
      </c>
      <c r="H41" s="542" t="str">
        <f t="shared" si="6"/>
        <v/>
      </c>
      <c r="I41" s="542" t="str">
        <f t="shared" si="6"/>
        <v/>
      </c>
      <c r="J41" s="542" t="str">
        <f t="shared" si="6"/>
        <v/>
      </c>
      <c r="K41" s="542" t="str">
        <f t="shared" si="6"/>
        <v/>
      </c>
      <c r="L41" s="542" t="str">
        <f t="shared" si="6"/>
        <v/>
      </c>
      <c r="M41" s="542" t="str">
        <f t="shared" si="6"/>
        <v/>
      </c>
      <c r="N41" s="542" t="str">
        <f t="shared" si="6"/>
        <v/>
      </c>
      <c r="O41" s="542" t="str">
        <f t="shared" si="6"/>
        <v/>
      </c>
      <c r="P41" s="542" t="str">
        <f t="shared" si="6"/>
        <v/>
      </c>
      <c r="Q41" s="542" t="str">
        <f t="shared" si="6"/>
        <v/>
      </c>
      <c r="R41" s="542" t="str">
        <f t="shared" si="6"/>
        <v>XXXXX</v>
      </c>
      <c r="S41" s="542" t="str">
        <f t="shared" si="6"/>
        <v>XXXXX</v>
      </c>
      <c r="T41" s="542" t="str">
        <f t="shared" si="6"/>
        <v>XXXXX</v>
      </c>
      <c r="U41" s="542" t="str">
        <f t="shared" si="6"/>
        <v>XXXXX</v>
      </c>
      <c r="V41" s="542" t="str">
        <f t="shared" si="6"/>
        <v>XXXXX</v>
      </c>
      <c r="W41" s="542" t="str">
        <f t="shared" si="6"/>
        <v>XXXXX</v>
      </c>
      <c r="X41" s="25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4.25" customHeight="1">
      <c r="A42" s="454" t="str">
        <f>Mob_Staffing!B41</f>
        <v>Other</v>
      </c>
      <c r="B42" s="458">
        <f>Mob_Staffing!E41</f>
        <v>0</v>
      </c>
      <c r="C42" s="458">
        <f>Mob_Staffing!F41</f>
        <v>0</v>
      </c>
      <c r="D42" s="458">
        <f>Mob_Staffing!G41</f>
        <v>0</v>
      </c>
      <c r="E42" s="542" t="str">
        <f t="shared" si="7"/>
        <v/>
      </c>
      <c r="F42" s="542" t="str">
        <f t="shared" si="6"/>
        <v/>
      </c>
      <c r="G42" s="542" t="str">
        <f t="shared" si="6"/>
        <v/>
      </c>
      <c r="H42" s="542" t="str">
        <f t="shared" si="6"/>
        <v/>
      </c>
      <c r="I42" s="542" t="str">
        <f t="shared" si="6"/>
        <v/>
      </c>
      <c r="J42" s="542" t="str">
        <f t="shared" si="6"/>
        <v/>
      </c>
      <c r="K42" s="542" t="str">
        <f t="shared" si="6"/>
        <v/>
      </c>
      <c r="L42" s="542" t="str">
        <f t="shared" si="6"/>
        <v/>
      </c>
      <c r="M42" s="542" t="str">
        <f t="shared" si="6"/>
        <v/>
      </c>
      <c r="N42" s="542" t="str">
        <f t="shared" si="6"/>
        <v/>
      </c>
      <c r="O42" s="542" t="str">
        <f t="shared" si="6"/>
        <v/>
      </c>
      <c r="P42" s="542" t="str">
        <f t="shared" si="6"/>
        <v/>
      </c>
      <c r="Q42" s="542" t="str">
        <f t="shared" si="6"/>
        <v/>
      </c>
      <c r="R42" s="542" t="str">
        <f t="shared" si="6"/>
        <v/>
      </c>
      <c r="S42" s="542" t="str">
        <f t="shared" si="6"/>
        <v/>
      </c>
      <c r="T42" s="542" t="str">
        <f t="shared" si="6"/>
        <v/>
      </c>
      <c r="U42" s="542" t="str">
        <f t="shared" si="6"/>
        <v/>
      </c>
      <c r="V42" s="542" t="str">
        <f t="shared" si="6"/>
        <v/>
      </c>
      <c r="W42" s="542" t="str">
        <f t="shared" si="6"/>
        <v/>
      </c>
      <c r="X42" s="25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4.25" customHeight="1">
      <c r="A43" s="454" t="str">
        <f>Mob_Staffing!B42</f>
        <v>Other</v>
      </c>
      <c r="B43" s="458">
        <f>Mob_Staffing!E42</f>
        <v>0</v>
      </c>
      <c r="C43" s="458">
        <f>Mob_Staffing!F42</f>
        <v>0</v>
      </c>
      <c r="D43" s="458">
        <f>Mob_Staffing!G42</f>
        <v>0</v>
      </c>
      <c r="E43" s="542" t="str">
        <f t="shared" si="7"/>
        <v/>
      </c>
      <c r="F43" s="542" t="str">
        <f t="shared" si="6"/>
        <v/>
      </c>
      <c r="G43" s="542" t="str">
        <f t="shared" si="6"/>
        <v/>
      </c>
      <c r="H43" s="542" t="str">
        <f t="shared" si="6"/>
        <v/>
      </c>
      <c r="I43" s="542" t="str">
        <f t="shared" si="6"/>
        <v/>
      </c>
      <c r="J43" s="542" t="str">
        <f t="shared" si="6"/>
        <v/>
      </c>
      <c r="K43" s="542" t="str">
        <f t="shared" si="6"/>
        <v/>
      </c>
      <c r="L43" s="542" t="str">
        <f t="shared" si="6"/>
        <v/>
      </c>
      <c r="M43" s="542" t="str">
        <f t="shared" si="6"/>
        <v/>
      </c>
      <c r="N43" s="542" t="str">
        <f t="shared" si="6"/>
        <v/>
      </c>
      <c r="O43" s="542" t="str">
        <f t="shared" si="6"/>
        <v/>
      </c>
      <c r="P43" s="542" t="str">
        <f t="shared" si="6"/>
        <v/>
      </c>
      <c r="Q43" s="542" t="str">
        <f t="shared" si="6"/>
        <v/>
      </c>
      <c r="R43" s="542" t="str">
        <f t="shared" si="6"/>
        <v/>
      </c>
      <c r="S43" s="542" t="str">
        <f t="shared" si="6"/>
        <v/>
      </c>
      <c r="T43" s="542" t="str">
        <f t="shared" si="6"/>
        <v/>
      </c>
      <c r="U43" s="542" t="str">
        <f t="shared" si="6"/>
        <v/>
      </c>
      <c r="V43" s="542" t="str">
        <f t="shared" si="6"/>
        <v/>
      </c>
      <c r="W43" s="542" t="str">
        <f t="shared" si="6"/>
        <v/>
      </c>
      <c r="X43" s="25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ht="14.25" customHeight="1">
      <c r="A44" s="454" t="str">
        <f>Mob_Staffing!B43</f>
        <v>Other</v>
      </c>
      <c r="B44" s="458">
        <f>Mob_Staffing!E43</f>
        <v>0</v>
      </c>
      <c r="C44" s="458">
        <f>Mob_Staffing!F43</f>
        <v>0</v>
      </c>
      <c r="D44" s="458">
        <f>Mob_Staffing!G43</f>
        <v>0</v>
      </c>
      <c r="E44" s="542" t="str">
        <f t="shared" si="7"/>
        <v/>
      </c>
      <c r="F44" s="542" t="str">
        <f t="shared" si="6"/>
        <v/>
      </c>
      <c r="G44" s="542" t="str">
        <f t="shared" si="6"/>
        <v/>
      </c>
      <c r="H44" s="542" t="str">
        <f t="shared" si="6"/>
        <v/>
      </c>
      <c r="I44" s="542" t="str">
        <f t="shared" si="6"/>
        <v/>
      </c>
      <c r="J44" s="542" t="str">
        <f t="shared" si="6"/>
        <v/>
      </c>
      <c r="K44" s="542" t="str">
        <f t="shared" si="6"/>
        <v/>
      </c>
      <c r="L44" s="542" t="str">
        <f t="shared" si="6"/>
        <v/>
      </c>
      <c r="M44" s="542" t="str">
        <f t="shared" si="6"/>
        <v/>
      </c>
      <c r="N44" s="542" t="str">
        <f t="shared" si="6"/>
        <v/>
      </c>
      <c r="O44" s="542" t="str">
        <f t="shared" si="6"/>
        <v/>
      </c>
      <c r="P44" s="542" t="str">
        <f t="shared" si="6"/>
        <v/>
      </c>
      <c r="Q44" s="542" t="str">
        <f t="shared" si="6"/>
        <v/>
      </c>
      <c r="R44" s="542" t="str">
        <f t="shared" si="6"/>
        <v/>
      </c>
      <c r="S44" s="542" t="str">
        <f t="shared" si="6"/>
        <v/>
      </c>
      <c r="T44" s="542" t="str">
        <f t="shared" si="6"/>
        <v/>
      </c>
      <c r="U44" s="542" t="str">
        <f t="shared" si="6"/>
        <v/>
      </c>
      <c r="V44" s="542" t="str">
        <f t="shared" si="6"/>
        <v/>
      </c>
      <c r="W44" s="542" t="str">
        <f t="shared" si="6"/>
        <v/>
      </c>
      <c r="X44" s="25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ht="14.25" customHeight="1">
      <c r="A45" s="454" t="str">
        <f>Mob_Staffing!B44</f>
        <v>Other</v>
      </c>
      <c r="B45" s="458">
        <f>Mob_Staffing!E44</f>
        <v>0</v>
      </c>
      <c r="C45" s="458">
        <f>Mob_Staffing!F44</f>
        <v>0</v>
      </c>
      <c r="D45" s="458">
        <f>Mob_Staffing!G44</f>
        <v>0</v>
      </c>
      <c r="E45" s="542" t="str">
        <f t="shared" si="7"/>
        <v/>
      </c>
      <c r="F45" s="542" t="str">
        <f t="shared" si="6"/>
        <v/>
      </c>
      <c r="G45" s="542" t="str">
        <f t="shared" si="6"/>
        <v/>
      </c>
      <c r="H45" s="542" t="str">
        <f t="shared" si="6"/>
        <v/>
      </c>
      <c r="I45" s="542" t="str">
        <f t="shared" si="6"/>
        <v/>
      </c>
      <c r="J45" s="542" t="str">
        <f t="shared" si="6"/>
        <v/>
      </c>
      <c r="K45" s="542" t="str">
        <f t="shared" si="6"/>
        <v/>
      </c>
      <c r="L45" s="542" t="str">
        <f t="shared" si="6"/>
        <v/>
      </c>
      <c r="M45" s="542" t="str">
        <f t="shared" si="6"/>
        <v/>
      </c>
      <c r="N45" s="542" t="str">
        <f t="shared" si="6"/>
        <v/>
      </c>
      <c r="O45" s="542" t="str">
        <f t="shared" si="6"/>
        <v/>
      </c>
      <c r="P45" s="542" t="str">
        <f t="shared" si="6"/>
        <v/>
      </c>
      <c r="Q45" s="542" t="str">
        <f t="shared" si="6"/>
        <v/>
      </c>
      <c r="R45" s="542" t="str">
        <f t="shared" si="6"/>
        <v/>
      </c>
      <c r="S45" s="542" t="str">
        <f t="shared" si="6"/>
        <v/>
      </c>
      <c r="T45" s="542" t="str">
        <f t="shared" si="6"/>
        <v/>
      </c>
      <c r="U45" s="542" t="str">
        <f t="shared" si="6"/>
        <v/>
      </c>
      <c r="V45" s="542" t="str">
        <f t="shared" si="6"/>
        <v/>
      </c>
      <c r="W45" s="542" t="str">
        <f t="shared" si="6"/>
        <v/>
      </c>
      <c r="X45" s="25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ht="13.5" customHeight="1">
      <c r="A46" s="255"/>
      <c r="B46" s="451"/>
      <c r="C46" s="451"/>
      <c r="D46" s="451"/>
      <c r="E46" s="452"/>
      <c r="F46" s="452"/>
      <c r="G46" s="452"/>
      <c r="H46" s="453"/>
      <c r="I46" s="453"/>
      <c r="J46" s="453"/>
      <c r="K46" s="453"/>
      <c r="L46" s="548"/>
      <c r="M46" s="549"/>
      <c r="N46" s="549"/>
      <c r="O46" s="549"/>
      <c r="P46" s="550"/>
      <c r="Q46" s="550"/>
      <c r="R46" s="550"/>
      <c r="S46" s="549"/>
      <c r="T46" s="549"/>
      <c r="U46" s="549"/>
      <c r="V46" s="549"/>
      <c r="W46" s="549"/>
      <c r="X46" s="25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ht="9" customHeight="1">
      <c r="A47" s="257"/>
      <c r="B47" s="243"/>
      <c r="C47" s="243"/>
      <c r="D47" s="243"/>
      <c r="E47" s="176"/>
      <c r="F47" s="176"/>
      <c r="G47" s="176"/>
      <c r="H47" s="62"/>
      <c r="I47" s="62"/>
      <c r="J47" s="62"/>
      <c r="K47" s="62"/>
      <c r="L47" s="551"/>
      <c r="M47" s="552"/>
      <c r="N47" s="553"/>
      <c r="O47" s="553"/>
      <c r="P47" s="553"/>
      <c r="Q47" s="553"/>
      <c r="R47" s="553"/>
      <c r="S47" s="553"/>
      <c r="T47" s="553"/>
      <c r="U47" s="553"/>
      <c r="V47" s="553"/>
      <c r="W47" s="553"/>
      <c r="X47" s="258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ht="15.75">
      <c r="A48" s="259"/>
      <c r="B48" s="244"/>
      <c r="C48" s="244"/>
      <c r="D48" s="244"/>
      <c r="E48" s="177"/>
      <c r="F48" s="177"/>
      <c r="G48" s="177"/>
      <c r="H48" s="177"/>
      <c r="I48" s="85"/>
      <c r="J48" s="85"/>
      <c r="K48" s="85"/>
      <c r="L48" s="554"/>
      <c r="M48" s="554"/>
      <c r="N48" s="554"/>
      <c r="O48" s="554"/>
      <c r="P48" s="554"/>
      <c r="Q48" s="555"/>
      <c r="R48" s="555"/>
      <c r="S48" s="555"/>
      <c r="T48" s="555"/>
      <c r="U48" s="555"/>
      <c r="V48" s="555"/>
      <c r="W48" s="555"/>
      <c r="X48" s="260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ht="15.75">
      <c r="A49" s="261" t="s">
        <v>191</v>
      </c>
      <c r="B49" s="241"/>
      <c r="C49" s="241"/>
      <c r="D49" s="241"/>
      <c r="E49" s="161"/>
      <c r="F49" s="161"/>
      <c r="G49" s="161"/>
      <c r="H49" s="161"/>
      <c r="I49" s="84"/>
      <c r="J49" s="84"/>
      <c r="K49" s="84"/>
      <c r="L49" s="554"/>
      <c r="M49" s="554"/>
      <c r="N49" s="554"/>
      <c r="O49" s="554"/>
      <c r="P49" s="554"/>
      <c r="Q49" s="554"/>
      <c r="R49" s="556"/>
      <c r="S49" s="554"/>
      <c r="T49" s="554"/>
      <c r="U49" s="554"/>
      <c r="V49" s="554"/>
      <c r="W49" s="554"/>
      <c r="X49" s="262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ht="15.75">
      <c r="A50" s="263"/>
      <c r="B50" s="241"/>
      <c r="C50" s="241"/>
      <c r="D50" s="241"/>
      <c r="E50" s="161"/>
      <c r="F50" s="161"/>
      <c r="G50" s="161"/>
      <c r="H50" s="161"/>
      <c r="I50" s="84"/>
      <c r="J50" s="84"/>
      <c r="K50" s="8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262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ht="17.25" customHeight="1">
      <c r="A51" s="454" t="s">
        <v>251</v>
      </c>
      <c r="B51" s="242"/>
      <c r="C51" s="545">
        <v>-8</v>
      </c>
      <c r="D51" s="581">
        <f t="shared" ref="D51:D56" si="8">-C51</f>
        <v>8</v>
      </c>
      <c r="E51" s="542" t="str">
        <f t="shared" ref="E51:T51" si="9">IF(AND($C51&lt;=E$5,$C51+$D51&gt;E$5),"XXXXX","")</f>
        <v/>
      </c>
      <c r="F51" s="542" t="str">
        <f t="shared" si="9"/>
        <v/>
      </c>
      <c r="G51" s="542" t="str">
        <f t="shared" si="9"/>
        <v/>
      </c>
      <c r="H51" s="542" t="str">
        <f t="shared" si="9"/>
        <v/>
      </c>
      <c r="I51" s="542" t="str">
        <f t="shared" si="9"/>
        <v/>
      </c>
      <c r="J51" s="542" t="str">
        <f t="shared" si="9"/>
        <v/>
      </c>
      <c r="K51" s="542" t="str">
        <f t="shared" si="9"/>
        <v/>
      </c>
      <c r="L51" s="542" t="str">
        <f t="shared" si="9"/>
        <v/>
      </c>
      <c r="M51" s="542" t="str">
        <f t="shared" si="9"/>
        <v/>
      </c>
      <c r="N51" s="542" t="str">
        <f t="shared" si="9"/>
        <v/>
      </c>
      <c r="O51" s="542" t="str">
        <f t="shared" si="9"/>
        <v/>
      </c>
      <c r="P51" s="542" t="str">
        <f t="shared" si="9"/>
        <v>XXXXX</v>
      </c>
      <c r="Q51" s="542" t="str">
        <f t="shared" si="9"/>
        <v>XXXXX</v>
      </c>
      <c r="R51" s="542" t="str">
        <f t="shared" si="9"/>
        <v>XXXXX</v>
      </c>
      <c r="S51" s="542" t="str">
        <f t="shared" si="9"/>
        <v>XXXXX</v>
      </c>
      <c r="T51" s="542" t="str">
        <f t="shared" si="9"/>
        <v>XXXXX</v>
      </c>
      <c r="U51" s="542" t="str">
        <f t="shared" ref="F51:W56" si="10">IF(AND($C51&lt;=U$5,$C51+$D51&gt;U$5),"XXXXX","")</f>
        <v>XXXXX</v>
      </c>
      <c r="V51" s="542" t="str">
        <f t="shared" si="10"/>
        <v>XXXXX</v>
      </c>
      <c r="W51" s="542" t="str">
        <f t="shared" si="10"/>
        <v>XXXXX</v>
      </c>
      <c r="X51" s="25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ht="17.25" customHeight="1">
      <c r="A52" s="454" t="s">
        <v>252</v>
      </c>
      <c r="B52" s="242"/>
      <c r="C52" s="545">
        <v>-6</v>
      </c>
      <c r="D52" s="581">
        <f t="shared" si="8"/>
        <v>6</v>
      </c>
      <c r="E52" s="542" t="str">
        <f>IF(AND($C52&lt;=E$5,$C52+$D52&gt;E$5),"XXXXX","")</f>
        <v/>
      </c>
      <c r="F52" s="542" t="str">
        <f t="shared" si="10"/>
        <v/>
      </c>
      <c r="G52" s="542" t="str">
        <f t="shared" si="10"/>
        <v/>
      </c>
      <c r="H52" s="542" t="str">
        <f t="shared" si="10"/>
        <v/>
      </c>
      <c r="I52" s="542" t="str">
        <f t="shared" si="10"/>
        <v/>
      </c>
      <c r="J52" s="542" t="str">
        <f t="shared" si="10"/>
        <v/>
      </c>
      <c r="K52" s="542" t="str">
        <f t="shared" si="10"/>
        <v/>
      </c>
      <c r="L52" s="542" t="str">
        <f t="shared" si="10"/>
        <v/>
      </c>
      <c r="M52" s="542" t="str">
        <f t="shared" si="10"/>
        <v/>
      </c>
      <c r="N52" s="542" t="str">
        <f t="shared" si="10"/>
        <v/>
      </c>
      <c r="O52" s="542" t="str">
        <f t="shared" si="10"/>
        <v/>
      </c>
      <c r="P52" s="542" t="str">
        <f t="shared" si="10"/>
        <v/>
      </c>
      <c r="Q52" s="542" t="str">
        <f t="shared" si="10"/>
        <v/>
      </c>
      <c r="R52" s="542" t="str">
        <f t="shared" si="10"/>
        <v>XXXXX</v>
      </c>
      <c r="S52" s="542" t="str">
        <f t="shared" si="10"/>
        <v>XXXXX</v>
      </c>
      <c r="T52" s="542" t="str">
        <f t="shared" si="10"/>
        <v>XXXXX</v>
      </c>
      <c r="U52" s="542" t="str">
        <f t="shared" si="10"/>
        <v>XXXXX</v>
      </c>
      <c r="V52" s="542" t="str">
        <f t="shared" si="10"/>
        <v>XXXXX</v>
      </c>
      <c r="W52" s="542" t="str">
        <f t="shared" si="10"/>
        <v>XXXXX</v>
      </c>
      <c r="X52" s="25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ht="17.25" customHeight="1">
      <c r="A53" s="454" t="s">
        <v>253</v>
      </c>
      <c r="B53" s="242"/>
      <c r="C53" s="545">
        <v>-3</v>
      </c>
      <c r="D53" s="581">
        <f t="shared" si="8"/>
        <v>3</v>
      </c>
      <c r="E53" s="542" t="str">
        <f>IF(AND($C53&lt;=E$5,$C53+$D53&gt;E$5),"XXXXX","")</f>
        <v/>
      </c>
      <c r="F53" s="542" t="str">
        <f t="shared" si="10"/>
        <v/>
      </c>
      <c r="G53" s="542" t="str">
        <f t="shared" si="10"/>
        <v/>
      </c>
      <c r="H53" s="542" t="str">
        <f t="shared" si="10"/>
        <v/>
      </c>
      <c r="I53" s="542" t="str">
        <f t="shared" si="10"/>
        <v/>
      </c>
      <c r="J53" s="542" t="str">
        <f t="shared" si="10"/>
        <v/>
      </c>
      <c r="K53" s="542" t="str">
        <f t="shared" si="10"/>
        <v/>
      </c>
      <c r="L53" s="542" t="str">
        <f t="shared" si="10"/>
        <v/>
      </c>
      <c r="M53" s="542" t="str">
        <f t="shared" si="10"/>
        <v/>
      </c>
      <c r="N53" s="542" t="str">
        <f t="shared" si="10"/>
        <v/>
      </c>
      <c r="O53" s="542" t="str">
        <f t="shared" si="10"/>
        <v/>
      </c>
      <c r="P53" s="542" t="str">
        <f t="shared" si="10"/>
        <v/>
      </c>
      <c r="Q53" s="542" t="str">
        <f t="shared" si="10"/>
        <v/>
      </c>
      <c r="R53" s="542" t="str">
        <f t="shared" si="10"/>
        <v/>
      </c>
      <c r="S53" s="542" t="str">
        <f t="shared" si="10"/>
        <v/>
      </c>
      <c r="T53" s="542" t="str">
        <f t="shared" si="10"/>
        <v/>
      </c>
      <c r="U53" s="542" t="str">
        <f t="shared" si="10"/>
        <v>XXXXX</v>
      </c>
      <c r="V53" s="542" t="str">
        <f t="shared" si="10"/>
        <v>XXXXX</v>
      </c>
      <c r="W53" s="542" t="str">
        <f t="shared" si="10"/>
        <v>XXXXX</v>
      </c>
      <c r="X53" s="25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ht="17.25" customHeight="1">
      <c r="A54" s="454" t="s">
        <v>254</v>
      </c>
      <c r="B54" s="242"/>
      <c r="C54" s="545">
        <v>-8</v>
      </c>
      <c r="D54" s="581">
        <f t="shared" si="8"/>
        <v>8</v>
      </c>
      <c r="E54" s="542" t="str">
        <f>IF(AND($C54&lt;=E$5,$C54+$D54&gt;E$5),"XXXXX","")</f>
        <v/>
      </c>
      <c r="F54" s="542" t="str">
        <f t="shared" si="10"/>
        <v/>
      </c>
      <c r="G54" s="542" t="str">
        <f t="shared" si="10"/>
        <v/>
      </c>
      <c r="H54" s="542" t="str">
        <f t="shared" si="10"/>
        <v/>
      </c>
      <c r="I54" s="542" t="str">
        <f t="shared" si="10"/>
        <v/>
      </c>
      <c r="J54" s="542" t="str">
        <f t="shared" si="10"/>
        <v/>
      </c>
      <c r="K54" s="542" t="str">
        <f t="shared" si="10"/>
        <v/>
      </c>
      <c r="L54" s="542" t="str">
        <f t="shared" si="10"/>
        <v/>
      </c>
      <c r="M54" s="542" t="str">
        <f t="shared" si="10"/>
        <v/>
      </c>
      <c r="N54" s="542" t="str">
        <f t="shared" si="10"/>
        <v/>
      </c>
      <c r="O54" s="542" t="str">
        <f t="shared" si="10"/>
        <v/>
      </c>
      <c r="P54" s="542" t="str">
        <f t="shared" si="10"/>
        <v>XXXXX</v>
      </c>
      <c r="Q54" s="542" t="str">
        <f t="shared" si="10"/>
        <v>XXXXX</v>
      </c>
      <c r="R54" s="542" t="str">
        <f t="shared" si="10"/>
        <v>XXXXX</v>
      </c>
      <c r="S54" s="542" t="str">
        <f t="shared" si="10"/>
        <v>XXXXX</v>
      </c>
      <c r="T54" s="542" t="str">
        <f t="shared" si="10"/>
        <v>XXXXX</v>
      </c>
      <c r="U54" s="542" t="str">
        <f t="shared" si="10"/>
        <v>XXXXX</v>
      </c>
      <c r="V54" s="542" t="str">
        <f t="shared" si="10"/>
        <v>XXXXX</v>
      </c>
      <c r="W54" s="542" t="str">
        <f t="shared" si="10"/>
        <v>XXXXX</v>
      </c>
      <c r="X54" s="25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ht="17.25" customHeight="1">
      <c r="A55" s="454" t="s">
        <v>255</v>
      </c>
      <c r="B55" s="242"/>
      <c r="C55" s="545">
        <v>-6</v>
      </c>
      <c r="D55" s="581">
        <f t="shared" si="8"/>
        <v>6</v>
      </c>
      <c r="E55" s="542" t="str">
        <f>IF(AND($C55&lt;=E$5,$C55+$D55&gt;E$5),"XXXXX","")</f>
        <v/>
      </c>
      <c r="F55" s="542" t="str">
        <f t="shared" si="10"/>
        <v/>
      </c>
      <c r="G55" s="542" t="str">
        <f t="shared" si="10"/>
        <v/>
      </c>
      <c r="H55" s="542" t="str">
        <f t="shared" si="10"/>
        <v/>
      </c>
      <c r="I55" s="542" t="str">
        <f t="shared" si="10"/>
        <v/>
      </c>
      <c r="J55" s="542" t="str">
        <f t="shared" si="10"/>
        <v/>
      </c>
      <c r="K55" s="542" t="str">
        <f t="shared" si="10"/>
        <v/>
      </c>
      <c r="L55" s="542" t="str">
        <f t="shared" si="10"/>
        <v/>
      </c>
      <c r="M55" s="542" t="str">
        <f t="shared" si="10"/>
        <v/>
      </c>
      <c r="N55" s="542" t="str">
        <f t="shared" si="10"/>
        <v/>
      </c>
      <c r="O55" s="542" t="str">
        <f t="shared" si="10"/>
        <v/>
      </c>
      <c r="P55" s="542" t="str">
        <f t="shared" si="10"/>
        <v/>
      </c>
      <c r="Q55" s="542" t="str">
        <f t="shared" si="10"/>
        <v/>
      </c>
      <c r="R55" s="542" t="str">
        <f t="shared" si="10"/>
        <v>XXXXX</v>
      </c>
      <c r="S55" s="542" t="str">
        <f t="shared" si="10"/>
        <v>XXXXX</v>
      </c>
      <c r="T55" s="542" t="str">
        <f t="shared" si="10"/>
        <v>XXXXX</v>
      </c>
      <c r="U55" s="542" t="str">
        <f t="shared" si="10"/>
        <v>XXXXX</v>
      </c>
      <c r="V55" s="542" t="str">
        <f t="shared" si="10"/>
        <v>XXXXX</v>
      </c>
      <c r="W55" s="542" t="str">
        <f t="shared" si="10"/>
        <v>XXXXX</v>
      </c>
      <c r="X55" s="25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ht="17.25" customHeight="1">
      <c r="A56" s="455" t="s">
        <v>256</v>
      </c>
      <c r="B56" s="246"/>
      <c r="C56" s="546">
        <v>-3</v>
      </c>
      <c r="D56" s="581">
        <f t="shared" si="8"/>
        <v>3</v>
      </c>
      <c r="E56" s="542" t="str">
        <f>IF(AND($C56&lt;=E$5,$C56+$D56&gt;E$5),"XXXXX","")</f>
        <v/>
      </c>
      <c r="F56" s="542" t="str">
        <f t="shared" si="10"/>
        <v/>
      </c>
      <c r="G56" s="542" t="str">
        <f t="shared" si="10"/>
        <v/>
      </c>
      <c r="H56" s="542" t="str">
        <f t="shared" si="10"/>
        <v/>
      </c>
      <c r="I56" s="542" t="str">
        <f t="shared" si="10"/>
        <v/>
      </c>
      <c r="J56" s="542" t="str">
        <f t="shared" si="10"/>
        <v/>
      </c>
      <c r="K56" s="542" t="str">
        <f t="shared" si="10"/>
        <v/>
      </c>
      <c r="L56" s="542" t="str">
        <f t="shared" si="10"/>
        <v/>
      </c>
      <c r="M56" s="542" t="str">
        <f t="shared" si="10"/>
        <v/>
      </c>
      <c r="N56" s="542" t="str">
        <f t="shared" si="10"/>
        <v/>
      </c>
      <c r="O56" s="542" t="str">
        <f t="shared" si="10"/>
        <v/>
      </c>
      <c r="P56" s="542" t="str">
        <f t="shared" si="10"/>
        <v/>
      </c>
      <c r="Q56" s="542" t="str">
        <f t="shared" si="10"/>
        <v/>
      </c>
      <c r="R56" s="542" t="str">
        <f t="shared" si="10"/>
        <v/>
      </c>
      <c r="S56" s="542" t="str">
        <f t="shared" si="10"/>
        <v/>
      </c>
      <c r="T56" s="542" t="str">
        <f t="shared" si="10"/>
        <v/>
      </c>
      <c r="U56" s="542" t="str">
        <f t="shared" si="10"/>
        <v>XXXXX</v>
      </c>
      <c r="V56" s="542" t="str">
        <f t="shared" si="10"/>
        <v>XXXXX</v>
      </c>
      <c r="W56" s="542" t="str">
        <f t="shared" si="10"/>
        <v>XXXXX</v>
      </c>
      <c r="X56" s="25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ht="13.5" thickBot="1">
      <c r="A57" s="456"/>
      <c r="B57" s="264"/>
      <c r="C57" s="264"/>
      <c r="D57" s="264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38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>
      <c r="A58" s="69"/>
      <c r="B58" s="240"/>
      <c r="C58" s="240"/>
      <c r="D58" s="24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>
      <c r="A59" s="69"/>
      <c r="B59" s="240"/>
      <c r="C59" s="240"/>
      <c r="D59" s="24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>
      <c r="A60" s="69"/>
      <c r="B60" s="240"/>
      <c r="C60" s="240"/>
      <c r="D60" s="240"/>
      <c r="E60" s="5"/>
      <c r="F60" s="5"/>
      <c r="G60" s="5"/>
      <c r="H60" s="5"/>
      <c r="I60" s="5"/>
      <c r="J60" s="5"/>
      <c r="K60" s="5"/>
      <c r="L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>
      <c r="A61" s="69"/>
      <c r="B61" s="240"/>
      <c r="C61" s="240"/>
      <c r="D61" s="24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>
      <c r="A62" s="69"/>
      <c r="B62" s="240"/>
      <c r="C62" s="240"/>
      <c r="D62" s="24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>
      <c r="A63" s="69"/>
      <c r="B63" s="240"/>
      <c r="C63" s="240"/>
      <c r="D63" s="24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>
      <c r="A64" s="69"/>
      <c r="B64" s="240"/>
      <c r="C64" s="240"/>
      <c r="D64" s="24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>
      <c r="A65" s="69"/>
      <c r="B65" s="240"/>
      <c r="C65" s="240"/>
      <c r="D65" s="24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>
      <c r="A66" s="69"/>
      <c r="B66" s="240"/>
      <c r="C66" s="240"/>
      <c r="D66" s="24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>
      <c r="A67" s="69"/>
      <c r="B67" s="240"/>
      <c r="C67" s="240"/>
      <c r="D67" s="24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>
      <c r="A68" s="69"/>
      <c r="B68" s="240"/>
      <c r="C68" s="240"/>
      <c r="D68" s="24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>
      <c r="A69" s="69"/>
      <c r="B69" s="240"/>
      <c r="C69" s="240"/>
      <c r="D69" s="24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>
      <c r="A70" s="69"/>
      <c r="B70" s="240"/>
      <c r="C70" s="240"/>
      <c r="D70" s="24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>
      <c r="A71" s="69"/>
      <c r="B71" s="240"/>
      <c r="C71" s="240"/>
      <c r="D71" s="24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>
      <c r="A72" s="69"/>
      <c r="B72" s="240"/>
      <c r="C72" s="240"/>
      <c r="D72" s="24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>
      <c r="A73" s="69"/>
      <c r="B73" s="240"/>
      <c r="C73" s="240"/>
      <c r="D73" s="24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>
      <c r="A74" s="69"/>
      <c r="B74" s="240"/>
      <c r="C74" s="240"/>
      <c r="D74" s="24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>
      <c r="A75" s="69"/>
      <c r="B75" s="240"/>
      <c r="C75" s="240"/>
      <c r="D75" s="24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>
      <c r="A76" s="69"/>
      <c r="B76" s="240"/>
      <c r="C76" s="240"/>
      <c r="D76" s="24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>
      <c r="A77" s="69"/>
      <c r="B77" s="240"/>
      <c r="C77" s="240"/>
      <c r="D77" s="24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>
      <c r="A78" s="69"/>
      <c r="B78" s="240"/>
      <c r="C78" s="240"/>
      <c r="D78" s="24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>
      <c r="A79" s="69"/>
      <c r="B79" s="240"/>
      <c r="C79" s="240"/>
      <c r="D79" s="24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>
      <c r="A80" s="69"/>
      <c r="B80" s="240"/>
      <c r="C80" s="240"/>
      <c r="D80" s="24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>
      <c r="A81" s="69"/>
      <c r="B81" s="240"/>
      <c r="C81" s="240"/>
      <c r="D81" s="24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>
      <c r="A82" s="69"/>
      <c r="B82" s="240"/>
      <c r="C82" s="240"/>
      <c r="D82" s="24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>
      <c r="A83" s="69"/>
      <c r="B83" s="240"/>
      <c r="C83" s="240"/>
      <c r="D83" s="24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>
      <c r="A84" s="69"/>
      <c r="B84" s="240"/>
      <c r="C84" s="240"/>
      <c r="D84" s="24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>
      <c r="A85" s="69"/>
      <c r="B85" s="240"/>
      <c r="C85" s="240"/>
      <c r="D85" s="24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>
      <c r="A86" s="69"/>
      <c r="B86" s="240"/>
      <c r="C86" s="240"/>
      <c r="D86" s="24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>
      <c r="A87" s="69"/>
      <c r="B87" s="240"/>
      <c r="C87" s="240"/>
      <c r="D87" s="24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>
      <c r="A88" s="69"/>
      <c r="B88" s="240"/>
      <c r="C88" s="240"/>
      <c r="D88" s="24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>
      <c r="A89" s="69"/>
      <c r="B89" s="240"/>
      <c r="C89" s="240"/>
      <c r="D89" s="24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>
      <c r="A90" s="69"/>
      <c r="B90" s="240"/>
      <c r="C90" s="240"/>
      <c r="D90" s="24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>
      <c r="A91" s="69"/>
      <c r="B91" s="240"/>
      <c r="C91" s="240"/>
      <c r="D91" s="24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>
      <c r="A92" s="69"/>
      <c r="B92" s="240"/>
      <c r="C92" s="240"/>
      <c r="D92" s="24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>
      <c r="A93" s="69"/>
      <c r="B93" s="240"/>
      <c r="C93" s="240"/>
      <c r="D93" s="24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>
      <c r="A94" s="69"/>
      <c r="B94" s="240"/>
      <c r="C94" s="240"/>
      <c r="D94" s="24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>
      <c r="A95" s="69"/>
      <c r="B95" s="240"/>
      <c r="C95" s="240"/>
      <c r="D95" s="24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>
      <c r="A96" s="69"/>
      <c r="B96" s="240"/>
      <c r="C96" s="240"/>
      <c r="D96" s="24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>
      <c r="A97" s="69"/>
      <c r="B97" s="240"/>
      <c r="C97" s="240"/>
      <c r="D97" s="24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>
      <c r="A98" s="69"/>
      <c r="B98" s="240"/>
      <c r="C98" s="240"/>
      <c r="D98" s="24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>
      <c r="A99" s="69"/>
      <c r="B99" s="240"/>
      <c r="C99" s="240"/>
      <c r="D99" s="24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>
      <c r="A100" s="69"/>
      <c r="B100" s="240"/>
      <c r="C100" s="240"/>
      <c r="D100" s="24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>
      <c r="A101" s="69"/>
      <c r="B101" s="240"/>
      <c r="C101" s="240"/>
      <c r="D101" s="24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>
      <c r="A102" s="69"/>
      <c r="B102" s="240"/>
      <c r="C102" s="240"/>
      <c r="D102" s="24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>
      <c r="A103" s="69"/>
      <c r="B103" s="240"/>
      <c r="C103" s="240"/>
      <c r="D103" s="24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>
      <c r="A104" s="69"/>
      <c r="B104" s="240"/>
      <c r="C104" s="240"/>
      <c r="D104" s="24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>
      <c r="A105" s="69"/>
      <c r="B105" s="240"/>
      <c r="C105" s="240"/>
      <c r="D105" s="24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>
      <c r="A106" s="69"/>
      <c r="B106" s="240"/>
      <c r="C106" s="240"/>
      <c r="D106" s="24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>
      <c r="A107" s="69"/>
      <c r="B107" s="240"/>
      <c r="C107" s="240"/>
      <c r="D107" s="24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>
      <c r="A108" s="69"/>
      <c r="B108" s="240"/>
      <c r="C108" s="240"/>
      <c r="D108" s="24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>
      <c r="A109" s="69"/>
      <c r="B109" s="240"/>
      <c r="C109" s="240"/>
      <c r="D109" s="24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>
      <c r="A110" s="69"/>
      <c r="B110" s="240"/>
      <c r="C110" s="240"/>
      <c r="D110" s="24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>
      <c r="A111" s="69"/>
      <c r="B111" s="240"/>
      <c r="C111" s="240"/>
      <c r="D111" s="24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>
      <c r="A112" s="69"/>
      <c r="B112" s="240"/>
      <c r="C112" s="240"/>
      <c r="D112" s="24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>
      <c r="A113" s="69"/>
      <c r="B113" s="240"/>
      <c r="C113" s="240"/>
      <c r="D113" s="24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>
      <c r="A114" s="69"/>
      <c r="B114" s="240"/>
      <c r="C114" s="240"/>
      <c r="D114" s="24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>
      <c r="A115" s="69"/>
      <c r="B115" s="240"/>
      <c r="C115" s="240"/>
      <c r="D115" s="24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>
      <c r="A116" s="69"/>
      <c r="B116" s="240"/>
      <c r="C116" s="240"/>
      <c r="D116" s="24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>
      <c r="A117" s="69"/>
      <c r="B117" s="240"/>
      <c r="C117" s="240"/>
      <c r="D117" s="24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>
      <c r="A118" s="69"/>
      <c r="B118" s="240"/>
      <c r="C118" s="240"/>
      <c r="D118" s="24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>
      <c r="A119" s="69"/>
      <c r="B119" s="240"/>
      <c r="C119" s="240"/>
      <c r="D119" s="24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>
      <c r="A120" s="69"/>
      <c r="B120" s="240"/>
      <c r="C120" s="240"/>
      <c r="D120" s="24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>
      <c r="A121" s="69"/>
      <c r="B121" s="240"/>
      <c r="C121" s="240"/>
      <c r="D121" s="24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>
      <c r="A122" s="69"/>
      <c r="B122" s="240"/>
      <c r="C122" s="240"/>
      <c r="D122" s="24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>
      <c r="A123" s="69"/>
      <c r="B123" s="240"/>
      <c r="C123" s="240"/>
      <c r="D123" s="24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>
      <c r="A124" s="69"/>
      <c r="B124" s="240"/>
      <c r="C124" s="240"/>
      <c r="D124" s="24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>
      <c r="A125" s="69"/>
      <c r="B125" s="240"/>
      <c r="C125" s="240"/>
      <c r="D125" s="24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>
      <c r="A126" s="69"/>
      <c r="B126" s="240"/>
      <c r="C126" s="240"/>
      <c r="D126" s="24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>
      <c r="A127" s="69"/>
      <c r="B127" s="240"/>
      <c r="C127" s="240"/>
      <c r="D127" s="24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>
      <c r="A128" s="69"/>
      <c r="B128" s="240"/>
      <c r="C128" s="240"/>
      <c r="D128" s="24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>
      <c r="A129" s="69"/>
      <c r="B129" s="240"/>
      <c r="C129" s="240"/>
      <c r="D129" s="24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>
      <c r="A130" s="69"/>
      <c r="B130" s="240"/>
      <c r="C130" s="240"/>
      <c r="D130" s="24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>
      <c r="A131" s="69"/>
      <c r="B131" s="240"/>
      <c r="C131" s="240"/>
      <c r="D131" s="24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>
      <c r="A132" s="69"/>
      <c r="B132" s="240"/>
      <c r="C132" s="240"/>
      <c r="D132" s="24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>
      <c r="A133" s="69"/>
      <c r="B133" s="240"/>
      <c r="C133" s="240"/>
      <c r="D133" s="24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>
      <c r="A134" s="69"/>
      <c r="B134" s="240"/>
      <c r="C134" s="240"/>
      <c r="D134" s="24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>
      <c r="A135" s="69"/>
      <c r="B135" s="240"/>
      <c r="C135" s="240"/>
      <c r="D135" s="24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>
      <c r="A136" s="69"/>
      <c r="B136" s="240"/>
      <c r="C136" s="240"/>
      <c r="D136" s="24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>
      <c r="A137" s="69"/>
      <c r="B137" s="240"/>
      <c r="C137" s="240"/>
      <c r="D137" s="24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>
      <c r="A138" s="69"/>
      <c r="B138" s="240"/>
      <c r="C138" s="240"/>
      <c r="D138" s="24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>
      <c r="A139" s="69"/>
      <c r="B139" s="240"/>
      <c r="C139" s="240"/>
      <c r="D139" s="24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>
      <c r="A140" s="69"/>
      <c r="B140" s="240"/>
      <c r="C140" s="240"/>
      <c r="D140" s="24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>
      <c r="A141" s="69"/>
      <c r="B141" s="240"/>
      <c r="C141" s="240"/>
      <c r="D141" s="24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>
      <c r="A142" s="69"/>
      <c r="B142" s="240"/>
      <c r="C142" s="240"/>
      <c r="D142" s="24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>
      <c r="A143" s="69"/>
      <c r="B143" s="240"/>
      <c r="C143" s="240"/>
      <c r="D143" s="24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>
      <c r="A144" s="69"/>
      <c r="B144" s="240"/>
      <c r="C144" s="240"/>
      <c r="D144" s="24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52">
      <c r="A145" s="69"/>
      <c r="B145" s="240"/>
      <c r="C145" s="240"/>
      <c r="D145" s="24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>
      <c r="A146" s="69"/>
      <c r="B146" s="240"/>
      <c r="C146" s="240"/>
      <c r="D146" s="24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52">
      <c r="A147" s="69"/>
      <c r="B147" s="240"/>
      <c r="C147" s="240"/>
      <c r="D147" s="24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52">
      <c r="A148" s="69"/>
      <c r="B148" s="240"/>
      <c r="C148" s="240"/>
      <c r="D148" s="24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52">
      <c r="A149" s="69"/>
      <c r="B149" s="240"/>
      <c r="C149" s="240"/>
      <c r="D149" s="24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52">
      <c r="A150" s="69"/>
      <c r="B150" s="240"/>
      <c r="C150" s="240"/>
      <c r="D150" s="24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52">
      <c r="A151" s="69"/>
      <c r="B151" s="240"/>
      <c r="C151" s="240"/>
      <c r="D151" s="24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>
      <c r="A152" s="69"/>
      <c r="B152" s="240"/>
      <c r="C152" s="240"/>
      <c r="D152" s="24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>
      <c r="A153" s="69"/>
      <c r="B153" s="240"/>
      <c r="C153" s="240"/>
      <c r="D153" s="24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>
      <c r="A154" s="69"/>
      <c r="B154" s="240"/>
      <c r="C154" s="240"/>
      <c r="D154" s="24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52">
      <c r="A155" s="69"/>
      <c r="B155" s="240"/>
      <c r="C155" s="240"/>
      <c r="D155" s="24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>
      <c r="A156" s="69"/>
      <c r="B156" s="240"/>
      <c r="C156" s="240"/>
      <c r="D156" s="24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52">
      <c r="A157" s="69"/>
      <c r="B157" s="240"/>
      <c r="C157" s="240"/>
      <c r="D157" s="24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>
      <c r="A158" s="69"/>
      <c r="B158" s="240"/>
      <c r="C158" s="240"/>
      <c r="D158" s="24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52">
      <c r="A159" s="69"/>
      <c r="B159" s="240"/>
      <c r="C159" s="240"/>
      <c r="D159" s="24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>
      <c r="A160" s="69"/>
      <c r="B160" s="240"/>
      <c r="C160" s="240"/>
      <c r="D160" s="24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>
      <c r="A161" s="69"/>
      <c r="B161" s="240"/>
      <c r="C161" s="240"/>
      <c r="D161" s="24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>
      <c r="A162" s="69"/>
      <c r="B162" s="240"/>
      <c r="C162" s="240"/>
      <c r="D162" s="24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52">
      <c r="A163" s="69"/>
      <c r="B163" s="240"/>
      <c r="C163" s="240"/>
      <c r="D163" s="24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>
      <c r="A164" s="69"/>
      <c r="B164" s="240"/>
      <c r="C164" s="240"/>
      <c r="D164" s="24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52">
      <c r="A165" s="69"/>
      <c r="B165" s="240"/>
      <c r="C165" s="240"/>
      <c r="D165" s="24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>
      <c r="A166" s="69"/>
      <c r="B166" s="240"/>
      <c r="C166" s="240"/>
      <c r="D166" s="24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52">
      <c r="A167" s="69"/>
      <c r="B167" s="240"/>
      <c r="C167" s="240"/>
      <c r="D167" s="24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>
      <c r="A168" s="69"/>
      <c r="B168" s="240"/>
      <c r="C168" s="240"/>
      <c r="D168" s="24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52">
      <c r="A169" s="69"/>
      <c r="B169" s="240"/>
      <c r="C169" s="240"/>
      <c r="D169" s="24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>
      <c r="A170" s="69"/>
      <c r="B170" s="240"/>
      <c r="C170" s="240"/>
      <c r="D170" s="24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52">
      <c r="A171" s="69"/>
      <c r="B171" s="240"/>
      <c r="C171" s="240"/>
      <c r="D171" s="24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>
      <c r="A172" s="69"/>
      <c r="B172" s="240"/>
      <c r="C172" s="240"/>
      <c r="D172" s="24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52">
      <c r="A173" s="69"/>
      <c r="B173" s="240"/>
      <c r="C173" s="240"/>
      <c r="D173" s="24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>
      <c r="A174" s="69"/>
      <c r="B174" s="240"/>
      <c r="C174" s="240"/>
      <c r="D174" s="24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52">
      <c r="A175" s="69"/>
      <c r="B175" s="240"/>
      <c r="C175" s="240"/>
      <c r="D175" s="24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>
      <c r="A176" s="69"/>
      <c r="B176" s="240"/>
      <c r="C176" s="240"/>
      <c r="D176" s="24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52">
      <c r="A177" s="69"/>
      <c r="B177" s="240"/>
      <c r="C177" s="240"/>
      <c r="D177" s="24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>
      <c r="A178" s="69"/>
      <c r="B178" s="240"/>
      <c r="C178" s="240"/>
      <c r="D178" s="24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52">
      <c r="A179" s="69"/>
      <c r="B179" s="240"/>
      <c r="C179" s="240"/>
      <c r="D179" s="24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>
      <c r="A180" s="69"/>
      <c r="B180" s="240"/>
      <c r="C180" s="240"/>
      <c r="D180" s="24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52">
      <c r="A181" s="69"/>
      <c r="B181" s="240"/>
      <c r="C181" s="240"/>
      <c r="D181" s="24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>
      <c r="A182" s="69"/>
      <c r="B182" s="240"/>
      <c r="C182" s="240"/>
      <c r="D182" s="24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52">
      <c r="A183" s="69"/>
      <c r="B183" s="240"/>
      <c r="C183" s="240"/>
      <c r="D183" s="24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>
      <c r="A184" s="69"/>
      <c r="B184" s="240"/>
      <c r="C184" s="240"/>
      <c r="D184" s="24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52">
      <c r="A185" s="69"/>
      <c r="B185" s="240"/>
      <c r="C185" s="240"/>
      <c r="D185" s="24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52">
      <c r="A186" s="69"/>
      <c r="B186" s="240"/>
      <c r="C186" s="240"/>
      <c r="D186" s="24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52">
      <c r="A187" s="69"/>
      <c r="B187" s="240"/>
      <c r="C187" s="240"/>
      <c r="D187" s="24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>
      <c r="A188" s="69"/>
      <c r="B188" s="240"/>
      <c r="C188" s="240"/>
      <c r="D188" s="24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52">
      <c r="A189" s="69"/>
      <c r="B189" s="240"/>
      <c r="C189" s="240"/>
      <c r="D189" s="24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>
      <c r="A190" s="69"/>
      <c r="B190" s="240"/>
      <c r="C190" s="240"/>
      <c r="D190" s="24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52">
      <c r="A191" s="69"/>
      <c r="B191" s="240"/>
      <c r="C191" s="240"/>
      <c r="D191" s="24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>
      <c r="A192" s="69"/>
      <c r="B192" s="240"/>
      <c r="C192" s="240"/>
      <c r="D192" s="24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52">
      <c r="A193" s="69"/>
      <c r="B193" s="240"/>
      <c r="C193" s="240"/>
      <c r="D193" s="24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>
      <c r="A194" s="69"/>
      <c r="B194" s="240"/>
      <c r="C194" s="240"/>
      <c r="D194" s="24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52">
      <c r="A195" s="69"/>
      <c r="B195" s="240"/>
      <c r="C195" s="240"/>
      <c r="D195" s="24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>
      <c r="A196" s="69"/>
      <c r="B196" s="240"/>
      <c r="C196" s="240"/>
      <c r="D196" s="24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52">
      <c r="A197" s="69"/>
      <c r="B197" s="240"/>
      <c r="C197" s="240"/>
      <c r="D197" s="24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>
      <c r="A198" s="69"/>
      <c r="B198" s="240"/>
      <c r="C198" s="240"/>
      <c r="D198" s="24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52">
      <c r="A199" s="69"/>
      <c r="B199" s="240"/>
      <c r="C199" s="240"/>
      <c r="D199" s="24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>
      <c r="A200" s="69"/>
      <c r="B200" s="240"/>
      <c r="C200" s="240"/>
      <c r="D200" s="24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1:52">
      <c r="A201" s="69"/>
      <c r="B201" s="240"/>
      <c r="C201" s="240"/>
      <c r="D201" s="24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>
      <c r="A202" s="69"/>
      <c r="B202" s="240"/>
      <c r="C202" s="240"/>
      <c r="D202" s="24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1:52">
      <c r="A203" s="69"/>
      <c r="B203" s="240"/>
      <c r="C203" s="240"/>
      <c r="D203" s="24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>
      <c r="A204" s="69"/>
      <c r="B204" s="240"/>
      <c r="C204" s="240"/>
      <c r="D204" s="24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1:52">
      <c r="A205" s="69"/>
      <c r="B205" s="240"/>
      <c r="C205" s="240"/>
      <c r="D205" s="24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>
      <c r="A206" s="69"/>
      <c r="B206" s="240"/>
      <c r="C206" s="240"/>
      <c r="D206" s="24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1:52">
      <c r="A207" s="69"/>
      <c r="B207" s="240"/>
      <c r="C207" s="240"/>
      <c r="D207" s="24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>
      <c r="A208" s="69"/>
      <c r="B208" s="240"/>
      <c r="C208" s="240"/>
      <c r="D208" s="24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1:52">
      <c r="A209" s="69"/>
      <c r="B209" s="240"/>
      <c r="C209" s="240"/>
      <c r="D209" s="24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>
      <c r="A210" s="69"/>
      <c r="B210" s="240"/>
      <c r="C210" s="240"/>
      <c r="D210" s="24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1:52">
      <c r="A211" s="69"/>
      <c r="B211" s="240"/>
      <c r="C211" s="240"/>
      <c r="D211" s="24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>
      <c r="A212" s="69"/>
      <c r="B212" s="240"/>
      <c r="C212" s="240"/>
      <c r="D212" s="24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1:52">
      <c r="A213" s="69"/>
      <c r="B213" s="240"/>
      <c r="C213" s="240"/>
      <c r="D213" s="24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>
      <c r="A214" s="69"/>
      <c r="B214" s="240"/>
      <c r="C214" s="240"/>
      <c r="D214" s="24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1:52">
      <c r="A215" s="69"/>
      <c r="B215" s="240"/>
      <c r="C215" s="240"/>
      <c r="D215" s="24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>
      <c r="A216" s="69"/>
      <c r="B216" s="240"/>
      <c r="C216" s="240"/>
      <c r="D216" s="24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1:52">
      <c r="A217" s="69"/>
      <c r="B217" s="240"/>
      <c r="C217" s="240"/>
      <c r="D217" s="24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>
      <c r="A218" s="69"/>
      <c r="B218" s="240"/>
      <c r="C218" s="240"/>
      <c r="D218" s="24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1:52">
      <c r="A219" s="69"/>
      <c r="B219" s="240"/>
      <c r="C219" s="240"/>
      <c r="D219" s="24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>
      <c r="A220" s="69"/>
      <c r="B220" s="240"/>
      <c r="C220" s="240"/>
      <c r="D220" s="24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1:52">
      <c r="A221" s="69"/>
      <c r="B221" s="240"/>
      <c r="C221" s="240"/>
      <c r="D221" s="24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>
      <c r="A222" s="69"/>
      <c r="B222" s="240"/>
      <c r="C222" s="240"/>
      <c r="D222" s="24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1:52">
      <c r="A223" s="69"/>
      <c r="B223" s="240"/>
      <c r="C223" s="240"/>
      <c r="D223" s="24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1:52">
      <c r="A224" s="69"/>
      <c r="B224" s="240"/>
      <c r="C224" s="240"/>
      <c r="D224" s="24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1:52">
      <c r="A225" s="69"/>
      <c r="B225" s="240"/>
      <c r="C225" s="240"/>
      <c r="D225" s="24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1:52">
      <c r="A226" s="69"/>
      <c r="B226" s="240"/>
      <c r="C226" s="240"/>
      <c r="D226" s="24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1:52">
      <c r="A227" s="69"/>
      <c r="B227" s="240"/>
      <c r="C227" s="240"/>
      <c r="D227" s="24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1:52">
      <c r="A228" s="69"/>
      <c r="B228" s="240"/>
      <c r="C228" s="240"/>
      <c r="D228" s="24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1:52">
      <c r="A229" s="69"/>
      <c r="B229" s="240"/>
      <c r="C229" s="240"/>
      <c r="D229" s="24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1:52">
      <c r="A230" s="69"/>
      <c r="B230" s="240"/>
      <c r="C230" s="240"/>
      <c r="D230" s="24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1:52">
      <c r="A231" s="69"/>
      <c r="B231" s="240"/>
      <c r="C231" s="240"/>
      <c r="D231" s="24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1:52">
      <c r="A232" s="69"/>
      <c r="B232" s="240"/>
      <c r="C232" s="240"/>
      <c r="D232" s="24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1:52">
      <c r="A233" s="69"/>
      <c r="B233" s="240"/>
      <c r="C233" s="240"/>
      <c r="D233" s="24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1:52">
      <c r="A234" s="69"/>
      <c r="B234" s="240"/>
      <c r="C234" s="240"/>
      <c r="D234" s="24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1:52">
      <c r="A235" s="69"/>
      <c r="B235" s="240"/>
      <c r="C235" s="240"/>
      <c r="D235" s="24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1:52">
      <c r="A236" s="69"/>
      <c r="B236" s="240"/>
      <c r="C236" s="240"/>
      <c r="D236" s="24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1:52">
      <c r="A237" s="69"/>
      <c r="B237" s="240"/>
      <c r="C237" s="240"/>
      <c r="D237" s="24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1:52">
      <c r="A238" s="69"/>
      <c r="B238" s="240"/>
      <c r="C238" s="240"/>
      <c r="D238" s="24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1:52">
      <c r="A239" s="69"/>
      <c r="B239" s="240"/>
      <c r="C239" s="240"/>
      <c r="D239" s="24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1:52">
      <c r="A240" s="69"/>
      <c r="B240" s="240"/>
      <c r="C240" s="240"/>
      <c r="D240" s="24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1:52">
      <c r="A241" s="69"/>
      <c r="B241" s="240"/>
      <c r="C241" s="240"/>
      <c r="D241" s="24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1:52">
      <c r="A242" s="69"/>
      <c r="B242" s="240"/>
      <c r="C242" s="240"/>
      <c r="D242" s="24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1:52">
      <c r="A243" s="69"/>
      <c r="B243" s="240"/>
      <c r="C243" s="240"/>
      <c r="D243" s="24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1:52">
      <c r="A244" s="69"/>
      <c r="B244" s="240"/>
      <c r="C244" s="240"/>
      <c r="D244" s="24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1:52">
      <c r="A245" s="69"/>
      <c r="B245" s="240"/>
      <c r="C245" s="240"/>
      <c r="D245" s="24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1:52">
      <c r="A246" s="69"/>
      <c r="B246" s="240"/>
      <c r="C246" s="240"/>
      <c r="D246" s="24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1:52">
      <c r="A247" s="69"/>
      <c r="B247" s="240"/>
      <c r="C247" s="240"/>
      <c r="D247" s="24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1:52">
      <c r="A248" s="69"/>
      <c r="B248" s="240"/>
      <c r="C248" s="240"/>
      <c r="D248" s="24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1:52">
      <c r="A249" s="69"/>
      <c r="B249" s="240"/>
      <c r="C249" s="240"/>
      <c r="D249" s="24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1:52">
      <c r="A250" s="69"/>
      <c r="B250" s="240"/>
      <c r="C250" s="240"/>
      <c r="D250" s="24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1:52">
      <c r="A251" s="69"/>
      <c r="B251" s="240"/>
      <c r="C251" s="240"/>
      <c r="D251" s="24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1:52">
      <c r="A252" s="69"/>
      <c r="B252" s="240"/>
      <c r="C252" s="240"/>
      <c r="D252" s="24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spans="1:52">
      <c r="A253" s="69"/>
      <c r="B253" s="240"/>
      <c r="C253" s="240"/>
      <c r="D253" s="24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1:52">
      <c r="A254" s="69"/>
      <c r="B254" s="240"/>
      <c r="C254" s="240"/>
      <c r="D254" s="24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1:52">
      <c r="A255" s="69"/>
      <c r="B255" s="240"/>
      <c r="C255" s="240"/>
      <c r="D255" s="24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1:52">
      <c r="A256" s="69"/>
      <c r="B256" s="240"/>
      <c r="C256" s="240"/>
      <c r="D256" s="24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spans="1:52">
      <c r="A257" s="69"/>
      <c r="B257" s="240"/>
      <c r="C257" s="240"/>
      <c r="D257" s="24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1:52">
      <c r="A258" s="69"/>
      <c r="B258" s="240"/>
      <c r="C258" s="240"/>
      <c r="D258" s="24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spans="1:52">
      <c r="A259" s="69"/>
      <c r="B259" s="240"/>
      <c r="C259" s="240"/>
      <c r="D259" s="24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spans="1:52">
      <c r="A260" s="69"/>
      <c r="B260" s="240"/>
      <c r="C260" s="240"/>
      <c r="D260" s="24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1:52">
      <c r="A261" s="69"/>
      <c r="B261" s="240"/>
      <c r="C261" s="240"/>
      <c r="D261" s="24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1:52">
      <c r="A262" s="69"/>
      <c r="B262" s="240"/>
      <c r="C262" s="240"/>
      <c r="D262" s="24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1:52">
      <c r="A263" s="69"/>
      <c r="B263" s="240"/>
      <c r="C263" s="240"/>
      <c r="D263" s="24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1:52">
      <c r="A264" s="69"/>
      <c r="B264" s="240"/>
      <c r="C264" s="240"/>
      <c r="D264" s="24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1:52">
      <c r="A265" s="69"/>
      <c r="B265" s="240"/>
      <c r="C265" s="240"/>
      <c r="D265" s="24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1:52">
      <c r="A266" s="69"/>
      <c r="B266" s="240"/>
      <c r="C266" s="240"/>
      <c r="D266" s="24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1:52">
      <c r="A267" s="69"/>
      <c r="B267" s="240"/>
      <c r="C267" s="240"/>
      <c r="D267" s="24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1:52">
      <c r="A268" s="69"/>
      <c r="B268" s="240"/>
      <c r="C268" s="240"/>
      <c r="D268" s="24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1:52">
      <c r="A269" s="69"/>
      <c r="B269" s="240"/>
      <c r="C269" s="240"/>
      <c r="D269" s="24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1:52">
      <c r="A270" s="69"/>
      <c r="B270" s="240"/>
      <c r="C270" s="240"/>
      <c r="D270" s="24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1:52">
      <c r="A271" s="69"/>
      <c r="B271" s="240"/>
      <c r="C271" s="240"/>
      <c r="D271" s="24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spans="1:52">
      <c r="A272" s="69"/>
      <c r="B272" s="240"/>
      <c r="C272" s="240"/>
      <c r="D272" s="24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spans="1:52">
      <c r="A273" s="69"/>
      <c r="B273" s="240"/>
      <c r="C273" s="240"/>
      <c r="D273" s="24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spans="1:52">
      <c r="A274" s="69"/>
      <c r="B274" s="240"/>
      <c r="C274" s="240"/>
      <c r="D274" s="24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spans="1:52">
      <c r="A275" s="69"/>
      <c r="B275" s="240"/>
      <c r="C275" s="240"/>
      <c r="D275" s="24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spans="1:52">
      <c r="A276" s="69"/>
      <c r="B276" s="240"/>
      <c r="C276" s="240"/>
      <c r="D276" s="24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spans="1:52">
      <c r="A277" s="69"/>
      <c r="B277" s="240"/>
      <c r="C277" s="240"/>
      <c r="D277" s="24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spans="1:52">
      <c r="A278" s="69"/>
      <c r="B278" s="240"/>
      <c r="C278" s="240"/>
      <c r="D278" s="24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spans="1:52">
      <c r="A279" s="69"/>
      <c r="B279" s="240"/>
      <c r="C279" s="240"/>
      <c r="D279" s="24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spans="1:52">
      <c r="A280" s="69"/>
      <c r="B280" s="240"/>
      <c r="C280" s="240"/>
      <c r="D280" s="24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spans="1:52">
      <c r="A281" s="69"/>
      <c r="B281" s="240"/>
      <c r="C281" s="240"/>
      <c r="D281" s="24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spans="1:52">
      <c r="A282" s="69"/>
      <c r="B282" s="240"/>
      <c r="C282" s="240"/>
      <c r="D282" s="24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spans="1:52">
      <c r="A283" s="69"/>
      <c r="B283" s="240"/>
      <c r="C283" s="240"/>
      <c r="D283" s="24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spans="1:52">
      <c r="A284" s="69"/>
      <c r="B284" s="240"/>
      <c r="C284" s="240"/>
      <c r="D284" s="24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spans="1:52">
      <c r="A285" s="69"/>
      <c r="B285" s="240"/>
      <c r="C285" s="240"/>
      <c r="D285" s="24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spans="1:52">
      <c r="A286" s="69"/>
      <c r="B286" s="240"/>
      <c r="C286" s="240"/>
      <c r="D286" s="24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spans="1:52">
      <c r="A287" s="69"/>
      <c r="B287" s="240"/>
      <c r="C287" s="240"/>
      <c r="D287" s="24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spans="1:52">
      <c r="A288" s="69"/>
      <c r="B288" s="240"/>
      <c r="C288" s="240"/>
      <c r="D288" s="24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spans="1:52">
      <c r="A289" s="69"/>
      <c r="B289" s="240"/>
      <c r="C289" s="240"/>
      <c r="D289" s="24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spans="1:52">
      <c r="A290" s="69"/>
      <c r="B290" s="240"/>
      <c r="C290" s="240"/>
      <c r="D290" s="24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spans="1:52">
      <c r="A291" s="69"/>
      <c r="B291" s="240"/>
      <c r="C291" s="240"/>
      <c r="D291" s="24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spans="1:52">
      <c r="A292" s="69"/>
      <c r="B292" s="240"/>
      <c r="C292" s="240"/>
      <c r="D292" s="24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spans="1:52">
      <c r="A293" s="69"/>
      <c r="B293" s="240"/>
      <c r="C293" s="240"/>
      <c r="D293" s="24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spans="1:52">
      <c r="A294" s="69"/>
      <c r="B294" s="240"/>
      <c r="C294" s="240"/>
      <c r="D294" s="24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spans="1:52">
      <c r="A295" s="69"/>
      <c r="B295" s="240"/>
      <c r="C295" s="240"/>
      <c r="D295" s="24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spans="1:52">
      <c r="A296" s="69"/>
      <c r="B296" s="240"/>
      <c r="C296" s="240"/>
      <c r="D296" s="24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spans="1:52">
      <c r="A297" s="69"/>
      <c r="B297" s="240"/>
      <c r="C297" s="240"/>
      <c r="D297" s="24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spans="1:52">
      <c r="A298" s="69"/>
      <c r="B298" s="240"/>
      <c r="C298" s="240"/>
      <c r="D298" s="24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spans="1:52">
      <c r="A299" s="69"/>
      <c r="B299" s="240"/>
      <c r="C299" s="240"/>
      <c r="D299" s="24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spans="1:52">
      <c r="A300" s="69"/>
      <c r="B300" s="240"/>
      <c r="C300" s="240"/>
      <c r="D300" s="24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spans="1:52">
      <c r="A301" s="69"/>
      <c r="B301" s="240"/>
      <c r="C301" s="240"/>
      <c r="D301" s="24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spans="1:52">
      <c r="A302" s="69"/>
      <c r="B302" s="240"/>
      <c r="C302" s="240"/>
      <c r="D302" s="24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spans="1:52">
      <c r="A303" s="69"/>
      <c r="B303" s="240"/>
      <c r="C303" s="240"/>
      <c r="D303" s="24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spans="1:52">
      <c r="A304" s="69"/>
      <c r="B304" s="240"/>
      <c r="C304" s="240"/>
      <c r="D304" s="24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spans="1:52">
      <c r="A305" s="69"/>
      <c r="B305" s="240"/>
      <c r="C305" s="240"/>
      <c r="D305" s="24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spans="1:52">
      <c r="A306" s="69"/>
      <c r="B306" s="240"/>
      <c r="C306" s="240"/>
      <c r="D306" s="24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spans="1:52">
      <c r="A307" s="69"/>
      <c r="B307" s="240"/>
      <c r="C307" s="240"/>
      <c r="D307" s="24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spans="1:52">
      <c r="A308" s="69"/>
      <c r="B308" s="240"/>
      <c r="C308" s="240"/>
      <c r="D308" s="24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spans="1:52">
      <c r="A309" s="69"/>
      <c r="B309" s="240"/>
      <c r="C309" s="240"/>
      <c r="D309" s="24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spans="1:52">
      <c r="A310" s="69"/>
      <c r="B310" s="240"/>
      <c r="C310" s="240"/>
      <c r="D310" s="24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spans="1:52">
      <c r="A311" s="69"/>
      <c r="B311" s="240"/>
      <c r="C311" s="240"/>
      <c r="D311" s="24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spans="1:52">
      <c r="A312" s="69"/>
      <c r="B312" s="240"/>
      <c r="C312" s="240"/>
      <c r="D312" s="24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spans="1:52">
      <c r="A313" s="69"/>
      <c r="B313" s="240"/>
      <c r="C313" s="240"/>
      <c r="D313" s="24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spans="1:52">
      <c r="A314" s="69"/>
      <c r="B314" s="240"/>
      <c r="C314" s="240"/>
      <c r="D314" s="24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52">
      <c r="A315" s="69"/>
      <c r="B315" s="240"/>
      <c r="C315" s="240"/>
      <c r="D315" s="24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52">
      <c r="A316" s="69"/>
      <c r="B316" s="240"/>
      <c r="C316" s="240"/>
      <c r="D316" s="24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spans="1:52">
      <c r="A317" s="69"/>
      <c r="B317" s="240"/>
      <c r="C317" s="240"/>
      <c r="D317" s="24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spans="1:52">
      <c r="A318" s="69"/>
      <c r="B318" s="240"/>
      <c r="C318" s="240"/>
      <c r="D318" s="24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spans="1:52">
      <c r="A319" s="69"/>
      <c r="B319" s="240"/>
      <c r="C319" s="240"/>
      <c r="D319" s="24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spans="1:52">
      <c r="A320" s="69"/>
      <c r="B320" s="240"/>
      <c r="C320" s="240"/>
      <c r="D320" s="24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spans="1:52">
      <c r="A321" s="69"/>
      <c r="B321" s="240"/>
      <c r="C321" s="240"/>
      <c r="D321" s="24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spans="1:52">
      <c r="A322" s="69"/>
      <c r="B322" s="240"/>
      <c r="C322" s="240"/>
      <c r="D322" s="24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spans="1:52">
      <c r="A323" s="69"/>
      <c r="B323" s="240"/>
      <c r="C323" s="240"/>
      <c r="D323" s="24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spans="1:52">
      <c r="A324" s="69"/>
      <c r="B324" s="240"/>
      <c r="C324" s="240"/>
      <c r="D324" s="24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spans="1:52">
      <c r="A325" s="69"/>
      <c r="B325" s="240"/>
      <c r="C325" s="240"/>
      <c r="D325" s="24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spans="1:52">
      <c r="A326" s="69"/>
      <c r="B326" s="240"/>
      <c r="C326" s="240"/>
      <c r="D326" s="24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spans="1:52">
      <c r="A327" s="69"/>
      <c r="B327" s="240"/>
      <c r="C327" s="240"/>
      <c r="D327" s="24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spans="1:52">
      <c r="A328" s="69"/>
      <c r="B328" s="240"/>
      <c r="C328" s="240"/>
      <c r="D328" s="24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spans="1:52">
      <c r="A329" s="69"/>
      <c r="B329" s="240"/>
      <c r="C329" s="240"/>
      <c r="D329" s="24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spans="1:52">
      <c r="A330" s="69"/>
      <c r="B330" s="240"/>
      <c r="C330" s="240"/>
      <c r="D330" s="24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spans="1:52">
      <c r="A331" s="69"/>
      <c r="B331" s="240"/>
      <c r="C331" s="240"/>
      <c r="D331" s="24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spans="1:52">
      <c r="A332" s="69"/>
      <c r="B332" s="240"/>
      <c r="C332" s="240"/>
      <c r="D332" s="24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spans="1:52">
      <c r="A333" s="69"/>
      <c r="B333" s="240"/>
      <c r="C333" s="240"/>
      <c r="D333" s="24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spans="1:52">
      <c r="A334" s="69"/>
      <c r="B334" s="240"/>
      <c r="C334" s="240"/>
      <c r="D334" s="24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spans="1:52">
      <c r="A335" s="69"/>
      <c r="B335" s="240"/>
      <c r="C335" s="240"/>
      <c r="D335" s="24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spans="1:52">
      <c r="A336" s="69"/>
      <c r="B336" s="240"/>
      <c r="C336" s="240"/>
      <c r="D336" s="24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spans="1:52">
      <c r="A337" s="69"/>
      <c r="B337" s="240"/>
      <c r="C337" s="240"/>
      <c r="D337" s="24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spans="1:52">
      <c r="A338" s="69"/>
      <c r="B338" s="240"/>
      <c r="C338" s="240"/>
      <c r="D338" s="24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spans="1:52">
      <c r="A339" s="69"/>
      <c r="B339" s="240"/>
      <c r="C339" s="240"/>
      <c r="D339" s="24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spans="1:52">
      <c r="A340" s="69"/>
      <c r="B340" s="240"/>
      <c r="C340" s="240"/>
      <c r="D340" s="24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spans="1:52">
      <c r="A341" s="69"/>
      <c r="B341" s="240"/>
      <c r="C341" s="240"/>
      <c r="D341" s="24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spans="1:52">
      <c r="A342" s="69"/>
      <c r="B342" s="240"/>
      <c r="C342" s="240"/>
      <c r="D342" s="24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spans="1:52">
      <c r="A343" s="69"/>
      <c r="B343" s="240"/>
      <c r="C343" s="240"/>
      <c r="D343" s="24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  <row r="344" spans="1:52">
      <c r="A344" s="69"/>
      <c r="B344" s="240"/>
      <c r="C344" s="240"/>
      <c r="D344" s="24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</row>
    <row r="345" spans="1:52">
      <c r="A345" s="69"/>
      <c r="B345" s="240"/>
      <c r="C345" s="240"/>
      <c r="D345" s="24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</row>
    <row r="346" spans="1:52">
      <c r="A346" s="69"/>
      <c r="B346" s="240"/>
      <c r="C346" s="240"/>
      <c r="D346" s="24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</row>
    <row r="347" spans="1:52">
      <c r="A347" s="69"/>
      <c r="B347" s="240"/>
      <c r="C347" s="240"/>
      <c r="D347" s="24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</row>
    <row r="348" spans="1:52">
      <c r="A348" s="69"/>
      <c r="B348" s="240"/>
      <c r="C348" s="240"/>
      <c r="D348" s="24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</row>
    <row r="349" spans="1:52">
      <c r="A349" s="69"/>
      <c r="B349" s="240"/>
      <c r="C349" s="240"/>
      <c r="D349" s="24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</row>
    <row r="350" spans="1:52">
      <c r="A350" s="69"/>
      <c r="B350" s="240"/>
      <c r="C350" s="240"/>
      <c r="D350" s="24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</row>
    <row r="351" spans="1:52">
      <c r="A351" s="69"/>
      <c r="B351" s="240"/>
      <c r="C351" s="240"/>
      <c r="D351" s="24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</row>
    <row r="352" spans="1:52">
      <c r="A352" s="69"/>
      <c r="B352" s="240"/>
      <c r="C352" s="240"/>
      <c r="D352" s="24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</row>
    <row r="353" spans="1:52">
      <c r="A353" s="69"/>
      <c r="B353" s="240"/>
      <c r="C353" s="240"/>
      <c r="D353" s="24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</row>
    <row r="354" spans="1:52">
      <c r="A354" s="69"/>
      <c r="B354" s="240"/>
      <c r="C354" s="240"/>
      <c r="D354" s="24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</row>
    <row r="355" spans="1:52">
      <c r="A355" s="69"/>
      <c r="B355" s="240"/>
      <c r="C355" s="240"/>
      <c r="D355" s="24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</row>
    <row r="356" spans="1:52">
      <c r="A356" s="69"/>
      <c r="B356" s="240"/>
      <c r="C356" s="240"/>
      <c r="D356" s="24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</row>
    <row r="357" spans="1:52">
      <c r="A357" s="69"/>
      <c r="B357" s="240"/>
      <c r="C357" s="240"/>
      <c r="D357" s="24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</row>
    <row r="358" spans="1:52">
      <c r="A358" s="69"/>
      <c r="B358" s="240"/>
      <c r="C358" s="240"/>
      <c r="D358" s="24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</row>
    <row r="359" spans="1:52">
      <c r="A359" s="69"/>
      <c r="B359" s="240"/>
      <c r="C359" s="240"/>
      <c r="D359" s="24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</row>
    <row r="360" spans="1:52">
      <c r="A360" s="69"/>
      <c r="B360" s="240"/>
      <c r="C360" s="240"/>
      <c r="D360" s="24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</row>
    <row r="361" spans="1:52">
      <c r="A361" s="69"/>
      <c r="B361" s="240"/>
      <c r="C361" s="240"/>
      <c r="D361" s="24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</row>
    <row r="362" spans="1:52">
      <c r="A362" s="69"/>
      <c r="B362" s="240"/>
      <c r="C362" s="240"/>
      <c r="D362" s="24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</row>
    <row r="363" spans="1:52">
      <c r="A363" s="69"/>
      <c r="B363" s="240"/>
      <c r="C363" s="240"/>
      <c r="D363" s="24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</row>
    <row r="364" spans="1:52">
      <c r="A364" s="69"/>
      <c r="B364" s="240"/>
      <c r="C364" s="240"/>
      <c r="D364" s="24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</row>
    <row r="365" spans="1:52">
      <c r="A365" s="69"/>
      <c r="B365" s="240"/>
      <c r="C365" s="240"/>
      <c r="D365" s="24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</row>
    <row r="366" spans="1:52">
      <c r="A366" s="69"/>
      <c r="B366" s="240"/>
      <c r="C366" s="240"/>
      <c r="D366" s="24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</row>
    <row r="367" spans="1:52">
      <c r="A367" s="69"/>
      <c r="B367" s="240"/>
      <c r="C367" s="240"/>
      <c r="D367" s="24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</row>
    <row r="368" spans="1:52">
      <c r="A368" s="69"/>
      <c r="B368" s="240"/>
      <c r="C368" s="240"/>
      <c r="D368" s="24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</row>
    <row r="369" spans="1:52">
      <c r="A369" s="69"/>
      <c r="B369" s="240"/>
      <c r="C369" s="240"/>
      <c r="D369" s="24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</row>
    <row r="370" spans="1:52">
      <c r="A370" s="69"/>
      <c r="B370" s="240"/>
      <c r="C370" s="240"/>
      <c r="D370" s="24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</row>
    <row r="371" spans="1:52">
      <c r="A371" s="69"/>
      <c r="B371" s="240"/>
      <c r="C371" s="240"/>
      <c r="D371" s="24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</row>
    <row r="372" spans="1:52">
      <c r="A372" s="69"/>
      <c r="B372" s="240"/>
      <c r="C372" s="240"/>
      <c r="D372" s="24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</row>
    <row r="373" spans="1:52">
      <c r="A373" s="69"/>
      <c r="B373" s="240"/>
      <c r="C373" s="240"/>
      <c r="D373" s="24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</row>
    <row r="374" spans="1:52">
      <c r="A374" s="69"/>
      <c r="B374" s="240"/>
      <c r="C374" s="240"/>
      <c r="D374" s="24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</row>
    <row r="375" spans="1:52">
      <c r="A375" s="69"/>
      <c r="B375" s="240"/>
      <c r="C375" s="240"/>
      <c r="D375" s="24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</row>
  </sheetData>
  <printOptions horizontalCentered="1"/>
  <pageMargins left="0.75" right="0.75" top="1" bottom="1" header="0.5" footer="0.5"/>
  <pageSetup scale="47" orientation="landscape" horizontalDpi="4294967292" verticalDpi="4294967292" r:id="rId1"/>
  <headerFooter alignWithMargins="0">
    <oddFooter>&amp;L&amp;D&amp;CPage ____&amp;R&amp;F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L66"/>
  <sheetViews>
    <sheetView showGridLines="0" zoomScale="70" workbookViewId="0">
      <pane ySplit="5" topLeftCell="A15" activePane="bottomLeft" state="frozen"/>
      <selection activeCell="G40" sqref="G40"/>
      <selection pane="bottomLeft" activeCell="F41" sqref="F41"/>
    </sheetView>
  </sheetViews>
  <sheetFormatPr defaultRowHeight="12.75"/>
  <cols>
    <col min="1" max="1" width="4.140625" style="5" customWidth="1"/>
    <col min="2" max="2" width="30.7109375" style="5" customWidth="1"/>
    <col min="3" max="3" width="9.140625" style="5"/>
    <col min="4" max="4" width="9" style="5" customWidth="1"/>
    <col min="5" max="5" width="16" style="5" customWidth="1"/>
    <col min="6" max="6" width="15.42578125" style="11" customWidth="1"/>
    <col min="7" max="7" width="15.7109375" style="427" customWidth="1"/>
    <col min="8" max="8" width="16.42578125" style="5" customWidth="1"/>
    <col min="9" max="9" width="14.7109375" style="5" customWidth="1"/>
    <col min="10" max="10" width="14.85546875" style="5" customWidth="1"/>
    <col min="11" max="11" width="15.42578125" style="5" customWidth="1"/>
    <col min="12" max="16384" width="9.140625" style="5"/>
  </cols>
  <sheetData>
    <row r="1" spans="1:12" ht="15.75">
      <c r="A1" s="465" t="str">
        <f>Summary!$A$1</f>
        <v>AES Corp, Dallas, TX (640 MW)</v>
      </c>
      <c r="B1" s="1"/>
      <c r="C1" s="8"/>
      <c r="D1" s="8"/>
      <c r="E1" s="8"/>
      <c r="H1" s="8"/>
      <c r="I1" s="8"/>
      <c r="J1" s="8"/>
      <c r="K1" s="8"/>
    </row>
    <row r="2" spans="1:12" ht="23.25" customHeight="1">
      <c r="A2" s="466" t="s">
        <v>1134</v>
      </c>
      <c r="B2" s="466"/>
      <c r="C2" s="8"/>
      <c r="D2" s="8"/>
      <c r="E2" s="8"/>
      <c r="H2" s="8"/>
      <c r="I2" s="8"/>
      <c r="J2" s="8"/>
      <c r="K2" s="8"/>
    </row>
    <row r="3" spans="1:12" ht="18" customHeight="1" thickBot="1"/>
    <row r="4" spans="1:12" ht="13.5" hidden="1" thickBot="1">
      <c r="C4" s="425"/>
      <c r="D4" s="424"/>
      <c r="E4" s="424"/>
      <c r="F4" s="424"/>
      <c r="G4" s="428" t="s">
        <v>192</v>
      </c>
      <c r="H4" s="7" t="s">
        <v>193</v>
      </c>
      <c r="I4" s="153" t="s">
        <v>193</v>
      </c>
      <c r="J4" s="7" t="s">
        <v>269</v>
      </c>
      <c r="K4" s="7" t="s">
        <v>194</v>
      </c>
    </row>
    <row r="5" spans="1:12" s="422" customFormat="1" ht="44.25" customHeight="1" thickBot="1">
      <c r="C5" s="423" t="s">
        <v>1355</v>
      </c>
      <c r="D5" s="423" t="s">
        <v>1356</v>
      </c>
      <c r="E5" s="423" t="s">
        <v>1377</v>
      </c>
      <c r="F5" s="423" t="s">
        <v>1371</v>
      </c>
      <c r="G5" s="423" t="s">
        <v>1372</v>
      </c>
      <c r="H5" s="426" t="s">
        <v>1374</v>
      </c>
      <c r="I5" s="423" t="s">
        <v>1373</v>
      </c>
      <c r="J5" s="426" t="s">
        <v>1375</v>
      </c>
      <c r="K5" s="426" t="s">
        <v>1376</v>
      </c>
      <c r="L5"/>
    </row>
    <row r="6" spans="1:12" ht="16.5" customHeight="1">
      <c r="C6" s="18"/>
      <c r="D6" s="434"/>
      <c r="E6" s="434"/>
      <c r="F6" s="557" t="s">
        <v>1378</v>
      </c>
      <c r="G6" s="437"/>
      <c r="H6" s="432"/>
      <c r="I6" s="432"/>
      <c r="J6" s="432"/>
      <c r="K6" s="439"/>
      <c r="L6"/>
    </row>
    <row r="7" spans="1:12" ht="16.5" customHeight="1">
      <c r="A7" s="156" t="s">
        <v>266</v>
      </c>
      <c r="B7" s="156"/>
      <c r="C7" s="36"/>
      <c r="D7" s="435"/>
      <c r="E7" s="435"/>
      <c r="F7" s="435"/>
      <c r="G7" s="436"/>
      <c r="H7" s="433"/>
      <c r="I7" s="433"/>
      <c r="J7" s="438"/>
      <c r="K7" s="440"/>
      <c r="L7" s="16"/>
    </row>
    <row r="8" spans="1:12">
      <c r="B8" s="5" t="str">
        <f>Plant_Staff!B10</f>
        <v>Plant Manager</v>
      </c>
      <c r="C8" s="441">
        <f>Plant_Staff!C10</f>
        <v>0</v>
      </c>
      <c r="D8" s="431">
        <f>Plant_Staff!D10</f>
        <v>1</v>
      </c>
      <c r="E8" s="431">
        <f>C8+D8</f>
        <v>1</v>
      </c>
      <c r="F8" s="540">
        <f>IF(E8&gt;0,-12,0)</f>
        <v>-12</v>
      </c>
      <c r="G8" s="540">
        <f>-F8</f>
        <v>12</v>
      </c>
      <c r="H8" s="446">
        <f>Plant_Staff!H10/12</f>
        <v>7250</v>
      </c>
      <c r="I8" s="446">
        <f>Plant_Staff!I10*Mob_Staffing!H8</f>
        <v>0</v>
      </c>
      <c r="J8" s="446">
        <f>Plant_Staff!J10*Mob_Staffing!H8+Plant_Staff!K10*Mob_Staffing!I8</f>
        <v>5089.5</v>
      </c>
      <c r="K8" s="447">
        <f>(H8+I8+J8)*G8</f>
        <v>148074</v>
      </c>
      <c r="L8" s="16"/>
    </row>
    <row r="9" spans="1:12">
      <c r="B9" s="5" t="str">
        <f>Plant_Staff!B11</f>
        <v>Assistant Plant Manager</v>
      </c>
      <c r="C9" s="441">
        <f>Plant_Staff!C11</f>
        <v>0</v>
      </c>
      <c r="D9" s="431">
        <f>Plant_Staff!D11</f>
        <v>0</v>
      </c>
      <c r="E9" s="431">
        <f t="shared" ref="E9:E44" si="0">C9+D9</f>
        <v>0</v>
      </c>
      <c r="F9" s="540">
        <f t="shared" ref="F9:F18" si="1">IF(E9&gt;0,-12,0)</f>
        <v>0</v>
      </c>
      <c r="G9" s="540">
        <f t="shared" ref="G9:G18" si="2">-F9</f>
        <v>0</v>
      </c>
      <c r="H9" s="446">
        <f>Plant_Staff!H11/12</f>
        <v>0</v>
      </c>
      <c r="I9" s="446">
        <f>Plant_Staff!I11*Mob_Staffing!H9</f>
        <v>0</v>
      </c>
      <c r="J9" s="446">
        <f>Plant_Staff!J11*Mob_Staffing!H9+Plant_Staff!K11*Mob_Staffing!I9</f>
        <v>0</v>
      </c>
      <c r="K9" s="447">
        <f t="shared" ref="K9:K44" si="3">(H9+I9+J9)*G9</f>
        <v>0</v>
      </c>
      <c r="L9" s="16"/>
    </row>
    <row r="10" spans="1:12">
      <c r="B10" s="5" t="str">
        <f>Plant_Staff!B12</f>
        <v>Plant Engineer</v>
      </c>
      <c r="C10" s="441">
        <f>Plant_Staff!C12</f>
        <v>0</v>
      </c>
      <c r="D10" s="431">
        <f>Plant_Staff!D12</f>
        <v>0</v>
      </c>
      <c r="E10" s="431">
        <f t="shared" si="0"/>
        <v>0</v>
      </c>
      <c r="F10" s="540">
        <f>IF(E10&gt;0,-9,0)</f>
        <v>0</v>
      </c>
      <c r="G10" s="540">
        <f t="shared" si="2"/>
        <v>0</v>
      </c>
      <c r="H10" s="446">
        <f>Plant_Staff!H12/12</f>
        <v>0</v>
      </c>
      <c r="I10" s="446">
        <f>Plant_Staff!I12*Mob_Staffing!H10</f>
        <v>0</v>
      </c>
      <c r="J10" s="446">
        <f>Plant_Staff!J12*Mob_Staffing!H10+Plant_Staff!K12*Mob_Staffing!I10</f>
        <v>0</v>
      </c>
      <c r="K10" s="447">
        <f t="shared" si="3"/>
        <v>0</v>
      </c>
      <c r="L10" s="16"/>
    </row>
    <row r="11" spans="1:12">
      <c r="B11" s="5" t="str">
        <f>Plant_Staff!B13</f>
        <v>Administration Manager</v>
      </c>
      <c r="C11" s="441">
        <f>Plant_Staff!C13</f>
        <v>0</v>
      </c>
      <c r="D11" s="431">
        <f>Plant_Staff!D13</f>
        <v>0</v>
      </c>
      <c r="E11" s="431">
        <f t="shared" si="0"/>
        <v>0</v>
      </c>
      <c r="F11" s="540">
        <f t="shared" si="1"/>
        <v>0</v>
      </c>
      <c r="G11" s="540">
        <f t="shared" si="2"/>
        <v>0</v>
      </c>
      <c r="H11" s="446">
        <f>Plant_Staff!H13/12</f>
        <v>0</v>
      </c>
      <c r="I11" s="446">
        <f>Plant_Staff!I13*Mob_Staffing!H11</f>
        <v>0</v>
      </c>
      <c r="J11" s="446">
        <f>Plant_Staff!J13*Mob_Staffing!H11+Plant_Staff!K13*Mob_Staffing!I11</f>
        <v>0</v>
      </c>
      <c r="K11" s="447">
        <f t="shared" si="3"/>
        <v>0</v>
      </c>
      <c r="L11" s="16"/>
    </row>
    <row r="12" spans="1:12">
      <c r="B12" s="5" t="str">
        <f>Plant_Staff!B14</f>
        <v>Controller</v>
      </c>
      <c r="C12" s="441">
        <f>Plant_Staff!C14</f>
        <v>0</v>
      </c>
      <c r="D12" s="431">
        <f>Plant_Staff!D14</f>
        <v>0</v>
      </c>
      <c r="E12" s="431">
        <f t="shared" si="0"/>
        <v>0</v>
      </c>
      <c r="F12" s="540">
        <f t="shared" si="1"/>
        <v>0</v>
      </c>
      <c r="G12" s="540">
        <f t="shared" si="2"/>
        <v>0</v>
      </c>
      <c r="H12" s="446">
        <f>Plant_Staff!H14/12</f>
        <v>0</v>
      </c>
      <c r="I12" s="446">
        <f>Plant_Staff!I14*Mob_Staffing!H12</f>
        <v>0</v>
      </c>
      <c r="J12" s="446">
        <f>Plant_Staff!J14*Mob_Staffing!H12+Plant_Staff!K14*Mob_Staffing!I12</f>
        <v>0</v>
      </c>
      <c r="K12" s="447">
        <f t="shared" si="3"/>
        <v>0</v>
      </c>
      <c r="L12" s="16"/>
    </row>
    <row r="13" spans="1:12">
      <c r="B13" s="5" t="str">
        <f>Plant_Staff!B15</f>
        <v>Accountant</v>
      </c>
      <c r="C13" s="441">
        <f>Plant_Staff!C15</f>
        <v>0</v>
      </c>
      <c r="D13" s="431">
        <f>Plant_Staff!D15</f>
        <v>0</v>
      </c>
      <c r="E13" s="431">
        <f t="shared" si="0"/>
        <v>0</v>
      </c>
      <c r="F13" s="540">
        <f t="shared" si="1"/>
        <v>0</v>
      </c>
      <c r="G13" s="540">
        <f t="shared" si="2"/>
        <v>0</v>
      </c>
      <c r="H13" s="446">
        <f>Plant_Staff!H15/12</f>
        <v>0</v>
      </c>
      <c r="I13" s="446">
        <f>Plant_Staff!I15*Mob_Staffing!H13</f>
        <v>0</v>
      </c>
      <c r="J13" s="446">
        <f>Plant_Staff!J15*Mob_Staffing!H13+Plant_Staff!K15*Mob_Staffing!I13</f>
        <v>0</v>
      </c>
      <c r="K13" s="447">
        <f t="shared" si="3"/>
        <v>0</v>
      </c>
      <c r="L13" s="16"/>
    </row>
    <row r="14" spans="1:12">
      <c r="B14" s="5" t="str">
        <f>Plant_Staff!B16</f>
        <v>Administrative Assistant</v>
      </c>
      <c r="C14" s="441">
        <f>Plant_Staff!C16</f>
        <v>0</v>
      </c>
      <c r="D14" s="431">
        <f>Plant_Staff!D16</f>
        <v>1</v>
      </c>
      <c r="E14" s="431">
        <f t="shared" si="0"/>
        <v>1</v>
      </c>
      <c r="F14" s="540">
        <f>IF(E14&gt;0,7,0)</f>
        <v>7</v>
      </c>
      <c r="G14" s="540">
        <f t="shared" si="2"/>
        <v>-7</v>
      </c>
      <c r="H14" s="446">
        <f>Plant_Staff!H16/12</f>
        <v>2250</v>
      </c>
      <c r="I14" s="446">
        <f>Plant_Staff!I16*Mob_Staffing!H14</f>
        <v>337.5</v>
      </c>
      <c r="J14" s="446">
        <f>Plant_Staff!J16*Mob_Staffing!H14+Plant_Staff!K16*Mob_Staffing!I14</f>
        <v>1758.7125000000001</v>
      </c>
      <c r="K14" s="447">
        <f t="shared" si="3"/>
        <v>-30423.487499999996</v>
      </c>
      <c r="L14" s="16"/>
    </row>
    <row r="15" spans="1:12">
      <c r="B15" s="5" t="str">
        <f>Plant_Staff!B17</f>
        <v>Warehouse Supervisor</v>
      </c>
      <c r="C15" s="441">
        <f>Plant_Staff!C17</f>
        <v>0</v>
      </c>
      <c r="D15" s="431">
        <f>Plant_Staff!D17</f>
        <v>0</v>
      </c>
      <c r="E15" s="431">
        <f t="shared" si="0"/>
        <v>0</v>
      </c>
      <c r="F15" s="540">
        <f t="shared" si="1"/>
        <v>0</v>
      </c>
      <c r="G15" s="540">
        <f t="shared" si="2"/>
        <v>0</v>
      </c>
      <c r="H15" s="446">
        <f>Plant_Staff!H17/12</f>
        <v>0</v>
      </c>
      <c r="I15" s="446">
        <f>Plant_Staff!I17*Mob_Staffing!H15</f>
        <v>0</v>
      </c>
      <c r="J15" s="446">
        <f>Plant_Staff!J17*Mob_Staffing!H15+Plant_Staff!K17*Mob_Staffing!I15</f>
        <v>0</v>
      </c>
      <c r="K15" s="447">
        <f t="shared" si="3"/>
        <v>0</v>
      </c>
      <c r="L15" s="16"/>
    </row>
    <row r="16" spans="1:12">
      <c r="B16" s="5" t="str">
        <f>Plant_Staff!B18</f>
        <v>Other</v>
      </c>
      <c r="C16" s="441">
        <f>Plant_Staff!C18</f>
        <v>0</v>
      </c>
      <c r="D16" s="431">
        <f>Plant_Staff!D18</f>
        <v>0</v>
      </c>
      <c r="E16" s="431">
        <f t="shared" si="0"/>
        <v>0</v>
      </c>
      <c r="F16" s="540">
        <f t="shared" si="1"/>
        <v>0</v>
      </c>
      <c r="G16" s="540">
        <f t="shared" si="2"/>
        <v>0</v>
      </c>
      <c r="H16" s="446">
        <f>Plant_Staff!H18/12</f>
        <v>0</v>
      </c>
      <c r="I16" s="446">
        <f>Plant_Staff!I18*Mob_Staffing!H16</f>
        <v>0</v>
      </c>
      <c r="J16" s="446">
        <f>Plant_Staff!J18*Mob_Staffing!H16+Plant_Staff!K18*Mob_Staffing!I16</f>
        <v>0</v>
      </c>
      <c r="K16" s="447">
        <f t="shared" si="3"/>
        <v>0</v>
      </c>
      <c r="L16" s="16"/>
    </row>
    <row r="17" spans="1:12">
      <c r="B17" s="5" t="str">
        <f>Plant_Staff!B19</f>
        <v>Other</v>
      </c>
      <c r="C17" s="441">
        <f>Plant_Staff!C19</f>
        <v>0</v>
      </c>
      <c r="D17" s="431">
        <f>Plant_Staff!D19</f>
        <v>0</v>
      </c>
      <c r="E17" s="431">
        <f t="shared" si="0"/>
        <v>0</v>
      </c>
      <c r="F17" s="540">
        <f t="shared" si="1"/>
        <v>0</v>
      </c>
      <c r="G17" s="540">
        <f t="shared" si="2"/>
        <v>0</v>
      </c>
      <c r="H17" s="446">
        <f>Plant_Staff!H19/12</f>
        <v>0</v>
      </c>
      <c r="I17" s="446">
        <f>Plant_Staff!I19*Mob_Staffing!H17</f>
        <v>0</v>
      </c>
      <c r="J17" s="446">
        <f>Plant_Staff!J19*Mob_Staffing!H17+Plant_Staff!K19*Mob_Staffing!I17</f>
        <v>0</v>
      </c>
      <c r="K17" s="447">
        <f t="shared" si="3"/>
        <v>0</v>
      </c>
      <c r="L17" s="16"/>
    </row>
    <row r="18" spans="1:12">
      <c r="B18" s="5" t="str">
        <f>Plant_Staff!B20</f>
        <v>Other</v>
      </c>
      <c r="C18" s="441">
        <f>Plant_Staff!C20</f>
        <v>0</v>
      </c>
      <c r="D18" s="431">
        <f>Plant_Staff!D20</f>
        <v>0</v>
      </c>
      <c r="E18" s="431">
        <f t="shared" si="0"/>
        <v>0</v>
      </c>
      <c r="F18" s="540">
        <f t="shared" si="1"/>
        <v>0</v>
      </c>
      <c r="G18" s="540">
        <f t="shared" si="2"/>
        <v>0</v>
      </c>
      <c r="H18" s="446">
        <f>Plant_Staff!H20/12</f>
        <v>0</v>
      </c>
      <c r="I18" s="446">
        <f>Plant_Staff!I20*Mob_Staffing!H18</f>
        <v>0</v>
      </c>
      <c r="J18" s="446">
        <f>Plant_Staff!J20*Mob_Staffing!H18+Plant_Staff!K20*Mob_Staffing!I18</f>
        <v>0</v>
      </c>
      <c r="K18" s="447">
        <f t="shared" si="3"/>
        <v>0</v>
      </c>
      <c r="L18" s="16"/>
    </row>
    <row r="19" spans="1:12">
      <c r="C19" s="441"/>
      <c r="D19" s="431"/>
      <c r="E19" s="431"/>
      <c r="F19" s="540"/>
      <c r="G19" s="540"/>
      <c r="H19" s="446"/>
      <c r="I19" s="446"/>
      <c r="J19" s="446"/>
      <c r="K19" s="447"/>
      <c r="L19" s="16"/>
    </row>
    <row r="20" spans="1:12">
      <c r="A20" s="156" t="s">
        <v>267</v>
      </c>
      <c r="C20" s="441"/>
      <c r="D20" s="431"/>
      <c r="E20" s="431"/>
      <c r="F20" s="540"/>
      <c r="G20" s="540"/>
      <c r="H20" s="446"/>
      <c r="I20" s="446"/>
      <c r="J20" s="446"/>
      <c r="K20" s="447"/>
      <c r="L20" s="16"/>
    </row>
    <row r="21" spans="1:12" ht="15" customHeight="1">
      <c r="B21" s="5" t="str">
        <f>Plant_Staff!B23</f>
        <v>Operations Manager</v>
      </c>
      <c r="C21" s="441">
        <f>Plant_Staff!C23</f>
        <v>0</v>
      </c>
      <c r="D21" s="431">
        <f>Plant_Staff!D23</f>
        <v>1</v>
      </c>
      <c r="E21" s="431">
        <f t="shared" si="0"/>
        <v>1</v>
      </c>
      <c r="F21" s="540">
        <f>IF(E21&gt;0,-9,0)</f>
        <v>-9</v>
      </c>
      <c r="G21" s="540">
        <f>-F21</f>
        <v>9</v>
      </c>
      <c r="H21" s="446">
        <f>Plant_Staff!H23/12</f>
        <v>5833.333333333333</v>
      </c>
      <c r="I21" s="446">
        <f>Plant_Staff!I23*Mob_Staffing!H21</f>
        <v>0</v>
      </c>
      <c r="J21" s="446">
        <f>Plant_Staff!J23*Mob_Staffing!H21+Plant_Staff!K23*Mob_Staffing!I21</f>
        <v>4094.9999999999995</v>
      </c>
      <c r="K21" s="447">
        <f t="shared" si="3"/>
        <v>89354.999999999985</v>
      </c>
      <c r="L21" s="16"/>
    </row>
    <row r="22" spans="1:12" ht="13.5" customHeight="1">
      <c r="B22" s="5" t="str">
        <f>Plant_Staff!B24</f>
        <v>Operations Shift Supervisors</v>
      </c>
      <c r="C22" s="441">
        <f>Plant_Staff!C24</f>
        <v>0</v>
      </c>
      <c r="D22" s="431">
        <f>Plant_Staff!D24</f>
        <v>0</v>
      </c>
      <c r="E22" s="431">
        <f t="shared" si="0"/>
        <v>0</v>
      </c>
      <c r="F22" s="540">
        <f>IF(E22&gt;0,-6,0)</f>
        <v>0</v>
      </c>
      <c r="G22" s="540">
        <f t="shared" ref="G22:G31" si="4">-F22</f>
        <v>0</v>
      </c>
      <c r="H22" s="446">
        <f>Plant_Staff!H24/12</f>
        <v>0</v>
      </c>
      <c r="I22" s="446">
        <f>Plant_Staff!I24*Mob_Staffing!H22</f>
        <v>0</v>
      </c>
      <c r="J22" s="446">
        <f>Plant_Staff!J24*Mob_Staffing!H22+Plant_Staff!K24*Mob_Staffing!I22</f>
        <v>0</v>
      </c>
      <c r="K22" s="447">
        <f t="shared" si="3"/>
        <v>0</v>
      </c>
      <c r="L22" s="16"/>
    </row>
    <row r="23" spans="1:12">
      <c r="B23" s="5" t="str">
        <f>Plant_Staff!B25</f>
        <v>Control Room Operators</v>
      </c>
      <c r="C23" s="441">
        <f>Plant_Staff!C25</f>
        <v>0</v>
      </c>
      <c r="D23" s="431">
        <f>Plant_Staff!D25</f>
        <v>0</v>
      </c>
      <c r="E23" s="431">
        <f t="shared" si="0"/>
        <v>0</v>
      </c>
      <c r="F23" s="540">
        <f t="shared" ref="F23:F31" si="5">IF(E23&gt;0,-6,0)</f>
        <v>0</v>
      </c>
      <c r="G23" s="540">
        <f t="shared" si="4"/>
        <v>0</v>
      </c>
      <c r="H23" s="446">
        <f>Plant_Staff!H25/12</f>
        <v>0</v>
      </c>
      <c r="I23" s="446">
        <f>Plant_Staff!I25*Mob_Staffing!H23</f>
        <v>0</v>
      </c>
      <c r="J23" s="446">
        <f>Plant_Staff!J25*Mob_Staffing!H23+Plant_Staff!K25*Mob_Staffing!I23</f>
        <v>0</v>
      </c>
      <c r="K23" s="447">
        <f t="shared" si="3"/>
        <v>0</v>
      </c>
      <c r="L23" s="16"/>
    </row>
    <row r="24" spans="1:12">
      <c r="B24" s="5" t="str">
        <f>Plant_Staff!B26</f>
        <v>Turbine Operators</v>
      </c>
      <c r="C24" s="441">
        <f>Plant_Staff!C26</f>
        <v>0</v>
      </c>
      <c r="D24" s="431">
        <f>Plant_Staff!D26</f>
        <v>0</v>
      </c>
      <c r="E24" s="431">
        <f t="shared" si="0"/>
        <v>0</v>
      </c>
      <c r="F24" s="540">
        <f t="shared" si="5"/>
        <v>0</v>
      </c>
      <c r="G24" s="540">
        <f t="shared" si="4"/>
        <v>0</v>
      </c>
      <c r="H24" s="446">
        <f>Plant_Staff!H26/12</f>
        <v>0</v>
      </c>
      <c r="I24" s="446">
        <f>Plant_Staff!I26*Mob_Staffing!H24</f>
        <v>0</v>
      </c>
      <c r="J24" s="446">
        <f>Plant_Staff!J26*Mob_Staffing!H24+Plant_Staff!K26*Mob_Staffing!I24</f>
        <v>0</v>
      </c>
      <c r="K24" s="447">
        <f t="shared" si="3"/>
        <v>0</v>
      </c>
      <c r="L24" s="16"/>
    </row>
    <row r="25" spans="1:12">
      <c r="B25" s="5" t="str">
        <f>Plant_Staff!B27</f>
        <v>Water System Opertors</v>
      </c>
      <c r="C25" s="441">
        <f>Plant_Staff!C27</f>
        <v>0</v>
      </c>
      <c r="D25" s="431">
        <f>Plant_Staff!D27</f>
        <v>0</v>
      </c>
      <c r="E25" s="431">
        <f t="shared" si="0"/>
        <v>0</v>
      </c>
      <c r="F25" s="540">
        <f t="shared" si="5"/>
        <v>0</v>
      </c>
      <c r="G25" s="540">
        <f t="shared" si="4"/>
        <v>0</v>
      </c>
      <c r="H25" s="446">
        <f>Plant_Staff!H27/12</f>
        <v>0</v>
      </c>
      <c r="I25" s="446">
        <f>Plant_Staff!I27*Mob_Staffing!H25</f>
        <v>0</v>
      </c>
      <c r="J25" s="446">
        <f>Plant_Staff!J27*Mob_Staffing!H25+Plant_Staff!K27*Mob_Staffing!I25</f>
        <v>0</v>
      </c>
      <c r="K25" s="447">
        <f t="shared" si="3"/>
        <v>0</v>
      </c>
      <c r="L25" s="16"/>
    </row>
    <row r="26" spans="1:12">
      <c r="B26" s="5" t="str">
        <f>Plant_Staff!B28</f>
        <v>Fuel Storage/Handling Operators</v>
      </c>
      <c r="C26" s="441">
        <f>Plant_Staff!C28</f>
        <v>0</v>
      </c>
      <c r="D26" s="431">
        <f>Plant_Staff!D28</f>
        <v>0</v>
      </c>
      <c r="E26" s="431">
        <f t="shared" si="0"/>
        <v>0</v>
      </c>
      <c r="F26" s="540">
        <f t="shared" si="5"/>
        <v>0</v>
      </c>
      <c r="G26" s="540">
        <f t="shared" si="4"/>
        <v>0</v>
      </c>
      <c r="H26" s="446">
        <f>Plant_Staff!H28/12</f>
        <v>0</v>
      </c>
      <c r="I26" s="446">
        <f>Plant_Staff!I28*Mob_Staffing!H26</f>
        <v>0</v>
      </c>
      <c r="J26" s="446">
        <f>Plant_Staff!J28*Mob_Staffing!H26+Plant_Staff!K28*Mob_Staffing!I26</f>
        <v>0</v>
      </c>
      <c r="K26" s="447">
        <f t="shared" si="3"/>
        <v>0</v>
      </c>
      <c r="L26" s="16"/>
    </row>
    <row r="27" spans="1:12">
      <c r="B27" s="5" t="str">
        <f>Plant_Staff!B29</f>
        <v>Utility Operators</v>
      </c>
      <c r="C27" s="441">
        <f>Plant_Staff!C29</f>
        <v>0</v>
      </c>
      <c r="D27" s="431">
        <f>Plant_Staff!D29</f>
        <v>0</v>
      </c>
      <c r="E27" s="431">
        <f t="shared" si="0"/>
        <v>0</v>
      </c>
      <c r="F27" s="540">
        <f t="shared" si="5"/>
        <v>0</v>
      </c>
      <c r="G27" s="540">
        <f t="shared" si="4"/>
        <v>0</v>
      </c>
      <c r="H27" s="446">
        <f>Plant_Staff!H29/12</f>
        <v>0</v>
      </c>
      <c r="I27" s="446">
        <f>Plant_Staff!I29*Mob_Staffing!H27</f>
        <v>0</v>
      </c>
      <c r="J27" s="446">
        <f>Plant_Staff!J29*Mob_Staffing!H27+Plant_Staff!K29*Mob_Staffing!I27</f>
        <v>0</v>
      </c>
      <c r="K27" s="447">
        <f t="shared" si="3"/>
        <v>0</v>
      </c>
      <c r="L27" s="16"/>
    </row>
    <row r="28" spans="1:12">
      <c r="B28" s="5" t="str">
        <f>Plant_Staff!B30</f>
        <v>Chemist</v>
      </c>
      <c r="C28" s="441">
        <f>Plant_Staff!C30</f>
        <v>0</v>
      </c>
      <c r="D28" s="431">
        <f>Plant_Staff!D30</f>
        <v>0</v>
      </c>
      <c r="E28" s="431">
        <f t="shared" si="0"/>
        <v>0</v>
      </c>
      <c r="F28" s="540">
        <f t="shared" si="5"/>
        <v>0</v>
      </c>
      <c r="G28" s="540">
        <f t="shared" si="4"/>
        <v>0</v>
      </c>
      <c r="H28" s="446">
        <f>Plant_Staff!H30/12</f>
        <v>0</v>
      </c>
      <c r="I28" s="446">
        <f>Plant_Staff!I30*Mob_Staffing!H28</f>
        <v>0</v>
      </c>
      <c r="J28" s="446">
        <f>Plant_Staff!J30*Mob_Staffing!H28+Plant_Staff!K30*Mob_Staffing!I28</f>
        <v>0</v>
      </c>
      <c r="K28" s="447">
        <f t="shared" si="3"/>
        <v>0</v>
      </c>
      <c r="L28" s="16"/>
    </row>
    <row r="29" spans="1:12">
      <c r="B29" s="5" t="str">
        <f>Plant_Staff!B31</f>
        <v>Tech III</v>
      </c>
      <c r="C29" s="441">
        <f>Plant_Staff!C31</f>
        <v>0</v>
      </c>
      <c r="D29" s="431">
        <f>Plant_Staff!D31</f>
        <v>4</v>
      </c>
      <c r="E29" s="431">
        <f t="shared" si="0"/>
        <v>4</v>
      </c>
      <c r="F29" s="540">
        <f>IF(E29&gt;0,-6,0)</f>
        <v>-6</v>
      </c>
      <c r="G29" s="540">
        <f t="shared" si="4"/>
        <v>6</v>
      </c>
      <c r="H29" s="446">
        <f>Plant_Staff!H31/12</f>
        <v>4333.333333333333</v>
      </c>
      <c r="I29" s="446">
        <f>Plant_Staff!I31*Mob_Staffing!H29</f>
        <v>649.99999999999989</v>
      </c>
      <c r="J29" s="446">
        <f>Plant_Staff!J31*Mob_Staffing!H29+Plant_Staff!K31*Mob_Staffing!I29</f>
        <v>3387.1499999999996</v>
      </c>
      <c r="K29" s="447">
        <f t="shared" si="3"/>
        <v>50222.9</v>
      </c>
      <c r="L29" s="16"/>
    </row>
    <row r="30" spans="1:12" ht="13.5" customHeight="1">
      <c r="A30" s="156"/>
      <c r="B30" s="5" t="str">
        <f>Plant_Staff!B32</f>
        <v>Tech II</v>
      </c>
      <c r="C30" s="441">
        <f>Plant_Staff!C32</f>
        <v>0</v>
      </c>
      <c r="D30" s="431">
        <f>Plant_Staff!D32</f>
        <v>4</v>
      </c>
      <c r="E30" s="431">
        <f t="shared" si="0"/>
        <v>4</v>
      </c>
      <c r="F30" s="540">
        <f>IF(E30&gt;0,-6,0)</f>
        <v>-6</v>
      </c>
      <c r="G30" s="540">
        <f t="shared" si="4"/>
        <v>6</v>
      </c>
      <c r="H30" s="446">
        <f>Plant_Staff!H32/12</f>
        <v>3813.3333333333335</v>
      </c>
      <c r="I30" s="446">
        <f>Plant_Staff!I32*Mob_Staffing!H30</f>
        <v>572</v>
      </c>
      <c r="J30" s="446">
        <f>Plant_Staff!J32*Mob_Staffing!H30+Plant_Staff!K32*Mob_Staffing!I30</f>
        <v>2980.692</v>
      </c>
      <c r="K30" s="447">
        <f t="shared" si="3"/>
        <v>44196.152000000002</v>
      </c>
      <c r="L30" s="16"/>
    </row>
    <row r="31" spans="1:12" ht="13.5" customHeight="1">
      <c r="B31" s="5" t="str">
        <f>Plant_Staff!B33</f>
        <v>Other</v>
      </c>
      <c r="C31" s="441">
        <f>Plant_Staff!C33</f>
        <v>0</v>
      </c>
      <c r="D31" s="431">
        <f>Plant_Staff!D33</f>
        <v>0</v>
      </c>
      <c r="E31" s="431">
        <f t="shared" si="0"/>
        <v>0</v>
      </c>
      <c r="F31" s="540">
        <f t="shared" si="5"/>
        <v>0</v>
      </c>
      <c r="G31" s="540">
        <f t="shared" si="4"/>
        <v>0</v>
      </c>
      <c r="H31" s="446">
        <f>Plant_Staff!H33/12</f>
        <v>0</v>
      </c>
      <c r="I31" s="446">
        <f>Plant_Staff!I33*Mob_Staffing!H31</f>
        <v>0</v>
      </c>
      <c r="J31" s="446">
        <f>Plant_Staff!J33*Mob_Staffing!H31+Plant_Staff!K33*Mob_Staffing!I31</f>
        <v>0</v>
      </c>
      <c r="K31" s="447">
        <f t="shared" si="3"/>
        <v>0</v>
      </c>
      <c r="L31" s="16"/>
    </row>
    <row r="32" spans="1:12">
      <c r="C32" s="441"/>
      <c r="D32" s="431"/>
      <c r="E32" s="431"/>
      <c r="F32" s="540"/>
      <c r="G32" s="540"/>
      <c r="H32" s="446"/>
      <c r="I32" s="446"/>
      <c r="J32" s="446"/>
      <c r="K32" s="447"/>
      <c r="L32" s="16"/>
    </row>
    <row r="33" spans="1:12">
      <c r="A33" s="156" t="s">
        <v>268</v>
      </c>
      <c r="C33" s="441"/>
      <c r="D33" s="431"/>
      <c r="E33" s="431"/>
      <c r="F33" s="540"/>
      <c r="G33" s="540"/>
      <c r="H33" s="446"/>
      <c r="I33" s="446"/>
      <c r="J33" s="446"/>
      <c r="K33" s="447"/>
      <c r="L33" s="16"/>
    </row>
    <row r="34" spans="1:12">
      <c r="B34" s="5" t="str">
        <f>Plant_Staff!B36</f>
        <v>Maintenance Manager</v>
      </c>
      <c r="C34" s="441">
        <f>Plant_Staff!C36</f>
        <v>0</v>
      </c>
      <c r="D34" s="431">
        <f>Plant_Staff!D36</f>
        <v>1</v>
      </c>
      <c r="E34" s="431">
        <f t="shared" si="0"/>
        <v>1</v>
      </c>
      <c r="F34" s="540">
        <f>IF(E34&gt;0,-9,0)</f>
        <v>-9</v>
      </c>
      <c r="G34" s="540">
        <f>-F34</f>
        <v>9</v>
      </c>
      <c r="H34" s="446">
        <f>Plant_Staff!H36/12</f>
        <v>5416.666666666667</v>
      </c>
      <c r="I34" s="446">
        <f>Plant_Staff!I36*Mob_Staffing!H34</f>
        <v>0</v>
      </c>
      <c r="J34" s="446">
        <f>Plant_Staff!J36*Mob_Staffing!H34+Plant_Staff!K36*Mob_Staffing!I34</f>
        <v>3802.5</v>
      </c>
      <c r="K34" s="447">
        <f t="shared" si="3"/>
        <v>82972.500000000015</v>
      </c>
      <c r="L34" s="16"/>
    </row>
    <row r="35" spans="1:12">
      <c r="B35" s="5" t="str">
        <f>Plant_Staff!B37</f>
        <v>Mechanical Engineer</v>
      </c>
      <c r="C35" s="441">
        <f>Plant_Staff!C37</f>
        <v>0</v>
      </c>
      <c r="D35" s="431">
        <f>Plant_Staff!D37</f>
        <v>0</v>
      </c>
      <c r="E35" s="431">
        <f t="shared" si="0"/>
        <v>0</v>
      </c>
      <c r="F35" s="540">
        <f>IF(E35&gt;0,-6,0)</f>
        <v>0</v>
      </c>
      <c r="G35" s="540">
        <f t="shared" ref="G35:G44" si="6">-F35</f>
        <v>0</v>
      </c>
      <c r="H35" s="446">
        <f>Plant_Staff!H37/12</f>
        <v>0</v>
      </c>
      <c r="I35" s="446">
        <f>Plant_Staff!I37*Mob_Staffing!H35</f>
        <v>0</v>
      </c>
      <c r="J35" s="446">
        <f>Plant_Staff!J37*Mob_Staffing!H35+Plant_Staff!K37*Mob_Staffing!I35</f>
        <v>0</v>
      </c>
      <c r="K35" s="447">
        <f t="shared" si="3"/>
        <v>0</v>
      </c>
      <c r="L35" s="16"/>
    </row>
    <row r="36" spans="1:12">
      <c r="B36" s="5" t="str">
        <f>Plant_Staff!B38</f>
        <v>Maintenance Planner</v>
      </c>
      <c r="C36" s="441">
        <f>Plant_Staff!C38</f>
        <v>0</v>
      </c>
      <c r="D36" s="431">
        <f>Plant_Staff!D38</f>
        <v>0</v>
      </c>
      <c r="E36" s="431">
        <f t="shared" si="0"/>
        <v>0</v>
      </c>
      <c r="F36" s="540">
        <f t="shared" ref="F36:F44" si="7">IF(E36&gt;0,-6,0)</f>
        <v>0</v>
      </c>
      <c r="G36" s="540">
        <f t="shared" si="6"/>
        <v>0</v>
      </c>
      <c r="H36" s="446">
        <f>Plant_Staff!H38/12</f>
        <v>0</v>
      </c>
      <c r="I36" s="446">
        <f>Plant_Staff!I38*Mob_Staffing!H36</f>
        <v>0</v>
      </c>
      <c r="J36" s="446">
        <f>Plant_Staff!J38*Mob_Staffing!H36+Plant_Staff!K38*Mob_Staffing!I36</f>
        <v>0</v>
      </c>
      <c r="K36" s="447">
        <f t="shared" si="3"/>
        <v>0</v>
      </c>
      <c r="L36" s="16"/>
    </row>
    <row r="37" spans="1:12">
      <c r="B37" s="5" t="str">
        <f>Plant_Staff!B39</f>
        <v>Mechanic</v>
      </c>
      <c r="C37" s="441">
        <f>Plant_Staff!C39</f>
        <v>0</v>
      </c>
      <c r="D37" s="431">
        <f>Plant_Staff!D39</f>
        <v>1</v>
      </c>
      <c r="E37" s="431">
        <f t="shared" si="0"/>
        <v>1</v>
      </c>
      <c r="F37" s="540">
        <f>IF(E37&gt;0,-6,0)</f>
        <v>-6</v>
      </c>
      <c r="G37" s="540">
        <f t="shared" si="6"/>
        <v>6</v>
      </c>
      <c r="H37" s="446">
        <f>Plant_Staff!H39/12</f>
        <v>3166.6666666666665</v>
      </c>
      <c r="I37" s="446">
        <f>Plant_Staff!I39*Mob_Staffing!H37</f>
        <v>474.99999999999994</v>
      </c>
      <c r="J37" s="446">
        <f>Plant_Staff!J39*Mob_Staffing!H37+Plant_Staff!K39*Mob_Staffing!I37</f>
        <v>2475.2249999999995</v>
      </c>
      <c r="K37" s="447">
        <f t="shared" si="3"/>
        <v>36701.35</v>
      </c>
      <c r="L37" s="16"/>
    </row>
    <row r="38" spans="1:12">
      <c r="B38" s="5" t="str">
        <f>Plant_Staff!B40</f>
        <v>I&amp;C Engineer</v>
      </c>
      <c r="C38" s="441">
        <f>Plant_Staff!C40</f>
        <v>0</v>
      </c>
      <c r="D38" s="431">
        <f>Plant_Staff!D40</f>
        <v>0</v>
      </c>
      <c r="E38" s="431">
        <f t="shared" si="0"/>
        <v>0</v>
      </c>
      <c r="F38" s="540">
        <f t="shared" si="7"/>
        <v>0</v>
      </c>
      <c r="G38" s="540">
        <f t="shared" si="6"/>
        <v>0</v>
      </c>
      <c r="H38" s="446">
        <f>Plant_Staff!H40/12</f>
        <v>0</v>
      </c>
      <c r="I38" s="446">
        <f>Plant_Staff!I40*Mob_Staffing!H38</f>
        <v>0</v>
      </c>
      <c r="J38" s="446">
        <f>Plant_Staff!J40*Mob_Staffing!H38+Plant_Staff!K40*Mob_Staffing!I38</f>
        <v>0</v>
      </c>
      <c r="K38" s="447">
        <f t="shared" si="3"/>
        <v>0</v>
      </c>
      <c r="L38" s="16"/>
    </row>
    <row r="39" spans="1:12">
      <c r="B39" s="5" t="str">
        <f>Plant_Staff!B41</f>
        <v>I&amp;C Technician</v>
      </c>
      <c r="C39" s="441">
        <f>Plant_Staff!C41</f>
        <v>0</v>
      </c>
      <c r="D39" s="431">
        <f>Plant_Staff!D41</f>
        <v>1</v>
      </c>
      <c r="E39" s="431">
        <f t="shared" si="0"/>
        <v>1</v>
      </c>
      <c r="F39" s="540">
        <f>IF(E39&gt;0,-6,0)</f>
        <v>-6</v>
      </c>
      <c r="G39" s="540">
        <f t="shared" si="6"/>
        <v>6</v>
      </c>
      <c r="H39" s="446">
        <f>Plant_Staff!H41/12</f>
        <v>4583.333333333333</v>
      </c>
      <c r="I39" s="446">
        <f>Plant_Staff!I41*Mob_Staffing!H39</f>
        <v>687.49999999999989</v>
      </c>
      <c r="J39" s="446">
        <f>Plant_Staff!J41*Mob_Staffing!H39+Plant_Staff!K41*Mob_Staffing!I39</f>
        <v>3582.5624999999995</v>
      </c>
      <c r="K39" s="447">
        <f t="shared" si="3"/>
        <v>53120.374999999993</v>
      </c>
      <c r="L39" s="16"/>
    </row>
    <row r="40" spans="1:12">
      <c r="B40" s="5" t="str">
        <f>Plant_Staff!B42</f>
        <v>Electrical Technician</v>
      </c>
      <c r="C40" s="441">
        <f>Plant_Staff!C42</f>
        <v>0</v>
      </c>
      <c r="D40" s="431">
        <f>Plant_Staff!D42</f>
        <v>1</v>
      </c>
      <c r="E40" s="431">
        <f t="shared" si="0"/>
        <v>1</v>
      </c>
      <c r="F40" s="540">
        <f>IF(E40&gt;0,-6,0)</f>
        <v>-6</v>
      </c>
      <c r="G40" s="540">
        <f t="shared" si="6"/>
        <v>6</v>
      </c>
      <c r="H40" s="446">
        <f>Plant_Staff!H42/12</f>
        <v>3750</v>
      </c>
      <c r="I40" s="446">
        <f>Plant_Staff!I42*Mob_Staffing!H40</f>
        <v>562.5</v>
      </c>
      <c r="J40" s="446">
        <f>Plant_Staff!J42*Mob_Staffing!H40+Plant_Staff!K42*Mob_Staffing!I40</f>
        <v>2931.1875</v>
      </c>
      <c r="K40" s="447">
        <f t="shared" si="3"/>
        <v>43462.125</v>
      </c>
      <c r="L40" s="16"/>
    </row>
    <row r="41" spans="1:12">
      <c r="B41" s="5" t="str">
        <f>Plant_Staff!B43</f>
        <v>Other</v>
      </c>
      <c r="C41" s="441">
        <f>Plant_Staff!C43</f>
        <v>0</v>
      </c>
      <c r="D41" s="431">
        <f>Plant_Staff!D43</f>
        <v>0</v>
      </c>
      <c r="E41" s="431">
        <f t="shared" si="0"/>
        <v>0</v>
      </c>
      <c r="F41" s="540">
        <f t="shared" si="7"/>
        <v>0</v>
      </c>
      <c r="G41" s="540">
        <f t="shared" si="6"/>
        <v>0</v>
      </c>
      <c r="H41" s="446">
        <f>Plant_Staff!H43/12</f>
        <v>0</v>
      </c>
      <c r="I41" s="446">
        <f>Plant_Staff!I43*Mob_Staffing!H41</f>
        <v>0</v>
      </c>
      <c r="J41" s="446">
        <f>Plant_Staff!J43*Mob_Staffing!H41+Plant_Staff!K43*Mob_Staffing!I41</f>
        <v>0</v>
      </c>
      <c r="K41" s="447">
        <f t="shared" si="3"/>
        <v>0</v>
      </c>
      <c r="L41" s="16"/>
    </row>
    <row r="42" spans="1:12">
      <c r="B42" s="5" t="str">
        <f>Plant_Staff!B44</f>
        <v>Other</v>
      </c>
      <c r="C42" s="441">
        <f>Plant_Staff!C44</f>
        <v>0</v>
      </c>
      <c r="D42" s="431">
        <f>Plant_Staff!D44</f>
        <v>0</v>
      </c>
      <c r="E42" s="431">
        <f t="shared" si="0"/>
        <v>0</v>
      </c>
      <c r="F42" s="540">
        <f t="shared" si="7"/>
        <v>0</v>
      </c>
      <c r="G42" s="540">
        <f t="shared" si="6"/>
        <v>0</v>
      </c>
      <c r="H42" s="446">
        <f>Plant_Staff!H44/12</f>
        <v>0</v>
      </c>
      <c r="I42" s="446">
        <f>Plant_Staff!I44*Mob_Staffing!H42</f>
        <v>0</v>
      </c>
      <c r="J42" s="446">
        <f>Plant_Staff!J44*Mob_Staffing!H42+Plant_Staff!K44*Mob_Staffing!I42</f>
        <v>0</v>
      </c>
      <c r="K42" s="447">
        <f t="shared" si="3"/>
        <v>0</v>
      </c>
      <c r="L42" s="16"/>
    </row>
    <row r="43" spans="1:12">
      <c r="B43" s="5" t="str">
        <f>Plant_Staff!B45</f>
        <v>Other</v>
      </c>
      <c r="C43" s="441">
        <f>Plant_Staff!C45</f>
        <v>0</v>
      </c>
      <c r="D43" s="431">
        <f>Plant_Staff!D45</f>
        <v>0</v>
      </c>
      <c r="E43" s="431">
        <f t="shared" si="0"/>
        <v>0</v>
      </c>
      <c r="F43" s="540">
        <f t="shared" si="7"/>
        <v>0</v>
      </c>
      <c r="G43" s="540">
        <f t="shared" si="6"/>
        <v>0</v>
      </c>
      <c r="H43" s="446">
        <f>Plant_Staff!H45/12</f>
        <v>0</v>
      </c>
      <c r="I43" s="446">
        <f>Plant_Staff!I45*Mob_Staffing!H43</f>
        <v>0</v>
      </c>
      <c r="J43" s="446">
        <f>Plant_Staff!J45*Mob_Staffing!H43+Plant_Staff!K45*Mob_Staffing!I43</f>
        <v>0</v>
      </c>
      <c r="K43" s="447">
        <f t="shared" si="3"/>
        <v>0</v>
      </c>
      <c r="L43" s="16"/>
    </row>
    <row r="44" spans="1:12" ht="13.5" thickBot="1">
      <c r="B44" s="5" t="str">
        <f>Plant_Staff!B46</f>
        <v>Other</v>
      </c>
      <c r="C44" s="442">
        <f>Plant_Staff!C46</f>
        <v>0</v>
      </c>
      <c r="D44" s="443">
        <f>Plant_Staff!D46</f>
        <v>0</v>
      </c>
      <c r="E44" s="457">
        <f t="shared" si="0"/>
        <v>0</v>
      </c>
      <c r="F44" s="541">
        <f t="shared" si="7"/>
        <v>0</v>
      </c>
      <c r="G44" s="541">
        <f t="shared" si="6"/>
        <v>0</v>
      </c>
      <c r="H44" s="448">
        <f>Plant_Staff!H46/12</f>
        <v>0</v>
      </c>
      <c r="I44" s="448">
        <f>Plant_Staff!I46*Mob_Staffing!H44</f>
        <v>0</v>
      </c>
      <c r="J44" s="448">
        <f>Plant_Staff!J46*Mob_Staffing!H44+Plant_Staff!K46*Mob_Staffing!I44</f>
        <v>0</v>
      </c>
      <c r="K44" s="449">
        <f t="shared" si="3"/>
        <v>0</v>
      </c>
      <c r="L44" s="16"/>
    </row>
    <row r="45" spans="1:12" ht="28.5" customHeight="1" thickBot="1">
      <c r="A45" s="156" t="s">
        <v>607</v>
      </c>
      <c r="B45" s="156"/>
      <c r="C45" s="444">
        <f>SUM(C6:C44)</f>
        <v>0</v>
      </c>
      <c r="D45" s="445">
        <f>SUM(D6:D44)</f>
        <v>15</v>
      </c>
      <c r="E45" s="169">
        <f>SUM(E6:E44)</f>
        <v>15</v>
      </c>
      <c r="F45" s="430"/>
      <c r="G45" s="430"/>
      <c r="H45" s="429"/>
      <c r="I45" s="429"/>
      <c r="J45" s="429"/>
      <c r="K45" s="450">
        <f>SUM(K8:K44)</f>
        <v>517680.91449999996</v>
      </c>
    </row>
    <row r="46" spans="1:12" s="156" customFormat="1">
      <c r="D46" s="240"/>
      <c r="E46" s="240"/>
      <c r="F46" s="240"/>
      <c r="G46" s="240"/>
    </row>
    <row r="47" spans="1:12" ht="16.5" customHeight="1">
      <c r="C47" s="8"/>
      <c r="D47" s="11"/>
      <c r="E47" s="11"/>
      <c r="H47" s="8"/>
      <c r="I47" s="8"/>
      <c r="J47" s="8"/>
    </row>
    <row r="48" spans="1:12" ht="24" customHeight="1">
      <c r="A48" s="272"/>
      <c r="B48" s="272"/>
      <c r="C48" s="8"/>
      <c r="D48" s="11"/>
      <c r="E48" s="11"/>
      <c r="H48" s="8"/>
      <c r="I48" s="8"/>
      <c r="J48" s="8"/>
    </row>
    <row r="49" spans="1:10">
      <c r="C49" s="8"/>
      <c r="D49" s="11"/>
      <c r="E49" s="11"/>
      <c r="H49" s="8"/>
      <c r="I49" s="8"/>
      <c r="J49" s="8"/>
    </row>
    <row r="50" spans="1:10">
      <c r="C50" s="8"/>
      <c r="D50" s="11"/>
      <c r="E50" s="11"/>
      <c r="H50" s="8"/>
      <c r="I50" s="8"/>
      <c r="J50" s="8"/>
    </row>
    <row r="51" spans="1:10">
      <c r="C51" s="8"/>
      <c r="H51" s="8"/>
      <c r="I51" s="8"/>
      <c r="J51" s="8"/>
    </row>
    <row r="52" spans="1:10">
      <c r="A52" s="22"/>
      <c r="B52" s="22"/>
      <c r="C52" s="8"/>
      <c r="H52" s="8"/>
      <c r="I52" s="8"/>
      <c r="J52" s="8"/>
    </row>
    <row r="53" spans="1:10">
      <c r="A53" s="9"/>
      <c r="B53" s="9"/>
      <c r="C53" s="8"/>
      <c r="H53" s="8"/>
      <c r="I53" s="8"/>
      <c r="J53" s="8"/>
    </row>
    <row r="54" spans="1:10">
      <c r="C54" s="8"/>
      <c r="H54" s="8"/>
      <c r="I54" s="8"/>
      <c r="J54" s="8"/>
    </row>
    <row r="55" spans="1:10">
      <c r="C55" s="8"/>
      <c r="H55" s="8"/>
      <c r="I55" s="8"/>
      <c r="J55" s="8"/>
    </row>
    <row r="56" spans="1:10">
      <c r="C56" s="8"/>
      <c r="H56" s="8"/>
      <c r="I56" s="8"/>
      <c r="J56" s="8"/>
    </row>
    <row r="57" spans="1:10">
      <c r="C57" s="8"/>
      <c r="H57" s="8"/>
      <c r="I57" s="8"/>
      <c r="J57" s="8"/>
    </row>
    <row r="58" spans="1:10">
      <c r="C58" s="8"/>
      <c r="H58" s="8"/>
      <c r="I58" s="8"/>
      <c r="J58" s="8"/>
    </row>
    <row r="59" spans="1:10">
      <c r="C59" s="8"/>
      <c r="H59" s="8"/>
      <c r="I59" s="8"/>
      <c r="J59" s="8"/>
    </row>
    <row r="60" spans="1:10">
      <c r="C60" s="8"/>
      <c r="H60" s="8"/>
      <c r="I60" s="8"/>
      <c r="J60" s="8"/>
    </row>
    <row r="61" spans="1:10">
      <c r="C61" s="8"/>
      <c r="H61" s="8"/>
      <c r="I61" s="8"/>
      <c r="J61" s="8"/>
    </row>
    <row r="62" spans="1:10">
      <c r="H62" s="8"/>
      <c r="I62" s="8"/>
      <c r="J62" s="8"/>
    </row>
    <row r="63" spans="1:10">
      <c r="H63" s="8"/>
      <c r="I63" s="8"/>
      <c r="J63" s="8"/>
    </row>
    <row r="64" spans="1:10">
      <c r="H64" s="8"/>
      <c r="I64" s="8"/>
      <c r="J64" s="8"/>
    </row>
    <row r="65" spans="8:10">
      <c r="H65" s="8"/>
      <c r="I65" s="8"/>
      <c r="J65" s="8"/>
    </row>
    <row r="66" spans="8:10">
      <c r="H66" s="8"/>
      <c r="I66" s="8"/>
      <c r="J66" s="8"/>
    </row>
  </sheetData>
  <printOptions horizontalCentered="1"/>
  <pageMargins left="0.75" right="0.75" top="1" bottom="1" header="0.5" footer="0.5"/>
  <pageSetup scale="49" orientation="landscape" horizontalDpi="4294967292" verticalDpi="4294967292" r:id="rId1"/>
  <headerFooter alignWithMargins="0">
    <oddFooter>&amp;L&amp;D&amp;CPage ____&amp;R&amp;F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353"/>
  <sheetViews>
    <sheetView showGridLines="0" zoomScale="75" workbookViewId="0">
      <selection activeCell="M62" sqref="M62"/>
    </sheetView>
  </sheetViews>
  <sheetFormatPr defaultRowHeight="12.75"/>
  <cols>
    <col min="6" max="6" width="22.5703125" customWidth="1"/>
    <col min="8" max="8" width="12.5703125" customWidth="1"/>
  </cols>
  <sheetData>
    <row r="1" spans="1:44" ht="15.75">
      <c r="A1" s="1" t="str">
        <f>Summary!$A$1</f>
        <v>AES Corp, Dallas, TX (640 MW)</v>
      </c>
      <c r="B1" s="8"/>
      <c r="C1" s="8"/>
      <c r="D1" s="8"/>
      <c r="E1" s="8"/>
      <c r="F1" s="8"/>
      <c r="G1" s="8"/>
      <c r="H1" s="8"/>
      <c r="I1" s="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15.75">
      <c r="A2" s="35" t="s">
        <v>1135</v>
      </c>
      <c r="B2" s="8"/>
      <c r="C2" s="8"/>
      <c r="D2" s="8"/>
      <c r="E2" s="8"/>
      <c r="F2" s="8"/>
      <c r="G2" s="8"/>
      <c r="H2" s="8"/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>
      <c r="A4" s="5"/>
      <c r="B4" s="5"/>
      <c r="C4" s="5"/>
      <c r="D4" s="5"/>
      <c r="E4" s="5"/>
      <c r="F4" s="5"/>
      <c r="G4" s="5"/>
      <c r="H4" s="43" t="s">
        <v>197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>
      <c r="A5" s="5"/>
      <c r="B5" s="5"/>
      <c r="C5" s="5"/>
      <c r="D5" s="5"/>
      <c r="E5" s="5"/>
      <c r="F5" s="5"/>
      <c r="G5" s="44" t="s">
        <v>198</v>
      </c>
      <c r="H5" s="44" t="s">
        <v>199</v>
      </c>
      <c r="I5" s="44" t="s">
        <v>200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>
      <c r="A6" s="32" t="s">
        <v>168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>
      <c r="A7" s="5"/>
      <c r="B7" s="5" t="s">
        <v>169</v>
      </c>
      <c r="C7" s="5"/>
      <c r="D7" s="5"/>
      <c r="E7" s="5"/>
      <c r="F7" s="5"/>
      <c r="G7" s="45">
        <v>0.2</v>
      </c>
      <c r="H7" s="45">
        <f>G7*1</f>
        <v>0.2</v>
      </c>
      <c r="I7" s="854">
        <f>H7*6</f>
        <v>1.2000000000000002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>
      <c r="A8" s="5"/>
      <c r="B8" s="5" t="s">
        <v>170</v>
      </c>
      <c r="C8" s="5"/>
      <c r="D8" s="5"/>
      <c r="E8" s="5"/>
      <c r="F8" s="5"/>
      <c r="G8" s="45">
        <v>0.6</v>
      </c>
      <c r="H8" s="45">
        <f>G8*1</f>
        <v>0.6</v>
      </c>
      <c r="I8" s="854">
        <f>H8*6</f>
        <v>3.5999999999999996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>
      <c r="A9" s="5"/>
      <c r="B9" s="5" t="s">
        <v>171</v>
      </c>
      <c r="C9" s="5"/>
      <c r="D9" s="5"/>
      <c r="E9" s="5"/>
      <c r="F9" s="5"/>
      <c r="G9" s="45">
        <v>0.4</v>
      </c>
      <c r="H9" s="45">
        <f>G9*1</f>
        <v>0.4</v>
      </c>
      <c r="I9" s="854">
        <f>H9*6</f>
        <v>2.4000000000000004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>
      <c r="A10" s="5"/>
      <c r="B10" s="5" t="s">
        <v>172</v>
      </c>
      <c r="C10" s="5"/>
      <c r="D10" s="5"/>
      <c r="E10" s="5"/>
      <c r="F10" s="5"/>
      <c r="G10" s="165">
        <v>0.6</v>
      </c>
      <c r="H10" s="165">
        <f>G10*1</f>
        <v>0.6</v>
      </c>
      <c r="I10" s="856">
        <f>H10*6</f>
        <v>3.5999999999999996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>
      <c r="A11" s="5"/>
      <c r="B11" s="5"/>
      <c r="C11" s="5"/>
      <c r="D11" s="5"/>
      <c r="E11" s="5"/>
      <c r="F11" s="5"/>
      <c r="G11" s="45">
        <f>+SUM(G7:G10)</f>
        <v>1.8000000000000003</v>
      </c>
      <c r="H11" s="45">
        <f>+SUM(H7:H10)</f>
        <v>1.8000000000000003</v>
      </c>
      <c r="I11" s="857">
        <f>SUM(I7:I10)</f>
        <v>10.8</v>
      </c>
      <c r="J11" s="1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>
      <c r="A12" s="5"/>
      <c r="B12" s="5"/>
      <c r="C12" s="5"/>
      <c r="D12" s="5"/>
      <c r="E12" s="5"/>
      <c r="F12" s="5"/>
      <c r="G12" s="45"/>
      <c r="H12" s="45"/>
      <c r="I12" s="85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>
      <c r="A13" s="32" t="s">
        <v>173</v>
      </c>
      <c r="B13" s="5"/>
      <c r="C13" s="5"/>
      <c r="D13" s="5"/>
      <c r="E13" s="5"/>
      <c r="F13" s="5"/>
      <c r="G13" s="45"/>
      <c r="H13" s="45"/>
      <c r="I13" s="85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>
      <c r="A14" s="32"/>
      <c r="B14" s="5" t="s">
        <v>174</v>
      </c>
      <c r="C14" s="5"/>
      <c r="D14" s="5"/>
      <c r="E14" s="5"/>
      <c r="F14" s="5"/>
      <c r="G14" s="45">
        <v>1</v>
      </c>
      <c r="H14" s="45">
        <f>G14</f>
        <v>1</v>
      </c>
      <c r="I14" s="854">
        <f>H14*20</f>
        <v>20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hidden="1">
      <c r="A15" s="32"/>
      <c r="B15" s="5" t="s">
        <v>175</v>
      </c>
      <c r="C15" s="5"/>
      <c r="D15" s="5"/>
      <c r="E15" s="5"/>
      <c r="F15" s="5"/>
      <c r="G15" s="45">
        <v>1</v>
      </c>
      <c r="H15" s="45">
        <f>G15</f>
        <v>1</v>
      </c>
      <c r="I15" s="854">
        <f>H15*8</f>
        <v>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>
      <c r="A16" s="5"/>
      <c r="B16" s="69" t="s">
        <v>1012</v>
      </c>
      <c r="C16" s="5"/>
      <c r="D16" s="5"/>
      <c r="E16" s="5"/>
      <c r="F16" s="5"/>
      <c r="G16" s="165">
        <v>0.6</v>
      </c>
      <c r="H16" s="165">
        <f>G16*1</f>
        <v>0.6</v>
      </c>
      <c r="I16" s="858">
        <f>H16*8</f>
        <v>4.8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idden="1">
      <c r="A17" s="5"/>
      <c r="B17" s="69"/>
      <c r="C17" s="5"/>
      <c r="D17" s="5"/>
      <c r="E17" s="5"/>
      <c r="F17" s="5"/>
      <c r="G17" s="45">
        <f>SUM(G14:G16)</f>
        <v>2.6</v>
      </c>
      <c r="H17" s="45">
        <f>SUM(H14:H16)</f>
        <v>2.6</v>
      </c>
      <c r="I17" s="45">
        <f>SUM(I14:I16)</f>
        <v>32.799999999999997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>
      <c r="A18" s="5"/>
      <c r="B18" s="69"/>
      <c r="C18" s="5"/>
      <c r="D18" s="5"/>
      <c r="E18" s="5"/>
      <c r="F18" s="5"/>
      <c r="G18" s="45"/>
      <c r="H18" s="45"/>
      <c r="I18" s="85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>
      <c r="A19" s="32" t="s">
        <v>1013</v>
      </c>
      <c r="B19" s="69"/>
      <c r="C19" s="5"/>
      <c r="D19" s="5"/>
      <c r="E19" s="5"/>
      <c r="F19" s="5"/>
      <c r="G19" s="45"/>
      <c r="H19" s="45"/>
      <c r="I19" s="85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>
      <c r="A20" s="48" t="s">
        <v>1014</v>
      </c>
      <c r="B20" s="69" t="s">
        <v>1015</v>
      </c>
      <c r="C20" s="5"/>
      <c r="D20" s="5"/>
      <c r="E20" s="5"/>
      <c r="F20" s="5"/>
      <c r="G20" s="64">
        <v>0.4</v>
      </c>
      <c r="H20" s="64">
        <f>G20</f>
        <v>0.4</v>
      </c>
      <c r="I20" s="859">
        <f>H20*8</f>
        <v>3.2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idden="1">
      <c r="A21" s="5"/>
      <c r="B21" s="69"/>
      <c r="C21" s="5"/>
      <c r="D21" s="5"/>
      <c r="E21" s="5"/>
      <c r="F21" s="5"/>
      <c r="G21" s="45">
        <f>SUM(G20)</f>
        <v>0.4</v>
      </c>
      <c r="H21" s="45">
        <f>G21*1</f>
        <v>0.4</v>
      </c>
      <c r="I21" s="860">
        <f>H21*8</f>
        <v>3.2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>
      <c r="A22" s="5"/>
      <c r="B22" s="69"/>
      <c r="C22" s="5"/>
      <c r="D22" s="5"/>
      <c r="E22" s="5"/>
      <c r="F22" s="5"/>
      <c r="G22" s="45"/>
      <c r="H22" s="45"/>
      <c r="I22" s="85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>
      <c r="A23" s="32" t="s">
        <v>1016</v>
      </c>
      <c r="B23" s="69"/>
      <c r="C23" s="5"/>
      <c r="D23" s="5"/>
      <c r="E23" s="5"/>
      <c r="F23" s="5"/>
      <c r="G23" s="45"/>
      <c r="H23" s="45"/>
      <c r="I23" s="85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>
      <c r="A24" s="5"/>
      <c r="B24" s="69" t="s">
        <v>176</v>
      </c>
      <c r="C24" s="5"/>
      <c r="D24" s="5"/>
      <c r="E24" s="5"/>
      <c r="F24" s="5"/>
      <c r="G24" s="45">
        <v>0.6</v>
      </c>
      <c r="H24" s="45">
        <f>G24*1</f>
        <v>0.6</v>
      </c>
      <c r="I24" s="860">
        <f>H24*20</f>
        <v>12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>
      <c r="A25" s="5"/>
      <c r="B25" s="69" t="s">
        <v>177</v>
      </c>
      <c r="C25" s="5"/>
      <c r="D25" s="5"/>
      <c r="E25" s="5"/>
      <c r="F25" s="5"/>
      <c r="G25" s="45">
        <v>0.4</v>
      </c>
      <c r="H25" s="45">
        <f>G25*1</f>
        <v>0.4</v>
      </c>
      <c r="I25" s="860">
        <f>H25*8</f>
        <v>3.2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>
      <c r="A26" s="5"/>
      <c r="B26" s="69" t="s">
        <v>1017</v>
      </c>
      <c r="C26" s="5"/>
      <c r="D26" s="5"/>
      <c r="E26" s="5"/>
      <c r="F26" s="5"/>
      <c r="G26" s="165">
        <v>0.6</v>
      </c>
      <c r="H26" s="165">
        <f>G26*1</f>
        <v>0.6</v>
      </c>
      <c r="I26" s="858">
        <f>20*H26</f>
        <v>12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>
      <c r="A27" s="5"/>
      <c r="B27" s="69"/>
      <c r="C27" s="5"/>
      <c r="D27" s="5"/>
      <c r="E27" s="5"/>
      <c r="F27" s="5"/>
      <c r="G27" s="45">
        <f>SUM(G24:G26)</f>
        <v>1.6</v>
      </c>
      <c r="H27" s="45">
        <f>SUM(H24:H26)</f>
        <v>1.6</v>
      </c>
      <c r="I27" s="45">
        <f>SUM(I24:I26)</f>
        <v>27.2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>
      <c r="A28" s="5"/>
      <c r="B28" s="69"/>
      <c r="C28" s="5"/>
      <c r="D28" s="5"/>
      <c r="E28" s="5"/>
      <c r="F28" s="5"/>
      <c r="G28" s="45"/>
      <c r="H28" s="45"/>
      <c r="I28" s="85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>
      <c r="A29" s="32" t="s">
        <v>1018</v>
      </c>
      <c r="B29" s="69"/>
      <c r="C29" s="5"/>
      <c r="D29" s="5"/>
      <c r="E29" s="5"/>
      <c r="F29" s="5"/>
      <c r="G29" s="45"/>
      <c r="H29" s="45"/>
      <c r="I29" s="85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>
      <c r="A30" s="32"/>
      <c r="B30" s="69" t="s">
        <v>1019</v>
      </c>
      <c r="C30" s="5"/>
      <c r="D30" s="5"/>
      <c r="E30" s="5"/>
      <c r="F30" s="5"/>
      <c r="G30" s="45">
        <v>1</v>
      </c>
      <c r="H30" s="45">
        <v>1</v>
      </c>
      <c r="I30" s="854">
        <f>H30*20</f>
        <v>20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>
      <c r="A31" s="5"/>
      <c r="B31" t="s">
        <v>178</v>
      </c>
      <c r="C31" s="5"/>
      <c r="D31" s="5"/>
      <c r="E31" s="5"/>
      <c r="F31" s="5"/>
      <c r="G31" s="165">
        <v>0.6</v>
      </c>
      <c r="H31" s="107">
        <f>G31*1</f>
        <v>0.6</v>
      </c>
      <c r="I31" s="858">
        <f>8*H31</f>
        <v>4.8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idden="1">
      <c r="A32" s="5"/>
      <c r="B32" s="69"/>
      <c r="C32" s="5"/>
      <c r="D32" s="5"/>
      <c r="E32" s="5"/>
      <c r="F32" s="5"/>
      <c r="G32" s="45">
        <f>SUM(G30:G31)</f>
        <v>1.6</v>
      </c>
      <c r="H32" s="45">
        <f>SUM(H30:H31)</f>
        <v>1.6</v>
      </c>
      <c r="I32" s="45">
        <f>SUM(I30:I31)</f>
        <v>24.8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>
      <c r="A33" s="5"/>
      <c r="B33" s="69"/>
      <c r="C33" s="5"/>
      <c r="D33" s="5"/>
      <c r="E33" s="5"/>
      <c r="F33" s="5"/>
      <c r="G33" s="45"/>
      <c r="H33" s="45"/>
      <c r="I33" s="86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>
      <c r="A34" s="32" t="s">
        <v>1020</v>
      </c>
      <c r="B34" s="69"/>
      <c r="C34" s="5"/>
      <c r="D34" s="5"/>
      <c r="E34" s="5"/>
      <c r="F34" s="5"/>
      <c r="G34" s="45"/>
      <c r="H34" s="45"/>
      <c r="I34" s="85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>
      <c r="A35" s="5"/>
      <c r="B35" s="69" t="s">
        <v>1021</v>
      </c>
      <c r="C35" s="5"/>
      <c r="D35" s="5"/>
      <c r="E35" s="5"/>
      <c r="F35" s="5"/>
      <c r="G35" s="45">
        <v>0.6</v>
      </c>
      <c r="H35" s="47">
        <f>G35*1</f>
        <v>0.6</v>
      </c>
      <c r="I35" s="860">
        <f>H35*20</f>
        <v>12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>
      <c r="A36" s="5"/>
      <c r="B36" s="69" t="s">
        <v>1022</v>
      </c>
      <c r="C36" s="5"/>
      <c r="D36" s="5"/>
      <c r="E36" s="5"/>
      <c r="F36" s="5"/>
      <c r="G36" s="45">
        <v>0.4</v>
      </c>
      <c r="H36" s="47">
        <f>G36*1</f>
        <v>0.4</v>
      </c>
      <c r="I36" s="860">
        <f>H36*8</f>
        <v>3.2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>
      <c r="A37" s="5"/>
      <c r="B37" s="69" t="s">
        <v>1023</v>
      </c>
      <c r="C37" s="5"/>
      <c r="D37" s="5"/>
      <c r="E37" s="5"/>
      <c r="F37" s="5"/>
      <c r="G37" s="861">
        <v>0.6</v>
      </c>
      <c r="H37" s="862">
        <f>G37*1</f>
        <v>0.6</v>
      </c>
      <c r="I37" s="863">
        <f>20*H37</f>
        <v>12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>
      <c r="A38" s="5"/>
      <c r="B38" s="69" t="s">
        <v>179</v>
      </c>
      <c r="C38" s="5"/>
      <c r="D38" s="5"/>
      <c r="E38" s="5"/>
      <c r="F38" s="5"/>
      <c r="G38" s="64">
        <v>2</v>
      </c>
      <c r="H38" s="65">
        <f>G38*1</f>
        <v>2</v>
      </c>
      <c r="I38" s="858">
        <f>10*H38</f>
        <v>20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>
      <c r="A39" s="5"/>
      <c r="B39" s="5"/>
      <c r="C39" s="5"/>
      <c r="D39" s="5"/>
      <c r="E39" s="5"/>
      <c r="F39" s="5"/>
      <c r="G39" s="45">
        <f>SUM(G35:G38)</f>
        <v>3.6</v>
      </c>
      <c r="H39" s="45">
        <f>SUM(H35:H38)</f>
        <v>3.6</v>
      </c>
      <c r="I39" s="47">
        <f>SUM(I35:I38)</f>
        <v>47.2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>
      <c r="A40" s="5"/>
      <c r="B40" s="5"/>
      <c r="C40" s="5"/>
      <c r="D40" s="5"/>
      <c r="E40" s="5"/>
      <c r="F40" s="5"/>
      <c r="G40" s="45"/>
      <c r="H40" s="47"/>
      <c r="I40" s="4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>
      <c r="A41" s="32" t="s">
        <v>1024</v>
      </c>
      <c r="B41" s="5"/>
      <c r="C41" s="5"/>
      <c r="D41" s="5"/>
      <c r="E41" s="5"/>
      <c r="F41" s="5"/>
      <c r="G41" s="45"/>
      <c r="H41" s="45">
        <f>H39+H32+H27+H21+H17+H11</f>
        <v>11.600000000000001</v>
      </c>
      <c r="I41" s="47">
        <f>I39+I32+I27+I21+I17+I11</f>
        <v>146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>
      <c r="A42" s="5"/>
      <c r="B42" s="5"/>
      <c r="C42" s="5"/>
      <c r="D42" s="5"/>
      <c r="E42" s="5"/>
      <c r="F42" s="5"/>
      <c r="G42" s="45"/>
      <c r="H42" s="45"/>
      <c r="I42" s="85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>
      <c r="A43" s="32" t="s">
        <v>1025</v>
      </c>
      <c r="B43" s="5"/>
      <c r="C43" s="5"/>
      <c r="D43" s="5"/>
      <c r="E43" s="5"/>
      <c r="F43" s="5"/>
      <c r="G43" s="45"/>
      <c r="H43" s="45"/>
      <c r="I43" s="85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>
      <c r="A44" s="5"/>
      <c r="B44" s="5" t="s">
        <v>180</v>
      </c>
      <c r="C44" s="5"/>
      <c r="D44" s="5"/>
      <c r="E44" s="5"/>
      <c r="F44" s="5"/>
      <c r="G44" s="45"/>
      <c r="H44" s="45"/>
      <c r="I44" s="860">
        <f>H41*7*150/1000</f>
        <v>12.180000000000001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>
      <c r="A45" s="5"/>
      <c r="B45" s="5" t="s">
        <v>181</v>
      </c>
      <c r="C45" s="5"/>
      <c r="D45" s="5"/>
      <c r="E45" s="5"/>
      <c r="F45" s="5"/>
      <c r="G45" s="45"/>
      <c r="H45" s="45"/>
      <c r="I45" s="860">
        <f>7*1</f>
        <v>7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>
      <c r="B46" s="22" t="s">
        <v>182</v>
      </c>
      <c r="C46" s="5"/>
      <c r="D46" s="5"/>
      <c r="E46" s="5"/>
      <c r="F46" s="5"/>
      <c r="G46" s="45"/>
      <c r="H46" s="45"/>
      <c r="I46" s="63">
        <f>(4*2600+1000)/1000</f>
        <v>11.4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>
      <c r="A47" s="5"/>
      <c r="B47" s="5"/>
      <c r="C47" s="5"/>
      <c r="D47" s="5"/>
      <c r="E47" s="5"/>
      <c r="F47" s="5"/>
      <c r="G47" s="45"/>
      <c r="H47" s="45"/>
      <c r="I47" s="145">
        <f>SUM(I44:I46)</f>
        <v>30.58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>
      <c r="A48" s="5"/>
      <c r="B48" s="5"/>
      <c r="C48" s="5"/>
      <c r="D48" s="5"/>
      <c r="E48" s="5"/>
      <c r="F48" s="5"/>
      <c r="G48" s="45"/>
      <c r="H48" s="45"/>
      <c r="I48" s="14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>
      <c r="A49" s="32" t="s">
        <v>1288</v>
      </c>
      <c r="B49" s="5"/>
      <c r="C49" s="5"/>
      <c r="D49" s="5"/>
      <c r="E49" s="32"/>
      <c r="F49" s="5"/>
      <c r="G49" s="45"/>
      <c r="H49" s="47"/>
      <c r="I49" s="854">
        <f>SUM(I44:I46)+I41</f>
        <v>176.57999999999998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>
      <c r="A50" s="5"/>
      <c r="B50" s="32" t="s">
        <v>1289</v>
      </c>
      <c r="C50" s="5"/>
      <c r="D50" s="5"/>
      <c r="E50" s="5"/>
      <c r="F50" s="5"/>
      <c r="G50" s="5"/>
      <c r="H50" s="5"/>
      <c r="I50" s="856">
        <f>I14</f>
        <v>20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>
      <c r="A51" s="32" t="s">
        <v>1290</v>
      </c>
      <c r="B51" s="32"/>
      <c r="C51" s="5"/>
      <c r="D51" s="5"/>
      <c r="E51" s="5"/>
      <c r="F51" s="5"/>
      <c r="G51" s="5"/>
      <c r="H51" s="5"/>
      <c r="I51" s="854">
        <f>I49-I50</f>
        <v>156.57999999999998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>
      <c r="A52" s="5"/>
      <c r="B52" s="32"/>
      <c r="C52" s="5"/>
      <c r="D52" s="5"/>
      <c r="E52" s="5"/>
      <c r="F52" s="5"/>
      <c r="G52" s="5"/>
      <c r="H52" s="5"/>
      <c r="I52" s="85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>
      <c r="A53" s="5" t="s">
        <v>1291</v>
      </c>
      <c r="B53" s="5"/>
      <c r="C53" s="5"/>
      <c r="D53" s="5"/>
      <c r="E53" s="5"/>
      <c r="F53" s="5"/>
      <c r="G53" s="5"/>
      <c r="H53" s="5"/>
      <c r="I53" s="86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>
      <c r="A54" s="5" t="s">
        <v>1292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>
      <c r="A55" s="5" t="s">
        <v>1293</v>
      </c>
      <c r="B55" s="5" t="s">
        <v>183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>
      <c r="A56" s="5"/>
      <c r="B56" s="5" t="s">
        <v>184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5"/>
      <c r="B57" s="5" t="s">
        <v>1294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5" t="s">
        <v>1295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&amp;L&amp;D&amp;CPage _____&amp;R&amp;F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22"/>
  <sheetViews>
    <sheetView showGridLines="0" zoomScale="80" workbookViewId="0">
      <selection activeCell="G40" sqref="G40"/>
    </sheetView>
  </sheetViews>
  <sheetFormatPr defaultRowHeight="12.75"/>
  <cols>
    <col min="1" max="1" width="45.85546875" customWidth="1"/>
    <col min="2" max="2" width="9" customWidth="1"/>
    <col min="3" max="4" width="9.5703125" customWidth="1"/>
    <col min="5" max="5" width="10" customWidth="1"/>
    <col min="6" max="6" width="30.7109375" customWidth="1"/>
    <col min="7" max="7" width="9.42578125" customWidth="1"/>
  </cols>
  <sheetData>
    <row r="1" spans="1:8" ht="15.75">
      <c r="A1" s="113" t="str">
        <f>Summary!$A$1</f>
        <v>AES Corp, Dallas, TX (640 MW)</v>
      </c>
      <c r="B1" s="113"/>
      <c r="C1" s="113"/>
      <c r="D1" s="113"/>
      <c r="E1" s="113"/>
      <c r="F1" s="113"/>
      <c r="G1" s="55"/>
      <c r="H1" s="55"/>
    </row>
    <row r="2" spans="1:8" ht="15.75">
      <c r="A2" s="77" t="s">
        <v>1296</v>
      </c>
      <c r="B2" s="77"/>
      <c r="C2" s="77"/>
      <c r="D2" s="77"/>
      <c r="E2" s="77"/>
      <c r="F2" s="77"/>
      <c r="G2" s="55"/>
      <c r="H2" s="55"/>
    </row>
    <row r="4" spans="1:8">
      <c r="C4" s="132" t="s">
        <v>1297</v>
      </c>
    </row>
    <row r="5" spans="1:8">
      <c r="C5" s="133" t="s">
        <v>1298</v>
      </c>
      <c r="D5" s="134" t="s">
        <v>1299</v>
      </c>
      <c r="E5" s="133" t="s">
        <v>1300</v>
      </c>
      <c r="F5" s="135" t="s">
        <v>1301</v>
      </c>
      <c r="G5" s="102"/>
      <c r="H5" s="102"/>
    </row>
    <row r="6" spans="1:8">
      <c r="A6" s="56" t="s">
        <v>1302</v>
      </c>
      <c r="B6" s="56"/>
      <c r="C6" s="576"/>
      <c r="D6" s="577"/>
      <c r="E6" s="576"/>
      <c r="F6" s="140"/>
    </row>
    <row r="7" spans="1:8">
      <c r="A7" s="56"/>
      <c r="B7" s="56"/>
      <c r="C7" s="576"/>
      <c r="D7" s="577"/>
      <c r="E7" s="576"/>
      <c r="F7" s="140"/>
    </row>
    <row r="8" spans="1:8">
      <c r="A8" t="s">
        <v>1303</v>
      </c>
      <c r="C8" s="578"/>
      <c r="D8" s="579"/>
      <c r="E8" s="578"/>
      <c r="F8" s="140"/>
    </row>
    <row r="9" spans="1:8">
      <c r="A9" t="s">
        <v>1304</v>
      </c>
      <c r="C9" s="578"/>
      <c r="D9" s="579"/>
      <c r="E9" s="578" t="s">
        <v>1305</v>
      </c>
      <c r="F9" s="140"/>
    </row>
    <row r="10" spans="1:8">
      <c r="A10" t="s">
        <v>1306</v>
      </c>
      <c r="C10" s="578"/>
      <c r="D10" s="578" t="s">
        <v>1305</v>
      </c>
      <c r="E10" s="578"/>
      <c r="F10" s="140"/>
    </row>
    <row r="11" spans="1:8">
      <c r="A11" t="s">
        <v>1307</v>
      </c>
      <c r="C11" s="578" t="s">
        <v>1305</v>
      </c>
      <c r="D11" s="578"/>
      <c r="E11" s="578"/>
      <c r="F11" s="140"/>
    </row>
    <row r="12" spans="1:8">
      <c r="A12" t="s">
        <v>1308</v>
      </c>
      <c r="C12" s="578"/>
      <c r="D12" s="578"/>
      <c r="E12" s="578"/>
      <c r="F12" s="140"/>
    </row>
    <row r="13" spans="1:8">
      <c r="A13" t="s">
        <v>1304</v>
      </c>
      <c r="C13" s="578"/>
      <c r="D13" s="578"/>
      <c r="E13" s="578" t="s">
        <v>1305</v>
      </c>
      <c r="F13" s="140"/>
    </row>
    <row r="14" spans="1:8">
      <c r="A14" t="s">
        <v>1306</v>
      </c>
      <c r="C14" s="578"/>
      <c r="D14" s="578" t="s">
        <v>1305</v>
      </c>
      <c r="E14" s="578"/>
      <c r="F14" s="140"/>
    </row>
    <row r="15" spans="1:8">
      <c r="A15" t="s">
        <v>1307</v>
      </c>
      <c r="C15" s="578" t="s">
        <v>1305</v>
      </c>
      <c r="D15" s="578"/>
      <c r="E15" s="578"/>
      <c r="F15" s="140"/>
    </row>
    <row r="16" spans="1:8">
      <c r="A16" t="s">
        <v>79</v>
      </c>
      <c r="C16" s="578"/>
      <c r="D16" s="578"/>
      <c r="E16" s="578"/>
      <c r="F16" s="140"/>
    </row>
    <row r="17" spans="1:6">
      <c r="A17" t="s">
        <v>1309</v>
      </c>
      <c r="C17" s="578" t="s">
        <v>1305</v>
      </c>
      <c r="D17" s="578"/>
      <c r="E17" s="578"/>
      <c r="F17" s="140"/>
    </row>
    <row r="18" spans="1:6">
      <c r="A18" t="s">
        <v>1310</v>
      </c>
      <c r="C18" s="578" t="s">
        <v>1305</v>
      </c>
      <c r="D18" s="578"/>
      <c r="E18" s="578"/>
      <c r="F18" s="140"/>
    </row>
    <row r="19" spans="1:6">
      <c r="A19" t="s">
        <v>1311</v>
      </c>
      <c r="C19" s="578" t="s">
        <v>1305</v>
      </c>
      <c r="D19" s="578"/>
      <c r="E19" s="578"/>
      <c r="F19" s="140"/>
    </row>
    <row r="20" spans="1:6">
      <c r="A20" t="s">
        <v>1312</v>
      </c>
      <c r="C20" s="578"/>
      <c r="D20" s="578" t="s">
        <v>1305</v>
      </c>
      <c r="E20" s="578"/>
      <c r="F20" s="140"/>
    </row>
    <row r="21" spans="1:6">
      <c r="A21" t="s">
        <v>1313</v>
      </c>
      <c r="C21" s="578"/>
      <c r="D21" s="578" t="s">
        <v>1305</v>
      </c>
      <c r="E21" s="578"/>
      <c r="F21" s="140"/>
    </row>
    <row r="22" spans="1:6">
      <c r="A22" t="s">
        <v>1314</v>
      </c>
      <c r="C22" s="578"/>
      <c r="D22" s="578" t="s">
        <v>1305</v>
      </c>
      <c r="E22" s="578"/>
      <c r="F22" s="140" t="s">
        <v>1315</v>
      </c>
    </row>
    <row r="23" spans="1:6">
      <c r="A23" t="s">
        <v>1316</v>
      </c>
      <c r="C23" s="578" t="s">
        <v>1305</v>
      </c>
      <c r="D23" s="578"/>
      <c r="E23" s="578"/>
      <c r="F23" s="140" t="s">
        <v>1317</v>
      </c>
    </row>
    <row r="24" spans="1:6">
      <c r="A24" t="s">
        <v>80</v>
      </c>
      <c r="C24" s="578"/>
      <c r="D24" s="578"/>
      <c r="E24" s="578"/>
      <c r="F24" s="140"/>
    </row>
    <row r="25" spans="1:6">
      <c r="A25" t="s">
        <v>1306</v>
      </c>
      <c r="C25" s="578"/>
      <c r="D25" s="578" t="s">
        <v>1305</v>
      </c>
      <c r="E25" s="578"/>
      <c r="F25" s="140"/>
    </row>
    <row r="26" spans="1:6">
      <c r="A26" t="s">
        <v>1307</v>
      </c>
      <c r="C26" s="578" t="s">
        <v>1305</v>
      </c>
      <c r="D26" s="578"/>
      <c r="E26" s="578"/>
      <c r="F26" s="140"/>
    </row>
    <row r="27" spans="1:6">
      <c r="A27" t="s">
        <v>1318</v>
      </c>
      <c r="C27" s="578"/>
      <c r="D27" s="578"/>
      <c r="E27" s="578"/>
      <c r="F27" s="140"/>
    </row>
    <row r="28" spans="1:6">
      <c r="A28" t="s">
        <v>1306</v>
      </c>
      <c r="C28" s="578"/>
      <c r="D28" s="578" t="s">
        <v>1305</v>
      </c>
      <c r="E28" s="578"/>
      <c r="F28" s="140"/>
    </row>
    <row r="29" spans="1:6">
      <c r="A29" t="s">
        <v>1319</v>
      </c>
      <c r="C29" s="578" t="s">
        <v>1305</v>
      </c>
      <c r="D29" s="578"/>
      <c r="E29" s="578"/>
      <c r="F29" s="140"/>
    </row>
    <row r="30" spans="1:6">
      <c r="A30" t="s">
        <v>1320</v>
      </c>
      <c r="C30" s="578"/>
      <c r="D30" s="578"/>
      <c r="E30" s="578"/>
      <c r="F30" s="140"/>
    </row>
    <row r="31" spans="1:6">
      <c r="A31" t="s">
        <v>885</v>
      </c>
      <c r="C31" s="578"/>
      <c r="D31" s="578" t="s">
        <v>1305</v>
      </c>
      <c r="E31" s="578"/>
      <c r="F31" s="140"/>
    </row>
    <row r="32" spans="1:6">
      <c r="A32" t="s">
        <v>886</v>
      </c>
      <c r="C32" s="578" t="s">
        <v>1305</v>
      </c>
      <c r="D32" s="578"/>
      <c r="E32" s="578"/>
      <c r="F32" s="140"/>
    </row>
    <row r="33" spans="1:6">
      <c r="A33" t="s">
        <v>887</v>
      </c>
      <c r="C33" s="578"/>
      <c r="D33" s="578"/>
      <c r="E33" s="578"/>
      <c r="F33" s="140"/>
    </row>
    <row r="34" spans="1:6">
      <c r="A34" t="s">
        <v>888</v>
      </c>
      <c r="C34" s="578" t="s">
        <v>1305</v>
      </c>
      <c r="D34" s="578"/>
      <c r="E34" s="578"/>
      <c r="F34" s="140" t="s">
        <v>889</v>
      </c>
    </row>
    <row r="35" spans="1:6">
      <c r="A35" s="81" t="s">
        <v>890</v>
      </c>
      <c r="C35" s="578" t="s">
        <v>1305</v>
      </c>
      <c r="D35" s="578"/>
      <c r="E35" s="578"/>
      <c r="F35" s="140" t="s">
        <v>889</v>
      </c>
    </row>
    <row r="36" spans="1:6">
      <c r="A36" t="s">
        <v>891</v>
      </c>
      <c r="C36" s="578" t="s">
        <v>1305</v>
      </c>
      <c r="D36" s="578"/>
      <c r="E36" s="578"/>
      <c r="F36" s="140" t="s">
        <v>889</v>
      </c>
    </row>
    <row r="37" spans="1:6">
      <c r="A37" s="81" t="s">
        <v>892</v>
      </c>
      <c r="C37" s="578" t="s">
        <v>1305</v>
      </c>
      <c r="D37" s="580"/>
      <c r="E37" s="578"/>
      <c r="F37" s="140" t="s">
        <v>889</v>
      </c>
    </row>
    <row r="38" spans="1:6">
      <c r="A38" t="s">
        <v>893</v>
      </c>
      <c r="C38" s="578"/>
      <c r="D38" s="578"/>
      <c r="E38" s="578"/>
      <c r="F38" s="140"/>
    </row>
    <row r="39" spans="1:6">
      <c r="A39" t="s">
        <v>894</v>
      </c>
      <c r="C39" s="578" t="s">
        <v>1305</v>
      </c>
      <c r="D39" s="578"/>
      <c r="E39" s="578"/>
      <c r="F39" s="140" t="s">
        <v>895</v>
      </c>
    </row>
    <row r="40" spans="1:6">
      <c r="A40" t="s">
        <v>896</v>
      </c>
      <c r="C40" s="578"/>
      <c r="D40" s="578" t="s">
        <v>1305</v>
      </c>
      <c r="E40" s="578"/>
      <c r="F40" s="140" t="s">
        <v>897</v>
      </c>
    </row>
    <row r="41" spans="1:6">
      <c r="A41" t="s">
        <v>995</v>
      </c>
      <c r="C41" s="578"/>
      <c r="D41" s="578"/>
      <c r="E41" s="578" t="s">
        <v>1305</v>
      </c>
      <c r="F41" s="140" t="s">
        <v>897</v>
      </c>
    </row>
    <row r="42" spans="1:6">
      <c r="A42" t="s">
        <v>996</v>
      </c>
      <c r="C42" s="578"/>
      <c r="D42" s="578"/>
      <c r="E42" s="578"/>
      <c r="F42" s="140"/>
    </row>
    <row r="43" spans="1:6">
      <c r="A43" t="s">
        <v>997</v>
      </c>
      <c r="C43" s="578" t="s">
        <v>1305</v>
      </c>
      <c r="D43" s="578"/>
      <c r="E43" s="578"/>
      <c r="F43" s="140"/>
    </row>
    <row r="44" spans="1:6">
      <c r="A44" t="s">
        <v>998</v>
      </c>
      <c r="C44" s="578" t="s">
        <v>1305</v>
      </c>
      <c r="D44" s="578"/>
      <c r="E44" s="578"/>
      <c r="F44" s="140"/>
    </row>
    <row r="45" spans="1:6">
      <c r="A45" s="81" t="s">
        <v>999</v>
      </c>
      <c r="C45" s="578" t="s">
        <v>1305</v>
      </c>
      <c r="D45" s="578"/>
      <c r="E45" s="578"/>
      <c r="F45" s="166" t="s">
        <v>1000</v>
      </c>
    </row>
    <row r="46" spans="1:6">
      <c r="A46" t="s">
        <v>1001</v>
      </c>
      <c r="C46" s="578" t="s">
        <v>1305</v>
      </c>
      <c r="D46" s="578"/>
      <c r="E46" s="578"/>
      <c r="F46" s="166"/>
    </row>
    <row r="47" spans="1:6">
      <c r="A47" t="s">
        <v>1002</v>
      </c>
      <c r="C47" s="578" t="s">
        <v>1305</v>
      </c>
      <c r="D47" s="578"/>
      <c r="E47" s="578"/>
      <c r="F47" s="140"/>
    </row>
    <row r="48" spans="1:6">
      <c r="A48" t="s">
        <v>972</v>
      </c>
      <c r="C48" s="578"/>
      <c r="D48" s="578" t="s">
        <v>1305</v>
      </c>
      <c r="E48" s="578"/>
      <c r="F48" s="140"/>
    </row>
    <row r="49" spans="1:6">
      <c r="A49" t="s">
        <v>973</v>
      </c>
      <c r="C49" s="578"/>
      <c r="D49" s="578" t="s">
        <v>1305</v>
      </c>
      <c r="E49" s="578"/>
      <c r="F49" s="140"/>
    </row>
    <row r="50" spans="1:6">
      <c r="A50" s="81" t="s">
        <v>974</v>
      </c>
      <c r="C50" s="578" t="s">
        <v>1305</v>
      </c>
      <c r="D50" s="578"/>
      <c r="E50" s="578"/>
      <c r="F50" s="166" t="s">
        <v>975</v>
      </c>
    </row>
    <row r="51" spans="1:6">
      <c r="A51" s="81" t="s">
        <v>976</v>
      </c>
      <c r="C51" s="578" t="s">
        <v>1305</v>
      </c>
      <c r="D51" s="578"/>
      <c r="E51" s="580"/>
      <c r="F51" s="140" t="s">
        <v>977</v>
      </c>
    </row>
    <row r="52" spans="1:6">
      <c r="A52" s="81" t="s">
        <v>978</v>
      </c>
      <c r="C52" s="578"/>
      <c r="D52" s="578" t="s">
        <v>1305</v>
      </c>
      <c r="E52" s="578"/>
      <c r="F52" s="140"/>
    </row>
    <row r="53" spans="1:6">
      <c r="A53" s="81" t="s">
        <v>979</v>
      </c>
      <c r="C53" s="580"/>
      <c r="D53" s="578"/>
      <c r="E53" s="578" t="s">
        <v>1305</v>
      </c>
      <c r="F53" s="140"/>
    </row>
    <row r="54" spans="1:6">
      <c r="A54" s="81" t="s">
        <v>980</v>
      </c>
      <c r="C54" s="578" t="s">
        <v>1305</v>
      </c>
      <c r="D54" s="578"/>
      <c r="E54" s="580"/>
      <c r="F54" s="140"/>
    </row>
    <row r="55" spans="1:6">
      <c r="A55" t="s">
        <v>981</v>
      </c>
      <c r="C55" s="578" t="s">
        <v>1305</v>
      </c>
      <c r="D55" s="578"/>
      <c r="E55" s="578"/>
      <c r="F55" s="140"/>
    </row>
    <row r="56" spans="1:6">
      <c r="A56" t="s">
        <v>982</v>
      </c>
      <c r="C56" s="578" t="s">
        <v>1305</v>
      </c>
      <c r="D56" s="578"/>
      <c r="E56" s="578"/>
      <c r="F56" s="140" t="s">
        <v>983</v>
      </c>
    </row>
    <row r="57" spans="1:6">
      <c r="A57" t="s">
        <v>984</v>
      </c>
      <c r="C57" s="578" t="s">
        <v>1305</v>
      </c>
      <c r="D57" s="578"/>
      <c r="E57" s="578"/>
      <c r="F57" s="140"/>
    </row>
    <row r="58" spans="1:6">
      <c r="A58" t="s">
        <v>985</v>
      </c>
      <c r="C58" s="578" t="s">
        <v>1305</v>
      </c>
      <c r="D58" s="578"/>
      <c r="E58" s="578"/>
      <c r="F58" s="140"/>
    </row>
    <row r="59" spans="1:6">
      <c r="C59" s="86"/>
      <c r="D59" s="86"/>
      <c r="E59" s="86"/>
    </row>
    <row r="60" spans="1:6">
      <c r="A60" t="s">
        <v>986</v>
      </c>
      <c r="C60" s="86"/>
      <c r="D60" s="86"/>
      <c r="E60" s="86"/>
    </row>
    <row r="61" spans="1:6">
      <c r="A61" t="s">
        <v>987</v>
      </c>
      <c r="C61" s="86"/>
      <c r="D61" s="86"/>
      <c r="E61" s="86"/>
    </row>
    <row r="62" spans="1:6">
      <c r="C62" s="132" t="s">
        <v>1297</v>
      </c>
      <c r="D62" s="111"/>
      <c r="E62" s="111"/>
      <c r="F62" s="111"/>
    </row>
    <row r="63" spans="1:6">
      <c r="C63" s="163" t="s">
        <v>1298</v>
      </c>
      <c r="D63" s="167" t="s">
        <v>1299</v>
      </c>
      <c r="E63" s="163" t="s">
        <v>1300</v>
      </c>
      <c r="F63" s="132" t="s">
        <v>1301</v>
      </c>
    </row>
    <row r="64" spans="1:6">
      <c r="A64" t="s">
        <v>988</v>
      </c>
      <c r="C64" s="578" t="s">
        <v>1305</v>
      </c>
      <c r="D64" s="578"/>
      <c r="E64" s="578"/>
      <c r="F64" s="140" t="s">
        <v>989</v>
      </c>
    </row>
    <row r="65" spans="1:6">
      <c r="A65" t="s">
        <v>990</v>
      </c>
      <c r="C65" s="578"/>
      <c r="D65" s="578"/>
      <c r="E65" s="578"/>
      <c r="F65" s="140"/>
    </row>
    <row r="66" spans="1:6">
      <c r="A66" t="s">
        <v>991</v>
      </c>
      <c r="C66" s="578"/>
      <c r="D66" s="578" t="s">
        <v>1305</v>
      </c>
      <c r="E66" s="578"/>
      <c r="F66" s="140"/>
    </row>
    <row r="67" spans="1:6">
      <c r="A67" t="s">
        <v>400</v>
      </c>
      <c r="C67" s="578"/>
      <c r="D67" s="578" t="s">
        <v>1305</v>
      </c>
      <c r="E67" s="578"/>
      <c r="F67" s="140"/>
    </row>
    <row r="68" spans="1:6">
      <c r="A68" t="s">
        <v>401</v>
      </c>
      <c r="C68" s="578"/>
      <c r="D68" s="578" t="s">
        <v>1305</v>
      </c>
      <c r="E68" s="578"/>
      <c r="F68" s="140"/>
    </row>
    <row r="69" spans="1:6">
      <c r="A69" s="81" t="s">
        <v>402</v>
      </c>
      <c r="C69" s="578" t="s">
        <v>1305</v>
      </c>
      <c r="D69" s="578"/>
      <c r="E69" s="578"/>
      <c r="F69" s="140"/>
    </row>
    <row r="70" spans="1:6">
      <c r="C70" s="578"/>
      <c r="D70" s="578"/>
      <c r="E70" s="578"/>
      <c r="F70" s="140"/>
    </row>
    <row r="71" spans="1:6">
      <c r="A71" s="56" t="s">
        <v>403</v>
      </c>
      <c r="B71" s="56"/>
      <c r="C71" s="578"/>
      <c r="D71" s="578"/>
      <c r="E71" s="578"/>
      <c r="F71" s="140"/>
    </row>
    <row r="72" spans="1:6">
      <c r="A72" s="56"/>
      <c r="B72" s="56"/>
      <c r="C72" s="578"/>
      <c r="D72" s="578"/>
      <c r="E72" s="578"/>
      <c r="F72" s="140"/>
    </row>
    <row r="73" spans="1:6">
      <c r="A73" t="s">
        <v>89</v>
      </c>
      <c r="C73" s="578"/>
      <c r="D73" s="578"/>
      <c r="E73" s="578"/>
      <c r="F73" s="140"/>
    </row>
    <row r="74" spans="1:6">
      <c r="A74" t="s">
        <v>404</v>
      </c>
      <c r="C74" s="578" t="s">
        <v>1305</v>
      </c>
      <c r="D74" s="578"/>
      <c r="E74" s="578"/>
      <c r="F74" s="140"/>
    </row>
    <row r="75" spans="1:6">
      <c r="A75" t="s">
        <v>405</v>
      </c>
      <c r="C75" s="578" t="s">
        <v>1305</v>
      </c>
      <c r="D75" s="578"/>
      <c r="E75" s="578"/>
      <c r="F75" s="140"/>
    </row>
    <row r="76" spans="1:6">
      <c r="A76" t="s">
        <v>406</v>
      </c>
      <c r="C76" s="578" t="s">
        <v>1305</v>
      </c>
      <c r="D76" s="578"/>
      <c r="E76" s="578"/>
      <c r="F76" s="140"/>
    </row>
    <row r="77" spans="1:6">
      <c r="A77" t="s">
        <v>407</v>
      </c>
      <c r="C77" s="578"/>
      <c r="D77" s="578"/>
      <c r="E77" s="578" t="s">
        <v>1305</v>
      </c>
      <c r="F77" s="140"/>
    </row>
    <row r="78" spans="1:6">
      <c r="A78" t="s">
        <v>408</v>
      </c>
      <c r="C78" s="578"/>
      <c r="D78" s="578" t="s">
        <v>1305</v>
      </c>
      <c r="E78" s="578"/>
      <c r="F78" s="140"/>
    </row>
    <row r="79" spans="1:6">
      <c r="A79" t="s">
        <v>409</v>
      </c>
      <c r="C79" s="578"/>
      <c r="D79" s="578" t="s">
        <v>1305</v>
      </c>
      <c r="E79" s="578"/>
      <c r="F79" s="140"/>
    </row>
    <row r="80" spans="1:6">
      <c r="A80" t="s">
        <v>410</v>
      </c>
      <c r="C80" s="578"/>
      <c r="D80" s="578" t="s">
        <v>1305</v>
      </c>
      <c r="E80" s="578"/>
      <c r="F80" s="140"/>
    </row>
    <row r="81" spans="1:6">
      <c r="A81" t="s">
        <v>411</v>
      </c>
      <c r="C81" s="578"/>
      <c r="D81" s="578" t="s">
        <v>1305</v>
      </c>
      <c r="E81" s="578"/>
      <c r="F81" s="140" t="s">
        <v>412</v>
      </c>
    </row>
    <row r="82" spans="1:6">
      <c r="A82" t="s">
        <v>413</v>
      </c>
      <c r="C82" s="578"/>
      <c r="D82" s="578"/>
      <c r="E82" s="578"/>
      <c r="F82" s="140"/>
    </row>
    <row r="83" spans="1:6">
      <c r="A83" t="s">
        <v>414</v>
      </c>
      <c r="C83" s="578" t="s">
        <v>1305</v>
      </c>
      <c r="D83" s="578"/>
      <c r="E83" s="578"/>
      <c r="F83" s="140"/>
    </row>
    <row r="84" spans="1:6">
      <c r="A84" t="s">
        <v>415</v>
      </c>
      <c r="C84" s="578" t="s">
        <v>1305</v>
      </c>
      <c r="D84" s="578"/>
      <c r="E84" s="578"/>
      <c r="F84" s="140"/>
    </row>
    <row r="85" spans="1:6">
      <c r="A85" t="s">
        <v>416</v>
      </c>
      <c r="C85" s="578" t="s">
        <v>1305</v>
      </c>
      <c r="D85" s="580"/>
      <c r="E85" s="578"/>
      <c r="F85" s="140"/>
    </row>
    <row r="86" spans="1:6">
      <c r="A86" t="s">
        <v>417</v>
      </c>
      <c r="C86" s="578" t="s">
        <v>1305</v>
      </c>
      <c r="D86" s="578"/>
      <c r="E86" s="578"/>
      <c r="F86" s="140"/>
    </row>
    <row r="87" spans="1:6">
      <c r="A87" t="s">
        <v>418</v>
      </c>
      <c r="C87" s="578" t="s">
        <v>1305</v>
      </c>
      <c r="D87" s="578"/>
      <c r="E87" s="578"/>
      <c r="F87" s="140" t="s">
        <v>419</v>
      </c>
    </row>
    <row r="88" spans="1:6">
      <c r="A88" t="s">
        <v>420</v>
      </c>
      <c r="C88" s="578"/>
      <c r="D88" s="578" t="s">
        <v>1305</v>
      </c>
      <c r="E88" s="578"/>
      <c r="F88" s="140"/>
    </row>
    <row r="89" spans="1:6">
      <c r="A89" t="s">
        <v>421</v>
      </c>
      <c r="C89" s="578"/>
      <c r="D89" s="578" t="s">
        <v>1305</v>
      </c>
      <c r="E89" s="578"/>
      <c r="F89" s="140"/>
    </row>
    <row r="90" spans="1:6">
      <c r="A90" t="s">
        <v>422</v>
      </c>
      <c r="C90" s="578"/>
      <c r="D90" s="578"/>
      <c r="E90" s="578"/>
      <c r="F90" s="140"/>
    </row>
    <row r="91" spans="1:6">
      <c r="A91" t="s">
        <v>423</v>
      </c>
      <c r="C91" s="578" t="s">
        <v>1305</v>
      </c>
      <c r="D91" s="578"/>
      <c r="E91" s="578"/>
      <c r="F91" s="140"/>
    </row>
    <row r="92" spans="1:6">
      <c r="A92" t="s">
        <v>424</v>
      </c>
      <c r="C92" s="578"/>
      <c r="D92" s="578" t="s">
        <v>1305</v>
      </c>
      <c r="E92" s="578"/>
      <c r="F92" s="140"/>
    </row>
    <row r="93" spans="1:6">
      <c r="A93" t="s">
        <v>425</v>
      </c>
      <c r="C93" s="578"/>
      <c r="D93" s="578"/>
      <c r="E93" s="578"/>
      <c r="F93" s="140"/>
    </row>
    <row r="94" spans="1:6">
      <c r="A94" t="s">
        <v>426</v>
      </c>
      <c r="C94" s="578" t="s">
        <v>1305</v>
      </c>
      <c r="D94" s="578"/>
      <c r="E94" s="578"/>
      <c r="F94" s="140"/>
    </row>
    <row r="95" spans="1:6">
      <c r="A95" t="s">
        <v>427</v>
      </c>
      <c r="C95" s="578"/>
      <c r="D95" s="578" t="s">
        <v>1305</v>
      </c>
      <c r="E95" s="578"/>
      <c r="F95" s="140"/>
    </row>
    <row r="96" spans="1:6">
      <c r="A96" t="s">
        <v>428</v>
      </c>
      <c r="C96" s="578"/>
      <c r="D96" s="578"/>
      <c r="E96" s="578"/>
      <c r="F96" s="140"/>
    </row>
    <row r="97" spans="1:6">
      <c r="A97" t="s">
        <v>429</v>
      </c>
      <c r="C97" s="578" t="s">
        <v>1305</v>
      </c>
      <c r="D97" s="578"/>
      <c r="E97" s="578"/>
      <c r="F97" s="140"/>
    </row>
    <row r="98" spans="1:6">
      <c r="A98" t="s">
        <v>430</v>
      </c>
      <c r="C98" s="578" t="s">
        <v>1305</v>
      </c>
      <c r="D98" s="578"/>
      <c r="E98" s="578"/>
      <c r="F98" s="140"/>
    </row>
    <row r="99" spans="1:6">
      <c r="A99" t="s">
        <v>431</v>
      </c>
      <c r="C99" s="578"/>
      <c r="D99" s="578" t="s">
        <v>1305</v>
      </c>
      <c r="E99" s="578"/>
      <c r="F99" s="140"/>
    </row>
    <row r="100" spans="1:6">
      <c r="A100" t="s">
        <v>432</v>
      </c>
      <c r="C100" s="578"/>
      <c r="D100" s="578"/>
      <c r="E100" s="578"/>
      <c r="F100" s="140"/>
    </row>
    <row r="101" spans="1:6">
      <c r="A101" t="s">
        <v>433</v>
      </c>
      <c r="C101" s="578"/>
      <c r="D101" s="578" t="s">
        <v>1305</v>
      </c>
      <c r="E101" s="578"/>
      <c r="F101" s="140"/>
    </row>
    <row r="102" spans="1:6">
      <c r="A102" t="s">
        <v>628</v>
      </c>
      <c r="C102" s="578"/>
      <c r="D102" s="578" t="s">
        <v>1305</v>
      </c>
      <c r="E102" s="578"/>
      <c r="F102" s="140"/>
    </row>
    <row r="103" spans="1:6">
      <c r="A103" t="s">
        <v>629</v>
      </c>
      <c r="C103" s="578"/>
      <c r="D103" s="578" t="s">
        <v>1305</v>
      </c>
      <c r="E103" s="578"/>
      <c r="F103" s="140"/>
    </row>
    <row r="104" spans="1:6">
      <c r="A104" t="s">
        <v>630</v>
      </c>
      <c r="C104" s="578"/>
      <c r="D104" s="578" t="s">
        <v>1305</v>
      </c>
      <c r="E104" s="578"/>
      <c r="F104" s="140"/>
    </row>
    <row r="105" spans="1:6">
      <c r="A105" t="s">
        <v>631</v>
      </c>
      <c r="C105" s="578" t="s">
        <v>1305</v>
      </c>
      <c r="D105" s="578"/>
      <c r="E105" s="578"/>
      <c r="F105" s="140"/>
    </row>
    <row r="106" spans="1:6">
      <c r="A106" t="s">
        <v>632</v>
      </c>
      <c r="C106" s="578"/>
      <c r="D106" s="578"/>
      <c r="E106" s="578"/>
      <c r="F106" s="140"/>
    </row>
    <row r="107" spans="1:6">
      <c r="A107" t="s">
        <v>633</v>
      </c>
      <c r="C107" s="578" t="s">
        <v>1305</v>
      </c>
      <c r="D107" s="578"/>
      <c r="E107" s="578"/>
      <c r="F107" s="140"/>
    </row>
    <row r="108" spans="1:6">
      <c r="A108" t="s">
        <v>634</v>
      </c>
      <c r="C108" s="578"/>
      <c r="D108" s="578" t="s">
        <v>1305</v>
      </c>
      <c r="E108" s="578"/>
      <c r="F108" s="140" t="s">
        <v>304</v>
      </c>
    </row>
    <row r="109" spans="1:6">
      <c r="A109" t="s">
        <v>305</v>
      </c>
      <c r="C109" s="578"/>
      <c r="D109" s="578"/>
      <c r="E109" s="578"/>
      <c r="F109" s="140"/>
    </row>
    <row r="110" spans="1:6">
      <c r="A110" t="s">
        <v>306</v>
      </c>
      <c r="C110" s="578" t="s">
        <v>1305</v>
      </c>
      <c r="D110" s="578"/>
      <c r="E110" s="578"/>
      <c r="F110" s="140"/>
    </row>
    <row r="111" spans="1:6">
      <c r="A111" t="s">
        <v>307</v>
      </c>
      <c r="C111" s="578" t="s">
        <v>1305</v>
      </c>
      <c r="D111" s="578"/>
      <c r="E111" s="578"/>
      <c r="F111" s="140"/>
    </row>
    <row r="112" spans="1:6">
      <c r="A112" t="s">
        <v>308</v>
      </c>
      <c r="C112" s="578"/>
      <c r="D112" s="578" t="s">
        <v>1305</v>
      </c>
      <c r="E112" s="578"/>
      <c r="F112" s="140"/>
    </row>
    <row r="113" spans="1:6">
      <c r="A113" t="s">
        <v>309</v>
      </c>
      <c r="C113" s="578"/>
      <c r="D113" s="578" t="s">
        <v>1305</v>
      </c>
      <c r="E113" s="578"/>
      <c r="F113" s="140"/>
    </row>
    <row r="114" spans="1:6">
      <c r="A114" t="s">
        <v>310</v>
      </c>
      <c r="C114" s="578"/>
      <c r="D114" s="578"/>
      <c r="E114" s="578"/>
      <c r="F114" s="140"/>
    </row>
    <row r="115" spans="1:6">
      <c r="A115" t="s">
        <v>307</v>
      </c>
      <c r="C115" s="578" t="s">
        <v>1305</v>
      </c>
      <c r="D115" s="578"/>
      <c r="E115" s="578"/>
      <c r="F115" s="140"/>
    </row>
    <row r="116" spans="1:6">
      <c r="A116" t="s">
        <v>308</v>
      </c>
      <c r="C116" s="578"/>
      <c r="D116" s="578" t="s">
        <v>1305</v>
      </c>
      <c r="E116" s="578"/>
      <c r="F116" s="140"/>
    </row>
    <row r="117" spans="1:6">
      <c r="A117" t="s">
        <v>311</v>
      </c>
      <c r="C117" s="580"/>
      <c r="D117" s="578" t="s">
        <v>1305</v>
      </c>
      <c r="E117" s="578"/>
      <c r="F117" s="140" t="s">
        <v>312</v>
      </c>
    </row>
    <row r="118" spans="1:6">
      <c r="A118" t="s">
        <v>313</v>
      </c>
      <c r="C118" s="580"/>
      <c r="D118" s="578" t="s">
        <v>1305</v>
      </c>
      <c r="E118" s="578"/>
      <c r="F118" s="140" t="s">
        <v>312</v>
      </c>
    </row>
    <row r="119" spans="1:6">
      <c r="A119" t="s">
        <v>314</v>
      </c>
      <c r="C119" s="578"/>
      <c r="D119" s="578" t="s">
        <v>1305</v>
      </c>
      <c r="E119" s="578"/>
      <c r="F119" s="140"/>
    </row>
    <row r="120" spans="1:6">
      <c r="A120" t="s">
        <v>315</v>
      </c>
      <c r="C120" s="578" t="s">
        <v>1305</v>
      </c>
      <c r="D120" s="578"/>
      <c r="E120" s="578"/>
      <c r="F120" s="140"/>
    </row>
    <row r="121" spans="1:6">
      <c r="A121" s="57" t="s">
        <v>605</v>
      </c>
    </row>
    <row r="122" spans="1:6">
      <c r="A122" t="s">
        <v>606</v>
      </c>
    </row>
  </sheetData>
  <printOptions horizontalCentered="1"/>
  <pageMargins left="0.75" right="0.75" top="1" bottom="1" header="0.5" footer="0.5"/>
  <pageSetup scale="67" fitToHeight="2" orientation="portrait" horizontalDpi="4294967292" verticalDpi="4294967292" r:id="rId1"/>
  <headerFooter alignWithMargins="0">
    <oddFooter>&amp;L&amp;D&amp;CPage _____&amp;R&amp;F
&amp;A</oddFooter>
  </headerFooter>
  <rowBreaks count="1" manualBreakCount="1"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30</vt:i4>
      </vt:variant>
    </vt:vector>
  </HeadingPairs>
  <TitlesOfParts>
    <vt:vector size="66" baseType="lpstr">
      <vt:lpstr>Table of Contents</vt:lpstr>
      <vt:lpstr>Scope</vt:lpstr>
      <vt:lpstr>Assumptions</vt:lpstr>
      <vt:lpstr>Summary</vt:lpstr>
      <vt:lpstr>Mob_Estimate</vt:lpstr>
      <vt:lpstr>Mob_Schedule</vt:lpstr>
      <vt:lpstr>Mob_Staffing</vt:lpstr>
      <vt:lpstr>Training</vt:lpstr>
      <vt:lpstr>ScopeSplit</vt:lpstr>
      <vt:lpstr>Mob_Backup</vt:lpstr>
      <vt:lpstr>O&amp;M_Estimate</vt:lpstr>
      <vt:lpstr>Plant_Staff</vt:lpstr>
      <vt:lpstr>Labor_ Lookup</vt:lpstr>
      <vt:lpstr>O&amp;M Backup_Detail</vt:lpstr>
      <vt:lpstr>Plant Configuration</vt:lpstr>
      <vt:lpstr>Initial_Spares(7EA) </vt:lpstr>
      <vt:lpstr>Initial_Spares(7FA)</vt:lpstr>
      <vt:lpstr>Initial_Spares(W501D5)</vt:lpstr>
      <vt:lpstr>GT sched cost (LM6000)</vt:lpstr>
      <vt:lpstr>GT schd cost(7EA)</vt:lpstr>
      <vt:lpstr>Initial_Spares(W501D5A)</vt:lpstr>
      <vt:lpstr>GT schd cost(W501D5)</vt:lpstr>
      <vt:lpstr>rotation(W501D5)</vt:lpstr>
      <vt:lpstr>GTDB(W501D5)</vt:lpstr>
      <vt:lpstr>GT schd cost(W501D5A)</vt:lpstr>
      <vt:lpstr>rotation(W501D5A)</vt:lpstr>
      <vt:lpstr>GTDB(W501D5A)</vt:lpstr>
      <vt:lpstr>rotation(7EA)</vt:lpstr>
      <vt:lpstr>GTDB(7EA)</vt:lpstr>
      <vt:lpstr>Initial_Spares(6B)</vt:lpstr>
      <vt:lpstr>GT schd cost(6B)</vt:lpstr>
      <vt:lpstr>rotation(6B)</vt:lpstr>
      <vt:lpstr>GTDB(6B)</vt:lpstr>
      <vt:lpstr>GT schd cost(7FA)</vt:lpstr>
      <vt:lpstr>rotation(7FA)</vt:lpstr>
      <vt:lpstr>GTDB(7FA)</vt:lpstr>
      <vt:lpstr>'O&amp;M Backup_Detail'!CompleteFilterPrint</vt:lpstr>
      <vt:lpstr>Labor_Salary</vt:lpstr>
      <vt:lpstr>Plant_Configuration</vt:lpstr>
      <vt:lpstr>'GTDB(6B)'!Print_Area</vt:lpstr>
      <vt:lpstr>'GTDB(7EA)'!Print_Area</vt:lpstr>
      <vt:lpstr>'GTDB(7FA)'!Print_Area</vt:lpstr>
      <vt:lpstr>'GTDB(W501D5)'!Print_Area</vt:lpstr>
      <vt:lpstr>'GTDB(W501D5A)'!Print_Area</vt:lpstr>
      <vt:lpstr>'Initial_Spares(6B)'!Print_Area</vt:lpstr>
      <vt:lpstr>'Initial_Spares(7EA) '!Print_Area</vt:lpstr>
      <vt:lpstr>'Initial_Spares(7FA)'!Print_Area</vt:lpstr>
      <vt:lpstr>'Initial_Spares(W501D5)'!Print_Area</vt:lpstr>
      <vt:lpstr>'Initial_Spares(W501D5A)'!Print_Area</vt:lpstr>
      <vt:lpstr>'Labor_ Lookup'!Print_Area</vt:lpstr>
      <vt:lpstr>Mob_Backup!Print_Area</vt:lpstr>
      <vt:lpstr>Mob_Estimate!Print_Area</vt:lpstr>
      <vt:lpstr>Mob_Schedule!Print_Area</vt:lpstr>
      <vt:lpstr>'O&amp;M Backup_Detail'!Print_Area</vt:lpstr>
      <vt:lpstr>'O&amp;M_Estimate'!Print_Area</vt:lpstr>
      <vt:lpstr>'Plant Configuration'!Print_Area</vt:lpstr>
      <vt:lpstr>Plant_Staff!Print_Area</vt:lpstr>
      <vt:lpstr>'rotation(6B)'!Print_Area</vt:lpstr>
      <vt:lpstr>'rotation(7EA)'!Print_Area</vt:lpstr>
      <vt:lpstr>'rotation(7FA)'!Print_Area</vt:lpstr>
      <vt:lpstr>'rotation(W501D5)'!Print_Area</vt:lpstr>
      <vt:lpstr>'rotation(W501D5A)'!Print_Area</vt:lpstr>
      <vt:lpstr>Scope!Print_Area</vt:lpstr>
      <vt:lpstr>ScopeSplit!Print_Area</vt:lpstr>
      <vt:lpstr>Summary!Print_Area</vt:lpstr>
      <vt:lpstr>Plant_Staff!Print_Titles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2000-05-18T14:13:53Z</cp:lastPrinted>
  <dcterms:created xsi:type="dcterms:W3CDTF">1997-11-25T22:11:07Z</dcterms:created>
  <dcterms:modified xsi:type="dcterms:W3CDTF">2023-09-13T22:25:19Z</dcterms:modified>
</cp:coreProperties>
</file>