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964D53-5ECA-4158-A9FC-9FECDB41C436}" xr6:coauthVersionLast="47" xr6:coauthVersionMax="47" xr10:uidLastSave="{00000000-0000-0000-0000-000000000000}"/>
  <bookViews>
    <workbookView xWindow="-120" yWindow="-120" windowWidth="38640" windowHeight="15720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Options!$A$1:$L$31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9" i="29"/>
  <c r="D9" i="29"/>
  <c r="E9" i="29"/>
  <c r="F9" i="29"/>
  <c r="G9" i="29"/>
  <c r="H9" i="29"/>
  <c r="I9" i="29"/>
  <c r="J9" i="29"/>
  <c r="K9" i="29"/>
  <c r="L9" i="29"/>
  <c r="B30" i="29"/>
  <c r="C30" i="29"/>
  <c r="D30" i="29"/>
  <c r="E30" i="29"/>
  <c r="F30" i="29"/>
  <c r="G30" i="29"/>
  <c r="H30" i="29"/>
  <c r="I30" i="29"/>
  <c r="J30" i="29"/>
  <c r="K30" i="29"/>
  <c r="L30" i="29"/>
  <c r="C32" i="29"/>
  <c r="D32" i="29"/>
  <c r="E32" i="29"/>
  <c r="F32" i="29"/>
  <c r="G32" i="29"/>
  <c r="H32" i="29"/>
  <c r="I32" i="29"/>
  <c r="J32" i="29"/>
  <c r="K32" i="29"/>
  <c r="L32" i="29"/>
  <c r="C35" i="29"/>
  <c r="D35" i="29"/>
  <c r="E35" i="29"/>
  <c r="F35" i="29"/>
  <c r="G35" i="29"/>
  <c r="H35" i="29"/>
  <c r="I35" i="29"/>
  <c r="J35" i="29"/>
  <c r="K35" i="29"/>
  <c r="L35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<sst xmlns="http://schemas.openxmlformats.org/spreadsheetml/2006/main" count="1006" uniqueCount="501">
  <si>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</si>
  <si>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</si>
  <si>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</si>
  <si>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</si>
  <si>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</si>
  <si>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</si>
  <si>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</si>
  <si>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</si>
  <si>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</si>
  <si>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</si>
  <si>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</si>
  <si>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</si>
  <si>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</si>
  <si>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</si>
  <si>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</si>
  <si>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</si>
  <si>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</si>
  <si>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</si>
  <si>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</si>
  <si>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</si>
  <si>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</si>
  <si>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</si>
  <si>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</si>
  <si>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</si>
  <si>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</si>
  <si>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</si>
  <si>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</si>
  <si>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</si>
  <si>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</si>
  <si>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</si>
  <si>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</si>
  <si>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</si>
  <si>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</si>
  <si>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</si>
  <si>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</si>
  <si>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</si>
  <si>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</si>
  <si>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</si>
  <si>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</si>
  <si>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</si>
  <si>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</si>
  <si>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</si>
  <si>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</si>
  <si>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</si>
  <si>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</si>
  <si>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</si>
  <si>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</si>
  <si>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</si>
  <si>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</si>
  <si>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</si>
  <si>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</si>
  <si>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</si>
  <si>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</si>
  <si>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</si>
  <si>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</si>
  <si>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</si>
  <si>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</si>
  <si>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</si>
  <si>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</si>
  <si>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</si>
  <si>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</si>
  <si>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</si>
  <si>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</si>
  <si>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</si>
  <si>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</si>
  <si>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</si>
  <si>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</si>
  <si>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</si>
  <si>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</si>
  <si>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</si>
  <si>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</si>
  <si>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</si>
  <si>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</si>
  <si>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</si>
  <si>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</si>
  <si>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</si>
  <si>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</si>
  <si>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</si>
  <si>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</si>
  <si>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</si>
  <si>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</si>
  <si>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</si>
  <si>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</si>
  <si>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</si>
  <si>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</si>
  <si>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</si>
  <si>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</si>
  <si>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</si>
  <si>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</si>
  <si>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</si>
  <si>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</si>
  <si>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</si>
  <si>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</si>
  <si>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</si>
  <si>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</si>
  <si>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</si>
  <si>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</si>
  <si>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</si>
  <si>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</si>
  <si>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</si>
  <si>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</si>
  <si>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</si>
  <si>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</si>
  <si>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</si>
  <si>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</si>
  <si>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</si>
  <si>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</si>
  <si>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</si>
  <si>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</si>
  <si>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</si>
  <si>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</si>
  <si>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</si>
  <si>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</si>
  <si>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</si>
  <si>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</si>
  <si>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</si>
  <si>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</si>
  <si>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</si>
  <si>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</si>
  <si>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</si>
  <si>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</si>
  <si>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</si>
  <si>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</si>
  <si>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</si>
  <si>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</si>
  <si>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</si>
  <si>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</si>
  <si>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</si>
  <si>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</si>
  <si>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</si>
  <si>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</si>
  <si>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</si>
  <si>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</si>
  <si>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</si>
  <si>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</si>
  <si>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</si>
  <si>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</si>
  <si>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</si>
  <si>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</si>
  <si>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</si>
  <si>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</si>
  <si>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</si>
  <si>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</si>
  <si>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</si>
  <si>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</si>
  <si>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</si>
  <si>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</si>
  <si>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</si>
  <si>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</si>
  <si>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</si>
  <si>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</si>
  <si>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</si>
  <si>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</si>
  <si>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</si>
  <si>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</si>
  <si>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</si>
  <si>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</si>
  <si>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</si>
  <si>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</si>
  <si>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</si>
  <si>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</si>
  <si>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</si>
  <si>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</si>
  <si>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</si>
  <si>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</si>
  <si>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</si>
  <si>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</si>
  <si>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</si>
  <si>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</si>
  <si>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</si>
  <si>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</si>
  <si>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</si>
  <si>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</si>
  <si>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</si>
  <si>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</si>
  <si>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</si>
  <si>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</si>
  <si>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</si>
  <si>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</si>
  <si>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</si>
  <si>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</si>
  <si>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</si>
  <si>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</si>
  <si>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</si>
  <si>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</si>
  <si>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</si>
  <si>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</si>
  <si>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</si>
  <si>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</si>
  <si>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</si>
  <si>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</si>
  <si>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</si>
  <si>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</si>
  <si>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</si>
  <si>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</si>
  <si>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</si>
  <si>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</si>
  <si>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</si>
  <si>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</si>
  <si>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</si>
  <si>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</si>
  <si>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</si>
  <si>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</si>
  <si>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</si>
  <si>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</si>
  <si>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</si>
  <si>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</si>
  <si>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</si>
  <si>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</si>
  <si>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</si>
  <si>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</si>
  <si>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</si>
  <si>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</si>
  <si>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</si>
  <si>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</si>
  <si>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</si>
  <si>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</si>
  <si>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</si>
  <si>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</si>
  <si>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</si>
  <si>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</si>
  <si>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</si>
  <si>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</si>
  <si>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</si>
  <si>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</si>
  <si>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</si>
  <si>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</si>
  <si>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</si>
  <si>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</si>
  <si>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</si>
  <si>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</si>
  <si>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</si>
  <si>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</si>
  <si>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</si>
  <si>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</si>
  <si>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</si>
  <si>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</si>
  <si>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</si>
  <si>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</si>
  <si>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</si>
  <si>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</si>
  <si>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</si>
  <si>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</si>
  <si>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</si>
  <si>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</si>
  <si>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</si>
  <si>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</si>
  <si>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</si>
  <si>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</si>
  <si>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</si>
  <si>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</si>
  <si>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</si>
  <si>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</si>
  <si>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</si>
  <si>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</si>
  <si>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</si>
  <si>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</si>
  <si>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</si>
  <si>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</si>
  <si>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</si>
  <si>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</si>
  <si>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</si>
  <si>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</si>
  <si>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</si>
  <si>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</si>
  <si>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</si>
  <si>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</si>
  <si>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</si>
  <si>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</si>
  <si>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</si>
  <si>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</si>
  <si>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</si>
  <si>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</si>
  <si>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</si>
  <si>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</si>
  <si>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</si>
  <si>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</si>
  <si>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</si>
  <si>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</si>
  <si>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</si>
  <si>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</si>
  <si>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</si>
  <si>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</si>
  <si>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</si>
  <si>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</si>
  <si>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</si>
  <si>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</si>
  <si>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</si>
  <si>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</si>
  <si>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</si>
  <si>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</si>
  <si>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</si>
  <si>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</si>
  <si>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</si>
  <si>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</si>
  <si>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</si>
  <si>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</si>
  <si>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</si>
  <si>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</si>
  <si>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</si>
  <si>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</si>
  <si>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</si>
  <si>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</si>
  <si>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</si>
  <si>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</si>
  <si>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</si>
  <si>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</si>
  <si>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</si>
  <si>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</si>
  <si>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</si>
  <si>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</si>
  <si>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</si>
  <si>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</si>
  <si>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</si>
  <si>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</si>
  <si>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</si>
  <si>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</si>
  <si>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</si>
  <si>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</si>
  <si>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</si>
  <si>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</si>
  <si>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</si>
  <si>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</si>
  <si>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</si>
  <si>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</si>
  <si>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</si>
  <si>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</si>
  <si>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</si>
  <si>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</si>
  <si>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</si>
  <si>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</si>
  <si>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</si>
  <si>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</si>
  <si>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</si>
  <si>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</si>
  <si>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</si>
  <si>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</si>
  <si>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</si>
  <si>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</si>
  <si>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</si>
  <si>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</si>
  <si>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</si>
  <si>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</si>
  <si>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</si>
  <si>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</si>
  <si>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</si>
  <si>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</si>
  <si>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</si>
  <si>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</si>
  <si>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</si>
  <si>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</si>
  <si>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</si>
  <si>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</si>
  <si>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</si>
  <si>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</si>
  <si>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</si>
  <si>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</si>
  <si>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</si>
  <si>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</si>
  <si>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</si>
  <si>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</si>
  <si>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</si>
  <si>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</si>
  <si>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</si>
  <si>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</si>
  <si>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</si>
  <si>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</si>
  <si>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</si>
  <si>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</si>
  <si>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</si>
  <si>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</si>
  <si>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</si>
  <si>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</si>
  <si>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</si>
  <si>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</si>
  <si>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</si>
  <si>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</si>
  <si>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</si>
  <si>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</si>
  <si>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</si>
  <si>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</si>
  <si>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</si>
  <si>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</si>
  <si>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</si>
  <si>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</si>
  <si>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</si>
  <si>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</si>
  <si>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</si>
  <si>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</si>
  <si>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</si>
  <si>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</si>
  <si>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</si>
  <si>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</si>
  <si>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</si>
  <si>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</si>
  <si>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</si>
  <si>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</si>
  <si>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</si>
  <si>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</si>
  <si>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</si>
  <si>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</si>
  <si>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</si>
  <si>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</si>
  <si>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</si>
  <si>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</si>
  <si>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</si>
  <si>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</si>
  <si>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</si>
  <si>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</si>
  <si>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</si>
  <si>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</si>
  <si>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</si>
  <si>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</si>
  <si>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</si>
  <si>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</si>
  <si>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</si>
  <si>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</si>
  <si>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</si>
  <si>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</si>
  <si>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</si>
  <si>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</si>
  <si>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</si>
  <si>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</si>
  <si>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</si>
  <si>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</si>
  <si>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</si>
  <si>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</si>
  <si>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</si>
  <si>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</si>
  <si>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</si>
  <si>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</si>
  <si>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</si>
  <si>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</si>
  <si>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</si>
  <si>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</si>
  <si>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</si>
  <si>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</si>
  <si>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</si>
  <si>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</si>
  <si>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</si>
  <si>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</si>
  <si>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</si>
  <si>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</si>
  <si>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</si>
  <si>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</si>
  <si>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</si>
  <si>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</si>
  <si>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</si>
  <si>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</si>
  <si>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</si>
  <si>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</si>
  <si>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</si>
  <si>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</si>
  <si>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</si>
  <si>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</si>
  <si>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</si>
  <si>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</si>
  <si>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</si>
  <si>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</si>
  <si>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</si>
  <si>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</si>
  <si>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</si>
  <si>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</si>
  <si>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</si>
  <si>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</si>
  <si>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</si>
  <si>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</si>
  <si>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</si>
  <si>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</si>
  <si>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</si>
  <si>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</si>
  <si>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</si>
  <si>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</si>
  <si>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</si>
  <si>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</si>
  <si>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</si>
  <si>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</si>
  <si>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</si>
  <si>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</si>
  <si>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</si>
  <si>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</si>
  <si>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</si>
  <si>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</si>
  <si>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</si>
  <si>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</si>
  <si>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</si>
  <si>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</si>
  <si>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</si>
  <si>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</si>
  <si>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</si>
  <si>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OLD</t>
    </r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</si>
  <si>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</si>
  <si>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</si>
  <si>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</si>
  <si>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</si>
  <si>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</si>
  <si>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</si>
  <si>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</si>
  <si>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</si>
  <si>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</si>
  <si>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* Curve shift of serving EES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</si>
</sst>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2-4E3A-9737-2782CCA46CC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2-4E3A-9737-2782CCA46CC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2-4E3A-9737-2782CCA46CC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2-4E3A-9737-2782CCA46CC5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2-4E3A-9737-2782CCA46CC5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D2-4E3A-9737-2782CCA46CC5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D2-4E3A-9737-2782CCA46CC5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D2-4E3A-9737-2782CCA46CC5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D2-4E3A-9737-2782CCA46CC5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D2-4E3A-9737-2782CCA46CC5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D2-4E3A-9737-2782CCA4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05535"/>
        <c:axId val="1"/>
      </c:lineChart>
      <c:catAx>
        <c:axId val="18150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5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C-4EE3-8F0F-5920382B0F2E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C-4EE3-8F0F-5920382B0F2E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C-4EE3-8F0F-5920382B0F2E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C-4EE3-8F0F-5920382B0F2E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C-4EE3-8F0F-5920382B0F2E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AC-4EE3-8F0F-5920382B0F2E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AC-4EE3-8F0F-5920382B0F2E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AC-4EE3-8F0F-5920382B0F2E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AC-4EE3-8F0F-5920382B0F2E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AC-4EE3-8F0F-5920382B0F2E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AC-4EE3-8F0F-5920382B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6927"/>
        <c:axId val="1"/>
      </c:lineChart>
      <c:catAx>
        <c:axId val="18150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69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56A8BF6-E150-15FC-1CE0-72E3024313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58</xdr:row>
          <xdr:rowOff>200025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25D9927-9195-681A-B4BE-7220018E6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FB4E0066-0247-69CD-504F-5F1D2E48D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C2D8E8C8-2C95-8581-ED6E-711AB3B02E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FC04C326-7DD6-4DCF-FD92-259B0DD8B8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02474D3-B73D-99F7-5819-BB15C17DEA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21CD1E9-6D0B-D3CD-1AB1-BB60CAF15A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.75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9390.5575625868332</v>
      </c>
      <c r="C11" s="385">
        <f t="shared" ref="C11:AF11" si="1">C29+C38</f>
        <v>19034.731732178632</v>
      </c>
      <c r="D11" s="385">
        <f t="shared" si="1"/>
        <v>18563.430101741622</v>
      </c>
      <c r="E11" s="385">
        <f t="shared" si="1"/>
        <v>19231.092431413683</v>
      </c>
      <c r="F11" s="385">
        <f t="shared" si="1"/>
        <v>19242.84534886996</v>
      </c>
      <c r="G11" s="385">
        <f t="shared" si="1"/>
        <v>19112.961892816857</v>
      </c>
      <c r="H11" s="385">
        <f t="shared" si="1"/>
        <v>18551.361448892487</v>
      </c>
      <c r="I11" s="385">
        <f t="shared" si="1"/>
        <v>18376.449032851735</v>
      </c>
      <c r="J11" s="385">
        <f t="shared" si="1"/>
        <v>18079.770639687733</v>
      </c>
      <c r="K11" s="385">
        <f t="shared" si="1"/>
        <v>14311.436704799973</v>
      </c>
      <c r="L11" s="385">
        <f t="shared" si="1"/>
        <v>1758.854683369997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1249.899870527775</v>
      </c>
      <c r="D27" s="383">
        <f t="shared" si="5"/>
        <v>1083.7299588793508</v>
      </c>
      <c r="E27" s="383">
        <f t="shared" si="5"/>
        <v>917.44069226595741</v>
      </c>
      <c r="F27" s="383">
        <f t="shared" si="5"/>
        <v>711.5318471855112</v>
      </c>
      <c r="G27" s="383">
        <f t="shared" si="5"/>
        <v>495.60133268151122</v>
      </c>
      <c r="H27" s="383">
        <f t="shared" si="5"/>
        <v>262.84373157255038</v>
      </c>
      <c r="I27" s="383">
        <f t="shared" si="5"/>
        <v>18.132546653009335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1.584267830130929</v>
      </c>
      <c r="D30" s="403">
        <f t="shared" ref="D30:AF30" si="7">IF(D28&gt;0.1,D29/(D27+D26+C44)," ")</f>
        <v>1.4784762660222099</v>
      </c>
      <c r="E30" s="403">
        <f t="shared" si="7"/>
        <v>1.4896424427257624</v>
      </c>
      <c r="F30" s="403">
        <f t="shared" si="7"/>
        <v>1.4976590955642197</v>
      </c>
      <c r="G30" s="403">
        <f t="shared" si="7"/>
        <v>1.4986936682980039</v>
      </c>
      <c r="H30" s="403">
        <f t="shared" si="7"/>
        <v>1.5100536612482236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2349.6335167563611</v>
      </c>
      <c r="D36" s="383">
        <f t="shared" si="10"/>
        <v>2008.0360352906223</v>
      </c>
      <c r="E36" s="383">
        <f t="shared" si="10"/>
        <v>1630.1330322557246</v>
      </c>
      <c r="F36" s="383">
        <f t="shared" si="10"/>
        <v>1218.0919380657488</v>
      </c>
      <c r="G36" s="383">
        <f t="shared" si="10"/>
        <v>767.38157370462091</v>
      </c>
      <c r="H36" s="383">
        <f t="shared" si="10"/>
        <v>287.44779929759216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1.5000000000000002</v>
      </c>
      <c r="C39" s="403">
        <f t="shared" si="12"/>
        <v>1.4157321698690715</v>
      </c>
      <c r="D39" s="403">
        <f t="shared" si="12"/>
        <v>1.5215237339777905</v>
      </c>
      <c r="E39" s="403">
        <f t="shared" si="12"/>
        <v>1.5103575572742378</v>
      </c>
      <c r="F39" s="403">
        <f t="shared" si="12"/>
        <v>1.5023409044357812</v>
      </c>
      <c r="G39" s="403">
        <f t="shared" si="12"/>
        <v>1.5013063317019972</v>
      </c>
      <c r="H39" s="403">
        <f t="shared" si="12"/>
        <v>1.489946338751776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1249.0443606916849</v>
      </c>
      <c r="C44" s="383">
        <f t="shared" ref="C44:AF44" si="15">C42*(C41-C32)/(C41-B41)*$E$64</f>
        <v>1083.7299588793508</v>
      </c>
      <c r="D44" s="383">
        <f t="shared" si="15"/>
        <v>909.95472592644364</v>
      </c>
      <c r="E44" s="383">
        <f t="shared" si="15"/>
        <v>709.58777110030496</v>
      </c>
      <c r="F44" s="383">
        <f t="shared" si="15"/>
        <v>495.60133268151122</v>
      </c>
      <c r="G44" s="383">
        <f t="shared" si="15"/>
        <v>262.84373157255038</v>
      </c>
      <c r="H44" s="383">
        <f t="shared" si="15"/>
        <v>17.984591984071738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4848.5777479758208</v>
      </c>
      <c r="D49" s="383">
        <f t="shared" si="18"/>
        <v>4175.4959530493234</v>
      </c>
      <c r="E49" s="383">
        <f t="shared" si="18"/>
        <v>3457.5284504481256</v>
      </c>
      <c r="F49" s="383">
        <f t="shared" si="18"/>
        <v>2639.2115563515649</v>
      </c>
      <c r="G49" s="383">
        <f t="shared" si="18"/>
        <v>1758.5842390676432</v>
      </c>
      <c r="H49" s="383">
        <f t="shared" si="18"/>
        <v>813.13526244269292</v>
      </c>
      <c r="I49" s="383">
        <f t="shared" si="18"/>
        <v>36.117138637081069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1.5000000000000002</v>
      </c>
      <c r="C52" s="400">
        <f t="shared" ref="C52:AF52" si="20">IF(C33&gt;0.1,(C38+C29)/C50," ")</f>
        <v>1.5000000000000002</v>
      </c>
      <c r="D52" s="400">
        <f t="shared" si="20"/>
        <v>1.5</v>
      </c>
      <c r="E52" s="400">
        <f t="shared" si="20"/>
        <v>1.5</v>
      </c>
      <c r="F52" s="400">
        <f t="shared" si="20"/>
        <v>1.5000000000000002</v>
      </c>
      <c r="G52" s="400">
        <f t="shared" si="20"/>
        <v>1.5000000000000004</v>
      </c>
      <c r="H52" s="400">
        <f t="shared" si="20"/>
        <v>1.4999999999999998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3492.124650001072</v>
      </c>
      <c r="C57" s="383">
        <f t="shared" si="22"/>
        <v>4683.2633461634869</v>
      </c>
      <c r="D57" s="383">
        <f t="shared" si="22"/>
        <v>4001.7207200964167</v>
      </c>
      <c r="E57" s="383">
        <f t="shared" si="22"/>
        <v>3257.1614956219869</v>
      </c>
      <c r="F57" s="383">
        <f t="shared" si="22"/>
        <v>2425.2251179327714</v>
      </c>
      <c r="G57" s="383">
        <f t="shared" si="22"/>
        <v>1525.8266379586823</v>
      </c>
      <c r="H57" s="383">
        <f t="shared" si="22"/>
        <v>568.27612285421424</v>
      </c>
      <c r="I57" s="383">
        <f t="shared" si="22"/>
        <v>18.132546653009335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4" t="s">
        <v>326</v>
      </c>
      <c r="C61" s="645"/>
      <c r="D61" s="645"/>
      <c r="E61" s="646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1.5000000000000016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5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5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5" thickBot="1">
      <c r="A9" s="478" t="s">
        <v>121</v>
      </c>
      <c r="B9" s="479">
        <f>'Returns Analysis'!C39</f>
        <v>5.2786001563072213E-2</v>
      </c>
      <c r="C9" s="480">
        <f>Debt!E69</f>
        <v>1.4999999999999976</v>
      </c>
      <c r="D9" s="481">
        <f>Debt!E68</f>
        <v>1.5000000000000016</v>
      </c>
    </row>
    <row r="10" spans="1:4">
      <c r="A10" s="63"/>
      <c r="C10" s="482"/>
      <c r="D10" s="482"/>
    </row>
    <row r="11" spans="1:4" ht="13.5" thickBot="1"/>
    <row r="12" spans="1:4">
      <c r="A12" s="483" t="s">
        <v>374</v>
      </c>
      <c r="B12" s="484">
        <f>B9</f>
        <v>5.2786001563072213E-2</v>
      </c>
      <c r="C12" s="485">
        <f>C9</f>
        <v>1.4999999999999976</v>
      </c>
      <c r="D12" s="486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46" zoomScale="75" zoomScaleNormal="75" workbookViewId="0">
      <selection activeCell="H25" sqref="H25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75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75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466</v>
      </c>
      <c r="G54" s="13"/>
      <c r="H54" s="560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475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477</v>
      </c>
      <c r="G56" s="13"/>
      <c r="H56" s="608">
        <v>0</v>
      </c>
      <c r="I56" s="13"/>
      <c r="J56" s="40"/>
    </row>
    <row r="57" spans="1:16" ht="15.75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5" thickBot="1">
      <c r="A59" s="13"/>
      <c r="B59" s="13"/>
      <c r="C59" s="82"/>
      <c r="D59" s="13"/>
      <c r="E59" s="13"/>
      <c r="F59" s="102" t="s">
        <v>415</v>
      </c>
      <c r="G59" s="98"/>
      <c r="H59" s="153"/>
      <c r="I59" s="111"/>
      <c r="J59" s="40"/>
    </row>
    <row r="60" spans="1:16" ht="15.75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75">
      <c r="A61" s="41"/>
      <c r="B61" s="13"/>
      <c r="C61" s="13"/>
      <c r="D61" s="40"/>
      <c r="E61" s="13"/>
      <c r="F61" s="102" t="s">
        <v>423</v>
      </c>
      <c r="G61" s="98"/>
      <c r="H61" s="153">
        <f>P17</f>
        <v>2.23</v>
      </c>
      <c r="I61" s="111"/>
      <c r="J61" s="40"/>
    </row>
    <row r="62" spans="1:16" ht="15.75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5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5" thickBot="1">
      <c r="A64" s="102"/>
      <c r="B64" s="98"/>
      <c r="C64" s="97" t="s">
        <v>34</v>
      </c>
      <c r="D64" s="170" t="s">
        <v>33</v>
      </c>
      <c r="E64" s="13"/>
    </row>
    <row r="65" spans="1:10" ht="15.75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75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5.2786001563072213E-2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1" t="s">
        <v>472</v>
      </c>
      <c r="E70" s="13"/>
      <c r="F70" s="41"/>
      <c r="G70" s="13"/>
      <c r="H70" s="13"/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0.12001051306724544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5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75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75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75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5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45.67</v>
      </c>
      <c r="E41" s="546">
        <f>D41</f>
        <v>45.67</v>
      </c>
      <c r="F41" s="546">
        <f t="shared" ref="F41:AH41" si="7">E41</f>
        <v>45.67</v>
      </c>
      <c r="G41" s="546">
        <f t="shared" si="7"/>
        <v>45.67</v>
      </c>
      <c r="H41" s="546">
        <f t="shared" si="7"/>
        <v>45.67</v>
      </c>
      <c r="I41" s="546">
        <f t="shared" si="7"/>
        <v>45.67</v>
      </c>
      <c r="J41" s="546">
        <f t="shared" si="7"/>
        <v>45.67</v>
      </c>
      <c r="K41" s="546">
        <f t="shared" si="7"/>
        <v>45.67</v>
      </c>
      <c r="L41" s="546">
        <f t="shared" si="7"/>
        <v>45.67</v>
      </c>
      <c r="M41" s="546">
        <f t="shared" si="7"/>
        <v>45.67</v>
      </c>
      <c r="N41" s="546">
        <f t="shared" si="7"/>
        <v>45.67</v>
      </c>
      <c r="O41" s="546">
        <f t="shared" si="7"/>
        <v>45.67</v>
      </c>
      <c r="P41" s="546">
        <f t="shared" si="7"/>
        <v>45.67</v>
      </c>
      <c r="Q41" s="546">
        <f t="shared" si="7"/>
        <v>45.67</v>
      </c>
      <c r="R41" s="546">
        <f t="shared" si="7"/>
        <v>45.67</v>
      </c>
      <c r="S41" s="546">
        <f t="shared" si="7"/>
        <v>45.67</v>
      </c>
      <c r="T41" s="546">
        <f t="shared" si="7"/>
        <v>45.67</v>
      </c>
      <c r="U41" s="546">
        <f t="shared" si="7"/>
        <v>45.67</v>
      </c>
      <c r="V41" s="546">
        <f t="shared" si="7"/>
        <v>45.67</v>
      </c>
      <c r="W41" s="546">
        <f t="shared" si="7"/>
        <v>45.67</v>
      </c>
      <c r="X41" s="546">
        <f t="shared" si="7"/>
        <v>45.67</v>
      </c>
      <c r="Y41" s="546">
        <f t="shared" si="7"/>
        <v>45.67</v>
      </c>
      <c r="Z41" s="546">
        <f t="shared" si="7"/>
        <v>45.67</v>
      </c>
      <c r="AA41" s="546">
        <f t="shared" si="7"/>
        <v>45.67</v>
      </c>
      <c r="AB41" s="546">
        <f t="shared" si="7"/>
        <v>45.67</v>
      </c>
      <c r="AC41" s="546">
        <f t="shared" si="7"/>
        <v>45.67</v>
      </c>
      <c r="AD41" s="546">
        <f t="shared" si="7"/>
        <v>45.67</v>
      </c>
      <c r="AE41" s="546">
        <f t="shared" si="7"/>
        <v>45.67</v>
      </c>
      <c r="AF41" s="546">
        <f t="shared" si="7"/>
        <v>45.67</v>
      </c>
      <c r="AG41" s="546">
        <f t="shared" si="7"/>
        <v>45.67</v>
      </c>
      <c r="AH41" s="546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6"/>
  <sheetViews>
    <sheetView workbookViewId="0">
      <selection activeCell="B30" sqref="B30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3" spans="1:32">
      <c r="A3" s="226" t="s">
        <v>462</v>
      </c>
    </row>
    <row r="4" spans="1:32">
      <c r="A4" s="227"/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489</v>
      </c>
      <c r="C7" s="544">
        <v>3.88</v>
      </c>
      <c r="D7" s="544">
        <v>3.77</v>
      </c>
      <c r="E7" s="544">
        <v>3.72</v>
      </c>
      <c r="F7" s="544">
        <v>3.73</v>
      </c>
      <c r="G7" s="544">
        <v>3.74</v>
      </c>
      <c r="H7" s="544">
        <v>3.79</v>
      </c>
      <c r="I7" s="544">
        <v>3.83</v>
      </c>
      <c r="J7" s="544">
        <v>3.86</v>
      </c>
      <c r="K7" s="544">
        <v>3.96</v>
      </c>
      <c r="L7" s="544">
        <v>3.98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B8" s="227" t="s">
        <v>473</v>
      </c>
    </row>
    <row r="9" spans="1:32">
      <c r="A9" s="12" t="s">
        <v>490</v>
      </c>
      <c r="B9" s="563">
        <v>0</v>
      </c>
      <c r="C9" s="553">
        <f>15544.94*(1+$B$9)</f>
        <v>15544.94</v>
      </c>
      <c r="D9" s="553">
        <f>15996.22*(1+B9)</f>
        <v>15996.22</v>
      </c>
      <c r="E9" s="553">
        <f>16200.055*(1+B9)</f>
        <v>16200.055</v>
      </c>
      <c r="F9" s="553">
        <f>16546.175*(1+B9)</f>
        <v>16546.174999999999</v>
      </c>
      <c r="G9" s="553">
        <f>16734.54*(1+B9)</f>
        <v>16734.54</v>
      </c>
      <c r="H9" s="553">
        <f>16892.733*(1+B9)</f>
        <v>16892.733</v>
      </c>
      <c r="I9" s="553">
        <f>17049.164*(1+B9)</f>
        <v>17049.164000000001</v>
      </c>
      <c r="J9" s="553">
        <f>17195.86*(1+B9)</f>
        <v>17195.86</v>
      </c>
      <c r="K9" s="553">
        <f>17267.466*(1+B9)</f>
        <v>17267.466</v>
      </c>
      <c r="L9" s="553">
        <f>17393.797*(1+B9)</f>
        <v>17393.796999999999</v>
      </c>
    </row>
    <row r="10" spans="1:32">
      <c r="A10" s="12" t="s">
        <v>491</v>
      </c>
      <c r="C10" s="545">
        <v>15206.799000000001</v>
      </c>
      <c r="D10" s="545">
        <v>15739.444</v>
      </c>
      <c r="E10" s="545">
        <v>16041.814</v>
      </c>
      <c r="F10" s="545">
        <v>16456.276000000002</v>
      </c>
      <c r="G10" s="545">
        <v>16683.259999999998</v>
      </c>
      <c r="H10" s="545">
        <v>16872.562999999998</v>
      </c>
      <c r="I10" s="545">
        <v>17029.12</v>
      </c>
      <c r="J10" s="545">
        <v>17170.03</v>
      </c>
      <c r="K10" s="545">
        <v>17245.233</v>
      </c>
      <c r="L10" s="545">
        <v>17360.898000000001</v>
      </c>
    </row>
    <row r="11" spans="1:32">
      <c r="A11" s="11" t="s">
        <v>492</v>
      </c>
    </row>
    <row r="12" spans="1:32">
      <c r="A12" s="12" t="s">
        <v>235</v>
      </c>
      <c r="C12" s="545">
        <v>14580.003000000001</v>
      </c>
      <c r="D12" s="545">
        <v>14997.486999999999</v>
      </c>
      <c r="E12" s="545">
        <v>15203.159</v>
      </c>
      <c r="F12" s="545">
        <v>15546.749</v>
      </c>
      <c r="G12" s="545">
        <v>15741.839</v>
      </c>
      <c r="H12" s="545">
        <v>15910.637000000001</v>
      </c>
      <c r="I12" s="545">
        <v>16076.874</v>
      </c>
      <c r="J12" s="545">
        <v>16234.955</v>
      </c>
      <c r="K12" s="545">
        <v>16321.38</v>
      </c>
      <c r="L12" s="545">
        <v>16456.793000000001</v>
      </c>
    </row>
    <row r="13" spans="1:32">
      <c r="A13" s="12" t="s">
        <v>244</v>
      </c>
      <c r="C13" s="545">
        <v>964.93700000000001</v>
      </c>
      <c r="D13" s="545">
        <v>998.73299999999995</v>
      </c>
      <c r="E13" s="545">
        <v>996.89599999999996</v>
      </c>
      <c r="F13" s="545">
        <v>999.42600000000004</v>
      </c>
      <c r="G13" s="545">
        <v>992.70100000000002</v>
      </c>
      <c r="H13" s="545">
        <v>982.09699999999998</v>
      </c>
      <c r="I13" s="545">
        <v>972.29</v>
      </c>
      <c r="J13" s="545">
        <v>960.90499999999997</v>
      </c>
      <c r="K13" s="545">
        <v>946.08500000000004</v>
      </c>
      <c r="L13" s="545">
        <v>937.00400000000002</v>
      </c>
    </row>
    <row r="14" spans="1:32">
      <c r="A14" s="226" t="s">
        <v>486</v>
      </c>
    </row>
    <row r="15" spans="1:32">
      <c r="A15" s="11" t="s">
        <v>41</v>
      </c>
    </row>
    <row r="16" spans="1:32">
      <c r="A16" s="12" t="s">
        <v>470</v>
      </c>
      <c r="C16" s="544">
        <v>4.08</v>
      </c>
      <c r="D16" s="544">
        <v>3.98</v>
      </c>
      <c r="E16" s="544">
        <v>3.95</v>
      </c>
      <c r="F16" s="544">
        <v>3.99</v>
      </c>
      <c r="G16" s="544">
        <v>4.0199999999999996</v>
      </c>
      <c r="H16" s="544">
        <v>4.0599999999999996</v>
      </c>
      <c r="I16" s="544">
        <v>4.12</v>
      </c>
      <c r="J16" s="544">
        <v>4.16</v>
      </c>
      <c r="K16" s="544">
        <v>4.28</v>
      </c>
      <c r="L16" s="544">
        <v>4.3</v>
      </c>
    </row>
    <row r="18" spans="1:12">
      <c r="A18" s="12" t="s">
        <v>464</v>
      </c>
      <c r="C18" s="553">
        <v>16212.968999999999</v>
      </c>
      <c r="D18" s="553">
        <v>16706.766</v>
      </c>
      <c r="E18" s="553">
        <v>17054.900000000001</v>
      </c>
      <c r="F18" s="553">
        <v>17542.91</v>
      </c>
      <c r="G18" s="553">
        <v>17820.478999999999</v>
      </c>
      <c r="H18" s="553">
        <v>17994.330999999998</v>
      </c>
      <c r="I18" s="553">
        <v>18236.170999999998</v>
      </c>
      <c r="J18" s="553">
        <v>18473.848000000002</v>
      </c>
      <c r="K18" s="553">
        <v>18632.525000000001</v>
      </c>
      <c r="L18" s="553">
        <v>18794.405999999999</v>
      </c>
    </row>
    <row r="20" spans="1:12">
      <c r="A20" s="226" t="s">
        <v>487</v>
      </c>
    </row>
    <row r="21" spans="1:12">
      <c r="A21" s="11" t="s">
        <v>41</v>
      </c>
    </row>
    <row r="22" spans="1:12">
      <c r="A22" s="12" t="s">
        <v>470</v>
      </c>
      <c r="C22" s="544">
        <v>4.26</v>
      </c>
      <c r="D22" s="544">
        <v>4.18</v>
      </c>
      <c r="E22" s="544">
        <v>4.17</v>
      </c>
      <c r="F22" s="544">
        <v>4.2300000000000004</v>
      </c>
      <c r="G22" s="544">
        <v>4.28</v>
      </c>
      <c r="H22" s="544">
        <v>4.3099999999999996</v>
      </c>
      <c r="I22" s="544">
        <v>4.3899999999999997</v>
      </c>
      <c r="J22" s="544">
        <v>4.45</v>
      </c>
      <c r="K22" s="544">
        <v>4.58</v>
      </c>
      <c r="L22" s="544">
        <v>4.6100000000000003</v>
      </c>
    </row>
    <row r="24" spans="1:12">
      <c r="A24" s="12" t="s">
        <v>464</v>
      </c>
      <c r="C24" s="553">
        <v>17052.151999999998</v>
      </c>
      <c r="D24" s="553">
        <v>17515.977999999999</v>
      </c>
      <c r="E24" s="553">
        <v>17901.733</v>
      </c>
      <c r="F24" s="553">
        <v>18445.41</v>
      </c>
      <c r="G24" s="553">
        <v>18763.184000000001</v>
      </c>
      <c r="H24" s="553">
        <v>18931.931</v>
      </c>
      <c r="I24" s="553">
        <v>19238.37</v>
      </c>
      <c r="J24" s="553">
        <v>19549.835999999999</v>
      </c>
      <c r="K24" s="553">
        <v>19771.198</v>
      </c>
      <c r="L24" s="553">
        <v>19970.675999999999</v>
      </c>
    </row>
    <row r="27" spans="1:12">
      <c r="A27" s="226" t="s">
        <v>483</v>
      </c>
    </row>
    <row r="29" spans="1:12">
      <c r="A29" s="12" t="s">
        <v>460</v>
      </c>
      <c r="B29" s="227" t="s">
        <v>473</v>
      </c>
      <c r="C29" s="18">
        <v>444454.18</v>
      </c>
      <c r="D29" s="18">
        <v>780058.98</v>
      </c>
      <c r="E29" s="18">
        <v>853098.52</v>
      </c>
      <c r="F29" s="18">
        <v>895576.95</v>
      </c>
      <c r="G29" s="18">
        <v>890978.86</v>
      </c>
      <c r="H29" s="18">
        <v>884420.04</v>
      </c>
      <c r="I29" s="18">
        <v>829190.78</v>
      </c>
      <c r="J29" s="18">
        <v>839458.88</v>
      </c>
      <c r="K29" s="18">
        <v>829528.9</v>
      </c>
      <c r="L29" s="18">
        <v>563847.9</v>
      </c>
    </row>
    <row r="30" spans="1:12">
      <c r="A30" s="12" t="s">
        <v>471</v>
      </c>
      <c r="B30" s="563">
        <f>Assumptions!H56</f>
        <v>0</v>
      </c>
      <c r="C30" s="586">
        <f>15094.311*(1+B30)</f>
        <v>15094.311</v>
      </c>
      <c r="D30" s="586">
        <f>24529.596*(1+B30)</f>
        <v>24529.596000000001</v>
      </c>
      <c r="E30" s="586">
        <f>26860.987*(1+B30)</f>
        <v>26860.987000000001</v>
      </c>
      <c r="F30" s="586">
        <f>28207.44*(1+B30)</f>
        <v>28207.439999999999</v>
      </c>
      <c r="G30" s="586">
        <f>28131.985*(1+B30)</f>
        <v>28131.985000000001</v>
      </c>
      <c r="H30" s="586">
        <f>28053.979*(1+B30)</f>
        <v>28053.978999999999</v>
      </c>
      <c r="I30" s="586">
        <f>26286.585*(1+B30)</f>
        <v>26286.584999999999</v>
      </c>
      <c r="J30" s="586">
        <f>26802.971*(1+B30)</f>
        <v>26802.971000000001</v>
      </c>
      <c r="K30" s="586">
        <f>26892.872*(1+B30)</f>
        <v>26892.871999999999</v>
      </c>
      <c r="L30" s="586">
        <f>19682.798*(1+B30)</f>
        <v>19682.797999999999</v>
      </c>
    </row>
    <row r="31" spans="1:12">
      <c r="A31" s="226" t="s">
        <v>485</v>
      </c>
    </row>
    <row r="32" spans="1:12">
      <c r="A32" s="12" t="s">
        <v>460</v>
      </c>
      <c r="C32" s="66">
        <f>C29</f>
        <v>444454.18</v>
      </c>
      <c r="D32" s="66">
        <f t="shared" ref="D32:L32" si="0">D29</f>
        <v>780058.98</v>
      </c>
      <c r="E32" s="66">
        <f t="shared" si="0"/>
        <v>853098.52</v>
      </c>
      <c r="F32" s="66">
        <f t="shared" si="0"/>
        <v>895576.95</v>
      </c>
      <c r="G32" s="66">
        <f t="shared" si="0"/>
        <v>890978.86</v>
      </c>
      <c r="H32" s="66">
        <f t="shared" si="0"/>
        <v>884420.04</v>
      </c>
      <c r="I32" s="66">
        <f t="shared" si="0"/>
        <v>829190.78</v>
      </c>
      <c r="J32" s="66">
        <f t="shared" si="0"/>
        <v>839458.88</v>
      </c>
      <c r="K32" s="66">
        <f t="shared" si="0"/>
        <v>829528.9</v>
      </c>
      <c r="L32" s="66">
        <f t="shared" si="0"/>
        <v>563847.9</v>
      </c>
    </row>
    <row r="33" spans="1:12">
      <c r="A33" s="12" t="s">
        <v>471</v>
      </c>
      <c r="C33" s="553">
        <v>16603.742999999999</v>
      </c>
      <c r="D33" s="553">
        <v>26982.556</v>
      </c>
      <c r="E33" s="553">
        <v>29547.084999999999</v>
      </c>
      <c r="F33" s="553">
        <v>31028.184000000001</v>
      </c>
      <c r="G33" s="553">
        <v>30945.183000000001</v>
      </c>
      <c r="H33" s="553">
        <v>30859.377</v>
      </c>
      <c r="I33" s="553">
        <v>28915.242999999999</v>
      </c>
      <c r="J33" s="553">
        <v>29483.268</v>
      </c>
      <c r="K33" s="553">
        <v>29582.159</v>
      </c>
      <c r="L33" s="553">
        <v>21651.078000000001</v>
      </c>
    </row>
    <row r="34" spans="1:12">
      <c r="A34" s="226" t="s">
        <v>484</v>
      </c>
    </row>
    <row r="35" spans="1:12">
      <c r="A35" s="12" t="s">
        <v>460</v>
      </c>
      <c r="C35" s="66">
        <f>C29</f>
        <v>444454.18</v>
      </c>
      <c r="D35" s="66">
        <f t="shared" ref="D35:L35" si="1">D29</f>
        <v>780058.98</v>
      </c>
      <c r="E35" s="66">
        <f t="shared" si="1"/>
        <v>853098.52</v>
      </c>
      <c r="F35" s="66">
        <f t="shared" si="1"/>
        <v>895576.95</v>
      </c>
      <c r="G35" s="66">
        <f t="shared" si="1"/>
        <v>890978.86</v>
      </c>
      <c r="H35" s="66">
        <f t="shared" si="1"/>
        <v>884420.04</v>
      </c>
      <c r="I35" s="66">
        <f t="shared" si="1"/>
        <v>829190.78</v>
      </c>
      <c r="J35" s="66">
        <f t="shared" si="1"/>
        <v>839458.88</v>
      </c>
      <c r="K35" s="66">
        <f t="shared" si="1"/>
        <v>829528.9</v>
      </c>
      <c r="L35" s="66">
        <f t="shared" si="1"/>
        <v>563847.9</v>
      </c>
    </row>
    <row r="36" spans="1:12">
      <c r="A36" s="12" t="s">
        <v>471</v>
      </c>
      <c r="C36" s="553">
        <v>13584.88</v>
      </c>
      <c r="D36" s="553">
        <v>22076.635999999999</v>
      </c>
      <c r="E36" s="553">
        <v>24174.887999999999</v>
      </c>
      <c r="F36" s="553">
        <v>25386.696</v>
      </c>
      <c r="G36" s="553">
        <v>25318.786</v>
      </c>
      <c r="H36" s="553">
        <v>25248.580999999998</v>
      </c>
      <c r="I36" s="553">
        <v>23657.925999999999</v>
      </c>
      <c r="J36" s="553">
        <v>24122.673999999999</v>
      </c>
      <c r="K36" s="553">
        <v>24203.583999999999</v>
      </c>
      <c r="L36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9"/>
  <sheetViews>
    <sheetView tabSelected="1" workbookViewId="0">
      <selection activeCell="S48" sqref="S48"/>
    </sheetView>
  </sheetViews>
  <sheetFormatPr defaultRowHeight="12.75"/>
  <cols>
    <col min="1" max="1" width="1.7109375" style="12" customWidth="1"/>
    <col min="2" max="2" width="18" style="12" customWidth="1"/>
    <col min="3" max="3" width="1.42578125" style="12" customWidth="1"/>
    <col min="4" max="4" width="10.5703125" style="12" bestFit="1" customWidth="1"/>
    <col min="5" max="5" width="1.85546875" style="12" customWidth="1"/>
    <col min="6" max="6" width="9.42578125" style="12" bestFit="1" customWidth="1"/>
    <col min="7" max="7" width="1.85546875" style="12" customWidth="1"/>
    <col min="8" max="8" width="9.5703125" style="12" bestFit="1" customWidth="1"/>
    <col min="9" max="9" width="1.42578125" style="12" customWidth="1"/>
    <col min="10" max="10" width="16.5703125" style="12" bestFit="1" customWidth="1"/>
    <col min="11" max="11" width="1.85546875" style="12" customWidth="1"/>
    <col min="12" max="12" width="8.7109375" style="12" customWidth="1"/>
    <col min="13" max="15" width="8.7109375" style="612" customWidth="1"/>
    <col min="16" max="16" width="9.42578125" style="612" customWidth="1"/>
    <col min="17" max="28" width="8.7109375" style="612" customWidth="1"/>
    <col min="29" max="36" width="9.140625" style="612"/>
    <col min="37" max="41" width="9.140625" style="610"/>
    <col min="42" max="16384" width="9.14062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5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5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5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5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5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5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5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75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3" t="s">
        <v>495</v>
      </c>
      <c r="O32" s="643"/>
      <c r="P32" s="643"/>
      <c r="Q32" s="643"/>
    </row>
    <row r="33" spans="2:17" ht="13.5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1" t="s">
        <v>1</v>
      </c>
      <c r="P34" s="641"/>
      <c r="Q34" s="641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2" t="s">
        <v>493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2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2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494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1" t="s">
        <v>477</v>
      </c>
      <c r="P41" s="641"/>
      <c r="Q41" s="641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2" t="s">
        <v>493</v>
      </c>
      <c r="N42" s="634"/>
      <c r="O42" s="636" t="s">
        <v>496</v>
      </c>
      <c r="P42" s="637">
        <v>0</v>
      </c>
      <c r="Q42" s="636" t="s">
        <v>497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2"/>
      <c r="N43" s="638">
        <v>250</v>
      </c>
      <c r="O43" s="640">
        <v>42.46</v>
      </c>
      <c r="P43" s="640">
        <v>45.67</v>
      </c>
      <c r="Q43" s="640">
        <v>48.87</v>
      </c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2"/>
      <c r="N44" s="639">
        <v>200</v>
      </c>
      <c r="O44" s="635">
        <v>43.83</v>
      </c>
      <c r="P44" s="635">
        <v>47.02</v>
      </c>
      <c r="Q44" s="635">
        <v>50.22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45.19</v>
      </c>
      <c r="P45" s="635">
        <v>48.39</v>
      </c>
      <c r="Q45" s="635">
        <v>51.59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498</v>
      </c>
    </row>
    <row r="47" spans="2:17" ht="13.5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 t="s">
        <v>500</v>
      </c>
    </row>
    <row r="48" spans="2:17" ht="13.5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1" t="s">
        <v>475</v>
      </c>
      <c r="P48" s="641"/>
      <c r="Q48" s="641"/>
    </row>
    <row r="49" spans="2:17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2" t="s">
        <v>493</v>
      </c>
      <c r="N49" s="634"/>
      <c r="O49" s="637">
        <v>0.7</v>
      </c>
      <c r="P49" s="637">
        <v>0.6</v>
      </c>
      <c r="Q49" s="637">
        <v>0.5</v>
      </c>
    </row>
    <row r="50" spans="2:17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2"/>
      <c r="N50" s="638">
        <v>250</v>
      </c>
      <c r="O50" s="635">
        <v>45.67</v>
      </c>
      <c r="P50" s="640">
        <v>44.9</v>
      </c>
      <c r="Q50" s="640">
        <v>44.19</v>
      </c>
    </row>
    <row r="51" spans="2:17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2"/>
      <c r="N51" s="639">
        <v>200</v>
      </c>
      <c r="O51" s="635">
        <v>47.02</v>
      </c>
      <c r="P51" s="635">
        <v>46.27</v>
      </c>
      <c r="Q51" s="635">
        <v>45.57</v>
      </c>
    </row>
    <row r="52" spans="2:17" ht="13.5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17" ht="13.5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499</v>
      </c>
    </row>
    <row r="54" spans="2:17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17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M55" s="623"/>
      <c r="N55" s="616"/>
    </row>
    <row r="56" spans="2:17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M56" s="627"/>
      <c r="N56" s="623"/>
    </row>
    <row r="57" spans="2:17" ht="13.5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M57" s="629"/>
      <c r="N57" s="627"/>
    </row>
    <row r="58" spans="2:17">
      <c r="M58" s="629"/>
      <c r="N58" s="629"/>
    </row>
    <row r="59" spans="2:17">
      <c r="N59" s="629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F38" sqref="F38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IF(Assumptions!$H$55=70%,Options!C7*12*Assumptions!$H$67,IF(Assumptions!$H$55=60%,Options!C16*12*Assumptions!$H$67,IF(Assumptions!$H$55=50%,Options!C22*12*Assumptions!$H$67,0)))</f>
        <v>8753.2800000000007</v>
      </c>
      <c r="D10" s="74">
        <f>IF(Assumptions!$H$55=70%,Options!D7*12*Assumptions!$H$67,IF(Assumptions!$H$55=60%,Options!D16*12*Assumptions!$H$67,IF(Assumptions!$H$55=50%,Options!D22*12*Assumptions!$H$67,0)))</f>
        <v>8505.1200000000008</v>
      </c>
      <c r="E10" s="74">
        <f>IF(Assumptions!$H$55=70%,Options!E7*12*Assumptions!$H$67,IF(Assumptions!$H$55=60%,Options!E16*12*Assumptions!$H$67,IF(Assumptions!$H$55=50%,Options!E22*12*Assumptions!$H$67,0)))</f>
        <v>8392.32</v>
      </c>
      <c r="F10" s="74">
        <f>IF(Assumptions!$H$55=70%,Options!F7*12*Assumptions!$H$67,IF(Assumptions!$H$55=60%,Options!F16*12*Assumptions!$H$67,IF(Assumptions!$H$55=50%,Options!F22*12*Assumptions!$H$67,0)))</f>
        <v>8414.8799999999992</v>
      </c>
      <c r="G10" s="74">
        <f>IF(Assumptions!$H$55=70%,Options!G7*12*Assumptions!$H$67,IF(Assumptions!$H$55=60%,Options!G16*12*Assumptions!$H$67,IF(Assumptions!$H$55=50%,Options!G22*12*Assumptions!$H$67,0)))</f>
        <v>8437.44</v>
      </c>
      <c r="H10" s="74">
        <f>IF(Assumptions!$H$55=70%,Options!H7*12*Assumptions!$H$67,IF(Assumptions!$H$55=60%,Options!H16*12*Assumptions!$H$67,IF(Assumptions!$H$55=50%,Options!H22*12*Assumptions!$H$67,0)))</f>
        <v>8550.2400000000016</v>
      </c>
      <c r="I10" s="74">
        <f>IF(Assumptions!$H$55=70%,Options!I7*12*Assumptions!$H$67,IF(Assumptions!$H$55=60%,Options!I16*12*Assumptions!$H$67,IF(Assumptions!$H$55=50%,Options!I22*12*Assumptions!$H$67,0)))</f>
        <v>8640.48</v>
      </c>
      <c r="J10" s="74">
        <f>IF(Assumptions!$H$55=70%,Options!J7*12*Assumptions!$H$67,IF(Assumptions!$H$55=60%,Options!J16*12*Assumptions!$H$67,IF(Assumptions!$H$55=50%,Options!J22*12*Assumptions!$H$67,0)))</f>
        <v>8708.16</v>
      </c>
      <c r="K10" s="74">
        <f>IF(Assumptions!$H$55=70%,Options!K7*12*Assumptions!$H$67,IF(Assumptions!$H$55=60%,Options!K16*12*Assumptions!$H$67,IF(Assumptions!$H$55=50%,Options!K22*12*Assumptions!$H$67,0)))</f>
        <v>8933.7599999999984</v>
      </c>
      <c r="L10" s="74">
        <f>IF(Assumptions!$H$55=70%,Options!L7*12*Assumptions!$H$67,IF(Assumptions!$H$55=60%,Options!L16*12*Assumptions!$H$67,IF(Assumptions!$H$55=50%,Options!L22*12*Assumptions!$H$67,0)))</f>
        <v>8978.8799999999992</v>
      </c>
      <c r="M10" s="74">
        <f>Options!M6*12*Assumptions!$H$67</f>
        <v>0</v>
      </c>
      <c r="N10" s="74">
        <f>Options!N6*12*Assumptions!$H$67</f>
        <v>0</v>
      </c>
      <c r="O10" s="74">
        <f>Options!O6*12*Assumptions!$H$67</f>
        <v>0</v>
      </c>
      <c r="P10" s="74">
        <f>Options!P6*12*Assumptions!$H$67</f>
        <v>0</v>
      </c>
      <c r="Q10" s="74">
        <f>Options!Q6*12*Assumptions!$H$67</f>
        <v>0</v>
      </c>
      <c r="R10" s="74">
        <f>Options!R6*12*Assumptions!$H$67</f>
        <v>0</v>
      </c>
      <c r="S10" s="74">
        <f>Options!S6*12*Assumptions!$H$67</f>
        <v>0</v>
      </c>
      <c r="T10" s="74">
        <f>Options!T6*12*Assumptions!$H$67</f>
        <v>0</v>
      </c>
      <c r="U10" s="74">
        <f>Options!U6*12*Assumptions!$H$67</f>
        <v>0</v>
      </c>
      <c r="V10" s="74">
        <f>Options!V6*12*Assumptions!$H$67</f>
        <v>0</v>
      </c>
      <c r="W10" s="74">
        <f>Options!W6*12*Assumptions!$H$67</f>
        <v>0</v>
      </c>
      <c r="X10" s="74">
        <f>Options!X6*12*Assumptions!$H$67</f>
        <v>0</v>
      </c>
      <c r="Y10" s="74">
        <f>Options!Y6*12*Assumptions!$H$67</f>
        <v>0</v>
      </c>
      <c r="Z10" s="74">
        <f>Options!Z6*12*Assumptions!$H$67</f>
        <v>0</v>
      </c>
      <c r="AA10" s="74">
        <f>Options!AA6*12*Assumptions!$H$67</f>
        <v>0</v>
      </c>
      <c r="AB10" s="74">
        <f>Options!AB6*12*Assumptions!$H$67</f>
        <v>0</v>
      </c>
      <c r="AC10" s="74">
        <f>Options!AC6*12*Assumptions!$H$67</f>
        <v>0</v>
      </c>
      <c r="AD10" s="74">
        <f>Options!AD6*12*Assumptions!$H$67</f>
        <v>0</v>
      </c>
      <c r="AE10" s="74">
        <f>Options!AE6*12*Assumptions!$H$67</f>
        <v>0</v>
      </c>
      <c r="AF10" s="74">
        <f>Options!AF6*12*Assumptions!$H$67</f>
        <v>0</v>
      </c>
      <c r="AG10" s="74">
        <f>Options!AG6*12*Assumptions!$H$67</f>
        <v>0</v>
      </c>
    </row>
    <row r="11" spans="1:43">
      <c r="A11" s="3" t="s">
        <v>468</v>
      </c>
      <c r="C11" s="74">
        <f>IF(Assumptions!$B$16="Yes",Options!C29/1000*'Price_Technical Assumption'!D41,0)</f>
        <v>20298.2224006</v>
      </c>
      <c r="D11" s="74">
        <f>IF(Assumptions!$B$16="Yes",Options!D29/1000*'Price_Technical Assumption'!E41,0)</f>
        <v>35625.2936166</v>
      </c>
      <c r="E11" s="74">
        <f>IF(Assumptions!$B$16="Yes",Options!E29/1000*'Price_Technical Assumption'!F41,0)</f>
        <v>38961.009408400001</v>
      </c>
      <c r="F11" s="74">
        <f>IF(Assumptions!$B$16="Yes",Options!F29/1000*'Price_Technical Assumption'!G41,0)</f>
        <v>40900.999306499994</v>
      </c>
      <c r="G11" s="74">
        <f>IF(Assumptions!$B$16="Yes",Options!G29/1000*'Price_Technical Assumption'!H41,0)</f>
        <v>40691.004536200002</v>
      </c>
      <c r="H11" s="74">
        <f>IF(Assumptions!$B$16="Yes",Options!H29/1000*'Price_Technical Assumption'!I41,0)</f>
        <v>40391.463226800006</v>
      </c>
      <c r="I11" s="74">
        <f>IF(Assumptions!$B$16="Yes",Options!I29/1000*'Price_Technical Assumption'!J41,0)</f>
        <v>37869.142922600004</v>
      </c>
      <c r="J11" s="74">
        <f>IF(Assumptions!$B$16="Yes",Options!J29/1000*'Price_Technical Assumption'!K41,0)</f>
        <v>38338.087049599999</v>
      </c>
      <c r="K11" s="74">
        <f>IF(Assumptions!$B$16="Yes",Options!K29/1000*'Price_Technical Assumption'!L41,0)</f>
        <v>37884.584863000004</v>
      </c>
      <c r="L11" s="74">
        <f>IF(Assumptions!$B$16="Yes",Options!L29/1000*'Price_Technical Assumption'!M41,0)</f>
        <v>25750.933593000002</v>
      </c>
      <c r="M11" s="74">
        <f>Options!M29/1000*'Price_Technical Assumption'!N41</f>
        <v>0</v>
      </c>
      <c r="N11" s="74">
        <f>Options!N29/1000*'Price_Technical Assumption'!O41</f>
        <v>0</v>
      </c>
      <c r="O11" s="74">
        <f>Options!O29/1000*'Price_Technical Assumption'!P41</f>
        <v>0</v>
      </c>
      <c r="P11" s="74">
        <f>Options!P29/1000*'Price_Technical Assumption'!Q41</f>
        <v>0</v>
      </c>
      <c r="Q11" s="74">
        <f>Options!Q29/1000*'Price_Technical Assumption'!R41</f>
        <v>0</v>
      </c>
      <c r="R11" s="74">
        <f>Options!R29/1000*'Price_Technical Assumption'!S41</f>
        <v>0</v>
      </c>
      <c r="S11" s="74">
        <f>Options!S29/1000*'Price_Technical Assumption'!T41</f>
        <v>0</v>
      </c>
      <c r="T11" s="74">
        <f>Options!T29/1000*'Price_Technical Assumption'!U41</f>
        <v>0</v>
      </c>
      <c r="U11" s="74">
        <f>Options!U29/1000*'Price_Technical Assumption'!V41</f>
        <v>0</v>
      </c>
      <c r="V11" s="74">
        <f>Options!V29/1000*'Price_Technical Assumption'!W41</f>
        <v>0</v>
      </c>
      <c r="W11" s="74">
        <f>Options!W29/1000*'Price_Technical Assumption'!X41</f>
        <v>0</v>
      </c>
      <c r="X11" s="74">
        <f>Options!X29/1000*'Price_Technical Assumption'!Y41</f>
        <v>0</v>
      </c>
      <c r="Y11" s="74">
        <f>Options!Y29/1000*'Price_Technical Assumption'!Z41</f>
        <v>0</v>
      </c>
      <c r="Z11" s="74">
        <f>Options!Z29/1000*'Price_Technical Assumption'!AA41</f>
        <v>0</v>
      </c>
      <c r="AA11" s="74">
        <f>Options!AA29/1000*'Price_Technical Assumption'!AB41</f>
        <v>0</v>
      </c>
      <c r="AB11" s="74">
        <f>Options!AB29/1000*'Price_Technical Assumption'!AC41</f>
        <v>0</v>
      </c>
      <c r="AC11" s="74">
        <f>Options!AC29/1000*'Price_Technical Assumption'!AD41</f>
        <v>0</v>
      </c>
      <c r="AD11" s="74">
        <f>Options!AD29/1000*'Price_Technical Assumption'!AE41</f>
        <v>0</v>
      </c>
      <c r="AE11" s="74">
        <f>Options!AE29/1000*'Price_Technical Assumption'!AF41</f>
        <v>0</v>
      </c>
      <c r="AF11" s="74">
        <f>Options!AF29/1000*'Price_Technical Assumption'!AG41</f>
        <v>0</v>
      </c>
      <c r="AG11" s="74">
        <f>Options!AG29/1000*'Price_Technical Assumption'!AH41</f>
        <v>0</v>
      </c>
    </row>
    <row r="12" spans="1:43">
      <c r="A12" s="206" t="s">
        <v>459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IF(Assumptions!$B$16="Yes",Options!C30,0)</f>
        <v>15094.311</v>
      </c>
      <c r="D16" s="36">
        <f>IF(Assumptions!$B$16="Yes",Options!D30,0)</f>
        <v>24529.596000000001</v>
      </c>
      <c r="E16" s="36">
        <f>IF(Assumptions!$B$16="Yes",Options!E30,0)</f>
        <v>26860.987000000001</v>
      </c>
      <c r="F16" s="36">
        <f>IF(Assumptions!$B$16="Yes",Options!F30,0)</f>
        <v>28207.439999999999</v>
      </c>
      <c r="G16" s="36">
        <f>IF(Assumptions!$B$16="Yes",Options!G30,0)</f>
        <v>28131.985000000001</v>
      </c>
      <c r="H16" s="36">
        <f>IF(Assumptions!$B$16="Yes",Options!H30,0)</f>
        <v>28053.978999999999</v>
      </c>
      <c r="I16" s="36">
        <f>IF(Assumptions!$B$16="Yes",Options!I30,0)</f>
        <v>26286.584999999999</v>
      </c>
      <c r="J16" s="36">
        <f>IF(Assumptions!$B$16="Yes",Options!J30,0)</f>
        <v>26802.971000000001</v>
      </c>
      <c r="K16" s="36">
        <f>IF(Assumptions!$B$16="Yes",Options!K30,0)</f>
        <v>26892.871999999999</v>
      </c>
      <c r="L16" s="36">
        <f>IF(Assumptions!$B$16="Yes",Options!L30,0)</f>
        <v>19682.797999999999</v>
      </c>
      <c r="M16" s="36">
        <f>IF(Assumptions!$B$16="Yes",Options!M30,0)</f>
        <v>0</v>
      </c>
      <c r="N16" s="36">
        <f>IF(Assumptions!$B$16="Yes",Options!N30,0)</f>
        <v>0</v>
      </c>
      <c r="O16" s="36">
        <f>IF(Assumptions!$B$16="Yes",Options!O30,0)</f>
        <v>0</v>
      </c>
      <c r="P16" s="36">
        <f>IF(Assumptions!$B$16="Yes",Options!P30,0)</f>
        <v>0</v>
      </c>
      <c r="Q16" s="36">
        <f>IF(Assumptions!$B$16="Yes",Options!Q30,0)</f>
        <v>0</v>
      </c>
      <c r="R16" s="36">
        <f>IF(Assumptions!$B$16="Yes",Options!R30,0)</f>
        <v>0</v>
      </c>
      <c r="S16" s="36">
        <f>IF(Assumptions!$B$16="Yes",Options!S30,0)</f>
        <v>0</v>
      </c>
      <c r="T16" s="36">
        <f>IF(Assumptions!$B$16="Yes",Options!T30,0)</f>
        <v>0</v>
      </c>
      <c r="U16" s="36">
        <f>IF(Assumptions!$B$16="Yes",Options!U30,0)</f>
        <v>0</v>
      </c>
      <c r="V16" s="36">
        <f>IF(Assumptions!$B$16="Yes",Options!V30,0)</f>
        <v>0</v>
      </c>
      <c r="W16" s="36">
        <f>IF(Assumptions!$B$16="Yes",Options!W30,0)</f>
        <v>0</v>
      </c>
      <c r="X16" s="36">
        <f>IF(Assumptions!$B$16="Yes",Options!X30,0)</f>
        <v>0</v>
      </c>
      <c r="Y16" s="36">
        <f>IF(Assumptions!$B$16="Yes",Options!Y30,0)</f>
        <v>0</v>
      </c>
      <c r="Z16" s="36">
        <f>IF(Assumptions!$B$16="Yes",Options!Z30,0)</f>
        <v>0</v>
      </c>
      <c r="AA16" s="36">
        <f>IF(Assumptions!$B$16="Yes",Options!AA30,0)</f>
        <v>0</v>
      </c>
      <c r="AB16" s="36">
        <f>IF(Assumptions!$B$16="Yes",Options!AB30,0)</f>
        <v>0</v>
      </c>
      <c r="AC16" s="36">
        <f>IF(Assumptions!$B$16="Yes",Options!AC30,0)</f>
        <v>0</v>
      </c>
      <c r="AD16" s="36">
        <f>IF(Assumptions!$B$16="Yes",Options!AD30,0)</f>
        <v>0</v>
      </c>
      <c r="AE16" s="36">
        <f>IF(Assumptions!$B$16="Yes",Options!AE30,0)</f>
        <v>0</v>
      </c>
      <c r="AF16" s="36">
        <f>IF(Assumptions!$B$16="Yes",Options!AF30,0)</f>
        <v>0</v>
      </c>
      <c r="AG16" s="36">
        <f>IF(Assumptions!$B$16="Yes",Options!AG30,0)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6">
        <f t="shared" ref="C43:AG43" si="9">C38+C40+C41</f>
        <v>5396.7671422958374</v>
      </c>
      <c r="D43" s="366">
        <f t="shared" si="9"/>
        <v>5681.7081535205707</v>
      </c>
      <c r="E43" s="366">
        <f t="shared" si="9"/>
        <v>6614.8097973247332</v>
      </c>
      <c r="F43" s="366">
        <f t="shared" si="9"/>
        <v>7418.8497872244916</v>
      </c>
      <c r="G43" s="366">
        <f t="shared" si="9"/>
        <v>7834.9091100617961</v>
      </c>
      <c r="H43" s="366">
        <f t="shared" si="9"/>
        <v>8607.1034181847408</v>
      </c>
      <c r="I43" s="366">
        <f t="shared" si="9"/>
        <v>8919.829033282047</v>
      </c>
      <c r="J43" s="366">
        <f t="shared" si="9"/>
        <v>9242.1378832173323</v>
      </c>
      <c r="K43" s="366">
        <f t="shared" si="9"/>
        <v>9037.7415451384168</v>
      </c>
      <c r="L43" s="366">
        <f t="shared" si="9"/>
        <v>6064.6884754381899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-4848.5777479758208</v>
      </c>
      <c r="E12" s="442">
        <f>-(Debt!C44+Debt!D27+Debt!D36)</f>
        <v>-4175.4959530493234</v>
      </c>
      <c r="F12" s="442">
        <f>-(Debt!D44+Debt!E27+Debt!E36)</f>
        <v>-3457.5284504481256</v>
      </c>
      <c r="G12" s="442">
        <f>-(Debt!E44+Debt!F27+Debt!F36)</f>
        <v>-2639.2115563515649</v>
      </c>
      <c r="H12" s="442">
        <f>-(Debt!F44+Debt!G27+Debt!G36)</f>
        <v>-1758.5842390676435</v>
      </c>
      <c r="I12" s="442">
        <f>-(Debt!G44+Debt!H27+Debt!H36)</f>
        <v>-813.13526244269292</v>
      </c>
      <c r="J12" s="442">
        <f>-(Debt!H44+Debt!I27+Debt!I36)</f>
        <v>-36.117138637081069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5.2786001563072213E-2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0.12535254359245301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0.1199959099292755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0.12001051306724544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2000-03-08T13:44:36Z</cp:lastPrinted>
  <dcterms:created xsi:type="dcterms:W3CDTF">1999-04-02T01:38:38Z</dcterms:created>
  <dcterms:modified xsi:type="dcterms:W3CDTF">2023-09-13T22:53:11Z</dcterms:modified>
</cp:coreProperties>
</file>