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77BE80-FBB3-4416-9B6E-A2CAE6418230}" xr6:coauthVersionLast="47" xr6:coauthVersionMax="47" xr10:uidLastSave="{00000000-0000-0000-0000-000000000000}"/>
  <bookViews>
    <workbookView xWindow="-120" yWindow="-120" windowWidth="38640" windowHeight="15720" tabRatio="368" firstSheet="2" activeTab="3"/>
  </bookViews>
  <sheets>
    <sheet name="6.5% - Swap" sheetId="4" state="hidden" r:id="rId1"/>
    <sheet name="Calvert City" sheetId="6" state="hidden" r:id="rId2"/>
    <sheet name="Wilton" sheetId="5" r:id="rId3"/>
    <sheet name="Gleason" sheetId="9" r:id="rId4"/>
    <sheet name="Wheatland" sheetId="7" r:id="rId5"/>
  </sheets>
  <externalReferences>
    <externalReference r:id="rId6"/>
  </externalReferences>
  <definedNames>
    <definedName name="_xlnm.Print_Area" localSheetId="1">'Calvert City'!$A$1:$Y$69</definedName>
    <definedName name="_xlnm.Print_Area" localSheetId="3">Gleason!$A$1:$AA$73</definedName>
    <definedName name="_xlnm.Print_Area" localSheetId="4">Wheatland!$A$1:$Z$79</definedName>
    <definedName name="_xlnm.Print_Area" localSheetId="2">Wilton!$A$1:$Z$77</definedName>
  </definedNames>
  <calcPr calcId="0" iterate="1" calcOnSave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T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T14" i="9"/>
  <c r="U14" i="9"/>
  <c r="V14" i="9"/>
  <c r="Z14" i="9"/>
  <c r="AB14" i="9"/>
  <c r="AC14" i="9"/>
  <c r="Z15" i="9"/>
  <c r="AB15" i="9"/>
  <c r="AC15" i="9"/>
  <c r="T16" i="9"/>
  <c r="U16" i="9"/>
  <c r="V16" i="9"/>
  <c r="W16" i="9"/>
  <c r="Z16" i="9"/>
  <c r="AB16" i="9"/>
  <c r="AC16" i="9"/>
  <c r="T17" i="9"/>
  <c r="U17" i="9"/>
  <c r="V17" i="9"/>
  <c r="W17" i="9"/>
  <c r="Z17" i="9"/>
  <c r="AB17" i="9"/>
  <c r="AC17" i="9"/>
  <c r="T18" i="9"/>
  <c r="U18" i="9"/>
  <c r="V18" i="9"/>
  <c r="W18" i="9"/>
  <c r="Z18" i="9"/>
  <c r="AB18" i="9"/>
  <c r="AC18" i="9"/>
  <c r="T19" i="9"/>
  <c r="U19" i="9"/>
  <c r="V19" i="9"/>
  <c r="W19" i="9"/>
  <c r="Z19" i="9"/>
  <c r="AB19" i="9"/>
  <c r="AC19" i="9"/>
  <c r="Z20" i="9"/>
  <c r="AB20" i="9"/>
  <c r="AC20" i="9"/>
  <c r="Q21" i="9"/>
  <c r="V21" i="9"/>
  <c r="W21" i="9"/>
  <c r="Z21" i="9"/>
  <c r="AB21" i="9"/>
  <c r="AC21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V27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V32" i="9"/>
  <c r="W32" i="9"/>
  <c r="Z32" i="9"/>
  <c r="O33" i="9"/>
  <c r="P33" i="9"/>
  <c r="V33" i="9"/>
  <c r="Z33" i="9"/>
  <c r="P34" i="9"/>
  <c r="T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D2" i="7"/>
  <c r="Y2" i="7"/>
  <c r="Y3" i="7"/>
  <c r="U10" i="7"/>
  <c r="Y10" i="7"/>
  <c r="AA10" i="7"/>
  <c r="AB10" i="7"/>
  <c r="M11" i="7"/>
  <c r="S11" i="7"/>
  <c r="Y11" i="7"/>
  <c r="AA11" i="7"/>
  <c r="AB11" i="7"/>
  <c r="S12" i="7"/>
  <c r="T12" i="7"/>
  <c r="U12" i="7"/>
  <c r="V12" i="7"/>
  <c r="W12" i="7"/>
  <c r="Y12" i="7"/>
  <c r="AA12" i="7"/>
  <c r="AB12" i="7"/>
  <c r="S13" i="7"/>
  <c r="T13" i="7"/>
  <c r="U13" i="7"/>
  <c r="V13" i="7"/>
  <c r="W13" i="7"/>
  <c r="Y13" i="7"/>
  <c r="AA13" i="7"/>
  <c r="AB13" i="7"/>
  <c r="S14" i="7"/>
  <c r="T14" i="7"/>
  <c r="U14" i="7"/>
  <c r="V14" i="7"/>
  <c r="W14" i="7"/>
  <c r="Y14" i="7"/>
  <c r="AA14" i="7"/>
  <c r="AB14" i="7"/>
  <c r="S15" i="7"/>
  <c r="T15" i="7"/>
  <c r="U15" i="7"/>
  <c r="V15" i="7"/>
  <c r="W15" i="7"/>
  <c r="Y15" i="7"/>
  <c r="AA15" i="7"/>
  <c r="AB15" i="7"/>
  <c r="P16" i="7"/>
  <c r="U16" i="7"/>
  <c r="Y16" i="7"/>
  <c r="AA16" i="7"/>
  <c r="AB16" i="7"/>
  <c r="Y17" i="7"/>
  <c r="AA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U32" i="7"/>
  <c r="Y32" i="7"/>
  <c r="Z32" i="7"/>
  <c r="O33" i="7"/>
  <c r="P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O16" i="5"/>
  <c r="U16" i="5"/>
  <c r="Y16" i="5"/>
  <c r="Z16" i="5"/>
  <c r="AA16" i="5"/>
  <c r="AB16" i="5"/>
  <c r="U17" i="5"/>
  <c r="Y17" i="5"/>
  <c r="Z17" i="5"/>
  <c r="AA17" i="5"/>
  <c r="AB17" i="5"/>
  <c r="S18" i="5"/>
  <c r="U18" i="5"/>
  <c r="Y18" i="5"/>
  <c r="Z18" i="5"/>
  <c r="AA18" i="5"/>
  <c r="AB18" i="5"/>
  <c r="T19" i="5"/>
  <c r="U19" i="5"/>
  <c r="Y19" i="5"/>
  <c r="Z19" i="5"/>
  <c r="AA19" i="5"/>
  <c r="AB19" i="5"/>
  <c r="U20" i="5"/>
  <c r="Y20" i="5"/>
  <c r="Z20" i="5"/>
  <c r="AA20" i="5"/>
  <c r="AB20" i="5"/>
  <c r="Y21" i="5"/>
  <c r="AA21" i="5"/>
  <c r="S22" i="5"/>
  <c r="T22" i="5"/>
  <c r="U22" i="5"/>
  <c r="Y22" i="5"/>
  <c r="AA22" i="5"/>
  <c r="AB22" i="5"/>
  <c r="U23" i="5"/>
  <c r="Y23" i="5"/>
  <c r="Z23" i="5"/>
  <c r="AA23" i="5"/>
  <c r="AB23" i="5"/>
  <c r="G24" i="5"/>
  <c r="Y24" i="5"/>
  <c r="AA24" i="5"/>
  <c r="AB24" i="5"/>
  <c r="Y25" i="5"/>
  <c r="Z25" i="5"/>
  <c r="Y26" i="5"/>
  <c r="AA26" i="5"/>
  <c r="AB26" i="5"/>
  <c r="Y27" i="5"/>
  <c r="AA27" i="5"/>
  <c r="AB27" i="5"/>
  <c r="S28" i="5"/>
  <c r="U28" i="5"/>
  <c r="Y28" i="5"/>
  <c r="AA28" i="5"/>
  <c r="AB28" i="5"/>
  <c r="Y29" i="5"/>
  <c r="Z29" i="5"/>
  <c r="AA29" i="5"/>
  <c r="AB29" i="5"/>
  <c r="Y30" i="5"/>
  <c r="AB30" i="5"/>
  <c r="S31" i="5"/>
  <c r="T31" i="5"/>
  <c r="U31" i="5"/>
  <c r="Y31" i="5"/>
  <c r="I32" i="5"/>
  <c r="J32" i="5"/>
  <c r="L32" i="5"/>
  <c r="T32" i="5"/>
  <c r="U32" i="5"/>
  <c r="Y32" i="5"/>
  <c r="O33" i="5"/>
  <c r="S33" i="5"/>
  <c r="T33" i="5"/>
  <c r="U33" i="5"/>
  <c r="Y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6" i="5"/>
  <c r="G38" i="5"/>
  <c r="Y38" i="5"/>
  <c r="F39" i="5"/>
  <c r="S39" i="5"/>
  <c r="T39" i="5"/>
  <c r="U39" i="5"/>
  <c r="Y39" i="5"/>
  <c r="Z39" i="5"/>
  <c r="Y40" i="5"/>
  <c r="Z40" i="5"/>
  <c r="K41" i="5"/>
  <c r="Y41" i="5"/>
  <c r="Y42" i="5"/>
  <c r="Z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8" i="5"/>
  <c r="Y52" i="5"/>
  <c r="Z52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Y59" i="5"/>
  <c r="AA59" i="5"/>
  <c r="AB59" i="5"/>
  <c r="AC59" i="5"/>
  <c r="E60" i="5"/>
  <c r="F60" i="5"/>
  <c r="G60" i="5"/>
  <c r="I60" i="5"/>
  <c r="J60" i="5"/>
  <c r="Y60" i="5"/>
  <c r="Z60" i="5"/>
  <c r="AA60" i="5"/>
  <c r="AB60" i="5"/>
  <c r="AC60" i="5"/>
  <c r="Y61" i="5"/>
  <c r="Z61" i="5"/>
  <c r="AA61" i="5"/>
  <c r="AB61" i="5"/>
  <c r="AC61" i="5"/>
  <c r="Y62" i="5"/>
  <c r="Z62" i="5"/>
  <c r="AA62" i="5"/>
  <c r="AB62" i="5"/>
  <c r="AC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H65" i="5"/>
  <c r="K65" i="5"/>
  <c r="L65" i="5"/>
  <c r="M65" i="5"/>
  <c r="N65" i="5"/>
  <c r="Y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Y69" i="5"/>
  <c r="Z69" i="5"/>
  <c r="E70" i="5"/>
  <c r="F70" i="5"/>
  <c r="Y70" i="5"/>
  <c r="Z70" i="5"/>
  <c r="Y71" i="5"/>
  <c r="Z71" i="5"/>
  <c r="Y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Y77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<sst xmlns="http://schemas.openxmlformats.org/spreadsheetml/2006/main" count="565" uniqueCount="125">
  <si>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</si>
  <si>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</si>
  <si>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</si>
  <si>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</si>
  <si>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</si>
  <si>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</si>
  <si>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</si>
  <si>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</si>
  <si>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</si>
  <si>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</si>
  <si>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</si>
  <si>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</si>
  <si>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</si>
  <si>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</si>
  <si>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</si>
  <si>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</si>
  <si>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</si>
  <si>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</si>
  <si>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</si>
  <si>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</si>
  <si>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</si>
  <si>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</si>
  <si>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</si>
  <si>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</si>
  <si>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</si>
  <si>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</si>
  <si>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</si>
  <si>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</si>
  <si>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</si>
  <si>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</si>
  <si>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</si>
  <si>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</si>
  <si>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</si>
  <si>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</si>
  <si>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</si>
  <si>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</si>
  <si>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</si>
  <si>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</si>
  <si>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</si>
  <si>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</si>
  <si>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</si>
  <si>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</si>
  <si>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</si>
  <si>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</si>
  <si>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</si>
  <si>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</si>
  <si>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</si>
  <si>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</si>
  <si>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</si>
  <si>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</si>
  <si>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</si>
  <si>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</si>
  <si>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</si>
  <si>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</si>
  <si>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</si>
  <si>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</si>
  <si>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</si>
  <si>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</si>
  <si>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</si>
  <si>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</si>
  <si>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</si>
  <si>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</si>
  <si>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</si>
  <si>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</si>
  <si>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</si>
  <si>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</si>
  <si>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</si>
  <si>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</si>
  <si>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</si>
  <si>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</si>
  <si>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</si>
  <si>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</si>
  <si>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</si>
  <si>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</si>
  <si>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</si>
  <si>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</si>
  <si>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</si>
  <si>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</si>
  <si>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</si>
  <si>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</si>
  <si>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</si>
  <si>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</si>
  <si>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</si>
  <si>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</si>
  <si>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</si>
  <si>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</si>
  <si>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</si>
  <si>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</si>
  <si>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</si>
  <si>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</si>
  <si>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</si>
  <si>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</si>
  <si>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</si>
  <si>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</si>
  <si>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</si>
  <si>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</si>
  <si>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</si>
  <si>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</si>
  <si>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</si>
  <si>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</si>
  <si>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</si>
  <si>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</si>
  <si>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</si>
  <si>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</si>
  <si>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</si>
  <si>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</si>
  <si>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</si>
  <si>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</si>
  <si>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</si>
  <si>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</si>
  <si>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</si>
  <si>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</si>
  <si>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</si>
  <si>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</si>
  <si>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</si>
  <si>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</si>
  <si>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</si>
  <si>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</si>
  <si>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</si>
  <si>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</si>
  <si>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</si>
  <si>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1/2 of Redesign costs to change projects</t>
  </si>
  <si>
    <t>OEC (Mobilization of O&amp;M)</t>
  </si>
  <si>
    <t>Last updated:  Actuals through March 31, 2000</t>
  </si>
  <si>
    <t xml:space="preserve">Sales Tax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</si>
</sst>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10" xfId="0" applyNumberFormat="1" applyBorder="1"/>
    <xf numFmtId="164" fontId="0" fillId="0" borderId="0" xfId="0" applyNumberFormat="1" applyBorder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41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142256940.44</v>
          </cell>
        </row>
        <row r="31">
          <cell r="BR31">
            <v>6343298</v>
          </cell>
        </row>
        <row r="46">
          <cell r="BR46">
            <v>17369991</v>
          </cell>
        </row>
        <row r="53">
          <cell r="BR53">
            <v>7696762</v>
          </cell>
        </row>
        <row r="79">
          <cell r="BR79">
            <v>45859862</v>
          </cell>
        </row>
        <row r="82">
          <cell r="BR82">
            <v>5336650</v>
          </cell>
        </row>
        <row r="86">
          <cell r="BR86">
            <v>0</v>
          </cell>
        </row>
        <row r="91">
          <cell r="BR91">
            <v>940200</v>
          </cell>
        </row>
        <row r="92">
          <cell r="BR92">
            <v>2824800</v>
          </cell>
        </row>
        <row r="93">
          <cell r="BR93">
            <v>3066700</v>
          </cell>
        </row>
        <row r="101">
          <cell r="BR101">
            <v>9479519</v>
          </cell>
        </row>
        <row r="116">
          <cell r="BR116">
            <v>908786</v>
          </cell>
        </row>
        <row r="120">
          <cell r="BR120">
            <v>387391.81000000006</v>
          </cell>
        </row>
        <row r="122">
          <cell r="BR122">
            <v>500000</v>
          </cell>
        </row>
        <row r="124">
          <cell r="BR124">
            <v>1253881</v>
          </cell>
        </row>
        <row r="131">
          <cell r="BR131">
            <v>2472650.2800000003</v>
          </cell>
        </row>
        <row r="138">
          <cell r="BR138">
            <v>400000</v>
          </cell>
        </row>
        <row r="140">
          <cell r="BR140">
            <v>1200000</v>
          </cell>
        </row>
        <row r="142">
          <cell r="BR142">
            <v>8000000</v>
          </cell>
        </row>
        <row r="146">
          <cell r="BR146">
            <v>1500000</v>
          </cell>
        </row>
        <row r="152">
          <cell r="BR152">
            <v>200000</v>
          </cell>
        </row>
        <row r="161">
          <cell r="BR161">
            <v>1126472.3199999998</v>
          </cell>
        </row>
        <row r="168">
          <cell r="BR168">
            <v>558423.13</v>
          </cell>
        </row>
        <row r="200">
          <cell r="BR200">
            <v>271396724.51222962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6406961</v>
          </cell>
        </row>
        <row r="54">
          <cell r="BT54">
            <v>16939610</v>
          </cell>
        </row>
        <row r="63">
          <cell r="BT63">
            <v>4459132</v>
          </cell>
        </row>
        <row r="86">
          <cell r="BT86">
            <v>16561168</v>
          </cell>
        </row>
        <row r="89">
          <cell r="BT89">
            <v>12136758</v>
          </cell>
        </row>
        <row r="93">
          <cell r="BT93">
            <v>-3387761</v>
          </cell>
        </row>
        <row r="95">
          <cell r="BT95">
            <v>-0.44000000134110451</v>
          </cell>
        </row>
        <row r="100">
          <cell r="BT100">
            <v>929800</v>
          </cell>
        </row>
        <row r="101">
          <cell r="BT101">
            <v>2840700</v>
          </cell>
        </row>
        <row r="102">
          <cell r="BT102">
            <v>3066700</v>
          </cell>
        </row>
        <row r="134">
          <cell r="BT134">
            <v>908786</v>
          </cell>
        </row>
        <row r="140">
          <cell r="BT140">
            <v>675000</v>
          </cell>
        </row>
        <row r="142">
          <cell r="BT142">
            <v>1247007</v>
          </cell>
        </row>
        <row r="149">
          <cell r="BT149">
            <v>408551</v>
          </cell>
        </row>
        <row r="159">
          <cell r="BT159">
            <v>729789.02</v>
          </cell>
        </row>
        <row r="181">
          <cell r="BT181">
            <v>3999470.5700000003</v>
          </cell>
        </row>
        <row r="183">
          <cell r="BT183">
            <v>1100000</v>
          </cell>
        </row>
        <row r="189">
          <cell r="BT189">
            <v>500000</v>
          </cell>
        </row>
        <row r="191">
          <cell r="BT191">
            <v>200935.25</v>
          </cell>
        </row>
        <row r="202">
          <cell r="BT202">
            <v>897105.05</v>
          </cell>
        </row>
        <row r="208">
          <cell r="BT208">
            <v>752208.46</v>
          </cell>
        </row>
        <row r="224">
          <cell r="BT224">
            <v>177932432.72238734</v>
          </cell>
        </row>
      </sheetData>
      <sheetData sheetId="8">
        <row r="12">
          <cell r="BR12">
            <v>86219301</v>
          </cell>
        </row>
        <row r="32">
          <cell r="BR32">
            <v>4656034</v>
          </cell>
        </row>
        <row r="48">
          <cell r="BR48">
            <v>13410951</v>
          </cell>
        </row>
        <row r="55">
          <cell r="BR55">
            <v>4949776</v>
          </cell>
        </row>
        <row r="80">
          <cell r="BR80">
            <v>16124987</v>
          </cell>
        </row>
        <row r="85">
          <cell r="BR85">
            <v>10145929</v>
          </cell>
        </row>
        <row r="87">
          <cell r="BR87">
            <v>-3953393</v>
          </cell>
        </row>
        <row r="89">
          <cell r="BR89">
            <v>0</v>
          </cell>
        </row>
        <row r="95">
          <cell r="BR95">
            <v>929800</v>
          </cell>
        </row>
        <row r="96">
          <cell r="BR96">
            <v>2386700</v>
          </cell>
        </row>
        <row r="97">
          <cell r="BR97">
            <v>3066700</v>
          </cell>
        </row>
        <row r="119">
          <cell r="BR119">
            <v>1500000</v>
          </cell>
        </row>
        <row r="121">
          <cell r="BR121">
            <v>50000</v>
          </cell>
        </row>
        <row r="123">
          <cell r="BR123">
            <v>1172731</v>
          </cell>
        </row>
        <row r="130">
          <cell r="BR130">
            <v>1870627.57</v>
          </cell>
        </row>
        <row r="137">
          <cell r="BR137">
            <v>450000</v>
          </cell>
        </row>
        <row r="139">
          <cell r="BR139">
            <v>5000000</v>
          </cell>
        </row>
        <row r="141">
          <cell r="BR141">
            <v>1500000</v>
          </cell>
        </row>
        <row r="147">
          <cell r="BR147">
            <v>1000000</v>
          </cell>
        </row>
        <row r="149">
          <cell r="BR149">
            <v>200000</v>
          </cell>
        </row>
        <row r="151">
          <cell r="BR151">
            <v>200000</v>
          </cell>
        </row>
        <row r="160">
          <cell r="BR160">
            <v>834146.91999999993</v>
          </cell>
        </row>
        <row r="167">
          <cell r="BR167">
            <v>701672.13</v>
          </cell>
        </row>
        <row r="200">
          <cell r="BR200">
            <v>162922226.08590791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RowHeight="12.75" x14ac:dyDescent="0.2"/>
  <cols>
    <col min="1" max="1" width="32.5703125" style="18" customWidth="1"/>
    <col min="2" max="2" width="1.7109375" style="18" customWidth="1"/>
    <col min="3" max="3" width="13.85546875" style="4" customWidth="1"/>
    <col min="4" max="4" width="14" style="18" customWidth="1"/>
    <col min="5" max="5" width="13.85546875" style="18" customWidth="1"/>
    <col min="6" max="6" width="12.85546875" style="18" customWidth="1"/>
    <col min="7" max="10" width="13.5703125" style="18" customWidth="1"/>
    <col min="11" max="11" width="14.28515625" style="18" bestFit="1" customWidth="1"/>
    <col min="12" max="12" width="13.5703125" style="18" customWidth="1"/>
    <col min="13" max="13" width="15.42578125" style="18" customWidth="1"/>
    <col min="14" max="14" width="14.28515625" style="18" bestFit="1" customWidth="1"/>
    <col min="15" max="16" width="13.85546875" style="18" customWidth="1"/>
    <col min="17" max="17" width="13.5703125" style="18" customWidth="1"/>
    <col min="18" max="18" width="14.5703125" style="18" customWidth="1"/>
    <col min="19" max="19" width="13.7109375" style="18" customWidth="1"/>
    <col min="20" max="20" width="14.28515625" style="18" bestFit="1" customWidth="1"/>
    <col min="21" max="21" width="14.5703125" style="18" bestFit="1" customWidth="1"/>
    <col min="22" max="22" width="18.5703125" style="4" customWidth="1"/>
    <col min="23" max="23" width="32.7109375" style="18" customWidth="1"/>
    <col min="24" max="16384" width="9.140625" style="18"/>
  </cols>
  <sheetData>
    <row r="1" spans="1:23" s="2" customFormat="1" ht="15.75" x14ac:dyDescent="0.25">
      <c r="A1" s="1" t="s">
        <v>0</v>
      </c>
    </row>
    <row r="2" spans="1:23" s="2" customFormat="1" ht="15.75" x14ac:dyDescent="0.25">
      <c r="A2" s="1" t="s">
        <v>1</v>
      </c>
      <c r="D2" s="1" t="s">
        <v>59</v>
      </c>
      <c r="V2" s="25" t="str">
        <f ca="1">CELL("filename")</f>
        <v>O:\Fin_Ops\Engysvc\PowerPlants\2000 Plants\Draw Schedule\[Draw Sched - 041100.xls]Gleason</v>
      </c>
    </row>
    <row r="3" spans="1:23" s="2" customFormat="1" ht="15.75" x14ac:dyDescent="0.25">
      <c r="A3" s="1" t="s">
        <v>2</v>
      </c>
      <c r="F3" s="3"/>
      <c r="V3" s="24">
        <f ca="1">NOW()</f>
        <v>36627.342557291668</v>
      </c>
    </row>
    <row r="4" spans="1:23" x14ac:dyDescent="0.2">
      <c r="C4" s="12"/>
    </row>
    <row r="5" spans="1:23" s="6" customFormat="1" x14ac:dyDescent="0.2">
      <c r="A5" s="5"/>
      <c r="C5" s="7">
        <v>1998</v>
      </c>
      <c r="D5" s="56" t="s">
        <v>3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 t="s">
        <v>4</v>
      </c>
      <c r="Q5" s="56"/>
      <c r="R5" s="56"/>
      <c r="S5" s="56"/>
      <c r="T5" s="56"/>
      <c r="U5" s="56"/>
      <c r="V5" s="56"/>
    </row>
    <row r="6" spans="1:23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">
      <c r="A7" s="5" t="s">
        <v>43</v>
      </c>
      <c r="V7" s="10"/>
      <c r="W7"/>
    </row>
    <row r="8" spans="1:23" s="6" customFormat="1" x14ac:dyDescent="0.2">
      <c r="A8" s="5" t="s">
        <v>60</v>
      </c>
      <c r="V8" s="10"/>
      <c r="W8"/>
    </row>
    <row r="9" spans="1:23" x14ac:dyDescent="0.2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">
      <c r="A27" s="17" t="s">
        <v>64</v>
      </c>
      <c r="V27" s="16">
        <f>+V25/C39/1000</f>
        <v>348.37529999999987</v>
      </c>
      <c r="W27" s="20"/>
    </row>
    <row r="28" spans="1:23" x14ac:dyDescent="0.2">
      <c r="V28" s="11"/>
    </row>
    <row r="29" spans="1:23" x14ac:dyDescent="0.2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">
      <c r="A37" s="17" t="s">
        <v>64</v>
      </c>
      <c r="V37" s="16">
        <f>+V35/C39/1000</f>
        <v>382.79723341400273</v>
      </c>
    </row>
    <row r="38" spans="1:23" s="4" customFormat="1" x14ac:dyDescent="0.2">
      <c r="A38" s="8" t="s">
        <v>72</v>
      </c>
      <c r="C38" s="12">
        <v>6.5000000000000002E-2</v>
      </c>
      <c r="V38" s="11"/>
    </row>
    <row r="39" spans="1:23" s="4" customFormat="1" x14ac:dyDescent="0.2">
      <c r="A39" s="8"/>
      <c r="C39" s="4">
        <v>600</v>
      </c>
      <c r="D39" s="4" t="s">
        <v>66</v>
      </c>
      <c r="V39" s="11"/>
    </row>
    <row r="40" spans="1:23" x14ac:dyDescent="0.2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">
      <c r="A41" s="8"/>
      <c r="C41" s="12"/>
      <c r="V41" s="11"/>
    </row>
    <row r="42" spans="1:23" x14ac:dyDescent="0.2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">
      <c r="A44" s="5" t="s">
        <v>34</v>
      </c>
      <c r="V44" s="11"/>
    </row>
    <row r="45" spans="1:23" x14ac:dyDescent="0.2">
      <c r="A45" s="5" t="s">
        <v>61</v>
      </c>
      <c r="V45" s="11"/>
    </row>
    <row r="46" spans="1:23" x14ac:dyDescent="0.2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">
      <c r="A66" s="17" t="s">
        <v>64</v>
      </c>
      <c r="V66" s="16">
        <f>+V64/C78/1000</f>
        <v>283.28833402777769</v>
      </c>
      <c r="W66" s="20"/>
    </row>
    <row r="67" spans="1:23" x14ac:dyDescent="0.2">
      <c r="V67" s="11"/>
    </row>
    <row r="68" spans="1:23" x14ac:dyDescent="0.2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">
      <c r="V76" s="16">
        <f>+V74/C78/1000</f>
        <v>317.59873981275848</v>
      </c>
    </row>
    <row r="77" spans="1:23" s="4" customFormat="1" x14ac:dyDescent="0.2">
      <c r="A77" s="8" t="s">
        <v>72</v>
      </c>
      <c r="C77" s="12">
        <v>6.5000000000000002E-2</v>
      </c>
      <c r="V77" s="11"/>
    </row>
    <row r="78" spans="1:23" s="4" customFormat="1" x14ac:dyDescent="0.2">
      <c r="A78" s="17" t="s">
        <v>64</v>
      </c>
      <c r="C78" s="4">
        <v>480</v>
      </c>
      <c r="D78" s="4" t="s">
        <v>66</v>
      </c>
      <c r="V78" s="11"/>
    </row>
    <row r="79" spans="1:23" x14ac:dyDescent="0.2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">
      <c r="A80" s="8"/>
      <c r="C80" s="12"/>
      <c r="V80" s="11"/>
    </row>
    <row r="81" spans="1:23" x14ac:dyDescent="0.2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">
      <c r="V82" s="11"/>
    </row>
    <row r="83" spans="1:23" x14ac:dyDescent="0.2">
      <c r="A83" s="4" t="s">
        <v>37</v>
      </c>
      <c r="V83" s="11"/>
    </row>
    <row r="84" spans="1:23" x14ac:dyDescent="0.2">
      <c r="A84" s="5" t="s">
        <v>62</v>
      </c>
      <c r="V84" s="11"/>
    </row>
    <row r="85" spans="1:23" x14ac:dyDescent="0.2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">
      <c r="A103" s="17" t="s">
        <v>64</v>
      </c>
      <c r="V103" s="16">
        <f>+V101/C115/1000</f>
        <v>285.16307826086955</v>
      </c>
      <c r="W103" s="20"/>
    </row>
    <row r="104" spans="1:23" x14ac:dyDescent="0.2">
      <c r="V104" s="11"/>
    </row>
    <row r="105" spans="1:23" x14ac:dyDescent="0.2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">
      <c r="V113" s="16">
        <f>+V111/C115/1000</f>
        <v>319.81114317880537</v>
      </c>
    </row>
    <row r="114" spans="1:23" s="4" customFormat="1" x14ac:dyDescent="0.2">
      <c r="A114" s="8" t="s">
        <v>72</v>
      </c>
      <c r="C114" s="12">
        <v>6.5000000000000002E-2</v>
      </c>
      <c r="V114" s="11"/>
    </row>
    <row r="115" spans="1:23" s="4" customFormat="1" x14ac:dyDescent="0.2">
      <c r="A115" s="17" t="s">
        <v>64</v>
      </c>
      <c r="C115" s="4">
        <v>460</v>
      </c>
      <c r="D115" s="4" t="s">
        <v>66</v>
      </c>
      <c r="V115" s="11"/>
    </row>
    <row r="116" spans="1:23" x14ac:dyDescent="0.2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">
      <c r="A117" s="8"/>
      <c r="C117" s="12"/>
      <c r="V117" s="11"/>
    </row>
    <row r="118" spans="1:23" x14ac:dyDescent="0.2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bestFit="1" customWidth="1"/>
    <col min="4" max="4" width="12.140625" style="18" customWidth="1"/>
    <col min="5" max="11" width="11.28515625" style="18" bestFit="1" customWidth="1"/>
    <col min="12" max="12" width="12.28515625" style="47" customWidth="1"/>
    <col min="13" max="13" width="11.85546875" style="18" bestFit="1" customWidth="1"/>
    <col min="14" max="14" width="11.85546875" style="18" customWidth="1"/>
    <col min="15" max="17" width="12.28515625" style="18" bestFit="1" customWidth="1"/>
    <col min="18" max="22" width="12.28515625" style="18" hidden="1" customWidth="1"/>
    <col min="23" max="23" width="12.85546875" style="18" hidden="1" customWidth="1"/>
    <col min="24" max="24" width="13.5703125" style="4" customWidth="1"/>
    <col min="25" max="25" width="20" style="18" customWidth="1"/>
    <col min="26" max="26" width="11.28515625" style="18" customWidth="1"/>
    <col min="27" max="16384" width="9.140625" style="18"/>
  </cols>
  <sheetData>
    <row r="1" spans="1:26" s="2" customFormat="1" ht="15.75" x14ac:dyDescent="0.25">
      <c r="A1" s="1" t="s">
        <v>0</v>
      </c>
      <c r="L1" s="46"/>
    </row>
    <row r="2" spans="1:26" s="2" customFormat="1" ht="15.75" x14ac:dyDescent="0.25">
      <c r="A2" s="1" t="s">
        <v>1</v>
      </c>
      <c r="D2" s="1" t="str">
        <f>Wilton!D2</f>
        <v>Last updated:  Actuals through March 31, 2000</v>
      </c>
      <c r="L2" s="46"/>
      <c r="X2" s="25" t="str">
        <f ca="1">CELL("filename")</f>
        <v>O:\Fin_Ops\Engysvc\PowerPlants\2000 Plants\Draw Schedule\[Draw Sched - 041100.xls]Gleason</v>
      </c>
    </row>
    <row r="3" spans="1:26" s="2" customFormat="1" ht="15.75" x14ac:dyDescent="0.25">
      <c r="A3" s="1" t="s">
        <v>2</v>
      </c>
      <c r="D3" s="26"/>
      <c r="F3" s="3"/>
      <c r="L3" s="46"/>
      <c r="X3" s="24">
        <f ca="1">NOW()</f>
        <v>36627.342557291668</v>
      </c>
    </row>
    <row r="4" spans="1:26" ht="15" x14ac:dyDescent="0.2">
      <c r="C4" s="12"/>
      <c r="D4" s="28"/>
    </row>
    <row r="5" spans="1:26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4" t="s">
        <v>111</v>
      </c>
      <c r="N5" s="54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110</v>
      </c>
      <c r="N6" s="6" t="s">
        <v>112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20.25" x14ac:dyDescent="0.55000000000000004">
      <c r="A7" s="32" t="s">
        <v>80</v>
      </c>
      <c r="X7" s="10"/>
      <c r="Y7" s="31"/>
    </row>
    <row r="8" spans="1:26" x14ac:dyDescent="0.2">
      <c r="A8" s="5" t="s">
        <v>34</v>
      </c>
      <c r="X8" s="11"/>
    </row>
    <row r="9" spans="1:26" x14ac:dyDescent="0.2">
      <c r="A9" s="5" t="s">
        <v>61</v>
      </c>
      <c r="X9" s="11"/>
    </row>
    <row r="10" spans="1:26" x14ac:dyDescent="0.2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">
      <c r="A13" s="17" t="s">
        <v>100</v>
      </c>
      <c r="J13" s="18">
        <f>929800/12</f>
        <v>77483.333333333328</v>
      </c>
      <c r="K13" s="18">
        <f>929800/12</f>
        <v>77483.333333333328</v>
      </c>
      <c r="L13" s="47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">
      <c r="A14" s="17" t="s">
        <v>101</v>
      </c>
      <c r="J14" s="18">
        <f>2840700/12</f>
        <v>236725</v>
      </c>
      <c r="K14" s="18">
        <f>2840700/12</f>
        <v>236725</v>
      </c>
      <c r="L14" s="47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">
      <c r="A15" s="17" t="s">
        <v>102</v>
      </c>
      <c r="X15" s="11">
        <f t="shared" si="0"/>
        <v>0</v>
      </c>
      <c r="Y15" s="15" t="s">
        <v>50</v>
      </c>
      <c r="Z15" s="18">
        <v>3066700</v>
      </c>
    </row>
    <row r="16" spans="1:26" x14ac:dyDescent="0.2">
      <c r="A16" s="17" t="s">
        <v>104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">
      <c r="A17" s="17" t="s">
        <v>103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">
      <c r="A18" s="17" t="s">
        <v>105</v>
      </c>
      <c r="X18" s="11">
        <f t="shared" si="0"/>
        <v>0</v>
      </c>
      <c r="Y18" s="15" t="s">
        <v>50</v>
      </c>
      <c r="Z18" s="18">
        <v>2125800</v>
      </c>
    </row>
    <row r="19" spans="1:26" x14ac:dyDescent="0.2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47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48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">
      <c r="A25" s="17" t="s">
        <v>106</v>
      </c>
      <c r="F25" s="29"/>
      <c r="X25" s="11">
        <f t="shared" si="0"/>
        <v>0</v>
      </c>
      <c r="Y25" s="15"/>
      <c r="Z25" s="18">
        <v>2200000</v>
      </c>
    </row>
    <row r="26" spans="1:26" x14ac:dyDescent="0.2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47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47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47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49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49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">
      <c r="A35" s="17" t="s">
        <v>64</v>
      </c>
      <c r="X35" s="16">
        <f>+X33/C52/1000</f>
        <v>4.5098039097901362E-7</v>
      </c>
      <c r="Y35" s="20"/>
    </row>
    <row r="36" spans="1:25" x14ac:dyDescent="0.2">
      <c r="A36" s="17"/>
      <c r="X36" s="16"/>
      <c r="Y36" s="20"/>
    </row>
    <row r="37" spans="1:25" x14ac:dyDescent="0.2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1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49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49">
        <f>+L42+K43</f>
        <v>4326862.7023668103</v>
      </c>
      <c r="M43" s="49">
        <f>+M42+L43</f>
        <v>0</v>
      </c>
      <c r="N43" s="49">
        <f>+N42+M43</f>
        <v>0</v>
      </c>
      <c r="O43" s="49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1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2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">
      <c r="L47" s="52"/>
      <c r="X47" s="11"/>
    </row>
    <row r="48" spans="1:25" s="4" customFormat="1" x14ac:dyDescent="0.2">
      <c r="L48" s="52"/>
    </row>
    <row r="49" spans="1:27" s="4" customFormat="1" x14ac:dyDescent="0.2">
      <c r="L49" s="52"/>
      <c r="X49" s="16">
        <f>+X45/C52/1000</f>
        <v>4.5098039097901362E-7</v>
      </c>
    </row>
    <row r="50" spans="1:27" s="4" customFormat="1" x14ac:dyDescent="0.2">
      <c r="A50" s="8" t="s">
        <v>96</v>
      </c>
      <c r="C50" s="12">
        <v>6.5000000000000002E-2</v>
      </c>
      <c r="L50" s="52"/>
      <c r="X50" s="11"/>
    </row>
    <row r="51" spans="1:27" s="4" customFormat="1" x14ac:dyDescent="0.2">
      <c r="A51" s="8" t="s">
        <v>89</v>
      </c>
      <c r="C51" s="12">
        <v>3.5000000000000001E-3</v>
      </c>
      <c r="D51" s="35">
        <v>174500000</v>
      </c>
      <c r="L51" s="52"/>
      <c r="X51" s="11"/>
    </row>
    <row r="52" spans="1:27" s="4" customFormat="1" x14ac:dyDescent="0.2">
      <c r="A52" s="17" t="s">
        <v>64</v>
      </c>
      <c r="C52" s="4">
        <v>510</v>
      </c>
      <c r="D52" s="4" t="s">
        <v>66</v>
      </c>
      <c r="L52" s="52"/>
      <c r="X52" s="11"/>
    </row>
    <row r="53" spans="1:27" x14ac:dyDescent="0.2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">
      <c r="A54" s="8"/>
      <c r="C54" s="12"/>
      <c r="L54" s="52"/>
      <c r="X54" s="11"/>
    </row>
    <row r="55" spans="1:27" x14ac:dyDescent="0.2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2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">
      <c r="X56" s="11"/>
    </row>
    <row r="57" spans="1:27" x14ac:dyDescent="0.2">
      <c r="X57" s="11"/>
    </row>
    <row r="58" spans="1:27" ht="20.25" x14ac:dyDescent="0.55000000000000004">
      <c r="A58" s="32" t="s">
        <v>81</v>
      </c>
      <c r="X58" s="11"/>
    </row>
    <row r="59" spans="1:27" x14ac:dyDescent="0.2">
      <c r="A59" s="5" t="s">
        <v>34</v>
      </c>
      <c r="X59" s="11"/>
    </row>
    <row r="60" spans="1:27" x14ac:dyDescent="0.2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48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47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47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47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49">
        <f>SUM(L60:L63)</f>
        <v>0</v>
      </c>
      <c r="M64" s="49">
        <f>SUM(M60:M63)</f>
        <v>0</v>
      </c>
      <c r="N64" s="49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53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1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49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53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">
      <c r="A69" s="4"/>
      <c r="C69" s="9"/>
      <c r="D69" s="9"/>
      <c r="E69" s="9"/>
      <c r="F69" s="9"/>
      <c r="G69" s="9"/>
      <c r="H69" s="9"/>
      <c r="I69" s="9"/>
      <c r="J69" s="9"/>
      <c r="K69" s="9"/>
      <c r="L69" s="53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79"/>
  <sheetViews>
    <sheetView workbookViewId="0">
      <pane xSplit="2" ySplit="6" topLeftCell="R56" activePane="bottomRight" state="frozen"/>
      <selection pane="topRight"/>
      <selection pane="bottomLeft"/>
      <selection pane="bottomRight" activeCell="AB56" sqref="AB56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0.28515625" style="4" bestFit="1" customWidth="1"/>
    <col min="4" max="4" width="11.42578125" style="18" customWidth="1"/>
    <col min="5" max="5" width="13.28515625" style="18" customWidth="1"/>
    <col min="6" max="6" width="12.28515625" style="18" customWidth="1"/>
    <col min="7" max="7" width="12.85546875" style="18" customWidth="1"/>
    <col min="8" max="8" width="12" style="18" customWidth="1"/>
    <col min="9" max="9" width="12.7109375" style="18" customWidth="1"/>
    <col min="10" max="10" width="13" style="18" customWidth="1"/>
    <col min="11" max="13" width="12.28515625" style="18" customWidth="1"/>
    <col min="14" max="14" width="12.85546875" style="18" customWidth="1"/>
    <col min="15" max="15" width="14" style="18" customWidth="1"/>
    <col min="16" max="16" width="14.42578125" style="18" bestFit="1" customWidth="1"/>
    <col min="17" max="17" width="12.85546875" style="18" bestFit="1" customWidth="1"/>
    <col min="18" max="18" width="13.85546875" style="18" customWidth="1"/>
    <col min="19" max="19" width="13.5703125" style="18" customWidth="1"/>
    <col min="20" max="21" width="13.85546875" style="18" customWidth="1"/>
    <col min="22" max="24" width="13.85546875" style="18" hidden="1" customWidth="1"/>
    <col min="25" max="25" width="14.42578125" style="4" customWidth="1"/>
    <col min="26" max="26" width="20" style="18" hidden="1" customWidth="1"/>
    <col min="27" max="27" width="12.28515625" style="18" customWidth="1"/>
    <col min="28" max="28" width="13.85546875" style="18" bestFit="1" customWidth="1"/>
    <col min="29" max="29" width="9.140625" style="18"/>
    <col min="30" max="31" width="9.28515625" style="18" bestFit="1" customWidth="1"/>
    <col min="32" max="16384" width="9.140625" style="18"/>
  </cols>
  <sheetData>
    <row r="1" spans="1:28" s="2" customFormat="1" ht="15.75" x14ac:dyDescent="0.25">
      <c r="A1" s="1" t="s">
        <v>0</v>
      </c>
      <c r="Z1" s="2">
        <v>0</v>
      </c>
    </row>
    <row r="2" spans="1:28" s="2" customFormat="1" ht="15.75" x14ac:dyDescent="0.25">
      <c r="A2" s="1" t="s">
        <v>1</v>
      </c>
      <c r="D2" s="1" t="s">
        <v>123</v>
      </c>
      <c r="Y2" s="25" t="str">
        <f ca="1">CELL("filename")</f>
        <v>O:\Fin_Ops\Engysvc\PowerPlants\2000 Plants\Draw Schedule\[Draw Sched - 041100.xls]Gleason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36627.342557291668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s="6" customFormat="1" x14ac:dyDescent="0.2">
      <c r="A8" s="5" t="s">
        <v>43</v>
      </c>
      <c r="Y8" s="10"/>
      <c r="Z8"/>
    </row>
    <row r="9" spans="1:28" s="6" customFormat="1" x14ac:dyDescent="0.2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7103247</v>
      </c>
      <c r="S10" s="18">
        <v>192001</v>
      </c>
      <c r="Y10" s="11">
        <f>SUM(C10:X10)</f>
        <v>142256940.75</v>
      </c>
      <c r="Z10" s="19" t="s">
        <v>50</v>
      </c>
      <c r="AA10" s="18">
        <f>[1]Wilton!$BR$12</f>
        <v>142256940.44</v>
      </c>
      <c r="AB10" s="18">
        <f>Y10-AA10</f>
        <v>0.31000000238418579</v>
      </c>
    </row>
    <row r="11" spans="1:28" x14ac:dyDescent="0.2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R11" s="18">
        <v>0</v>
      </c>
      <c r="S11" s="18">
        <v>427250</v>
      </c>
      <c r="T11" s="18">
        <v>591605</v>
      </c>
      <c r="Y11" s="11">
        <f t="shared" ref="Y11:Y33" si="0">SUM(C11:X11)</f>
        <v>6343297.7999999998</v>
      </c>
      <c r="Z11" s="19" t="str">
        <f>Z10</f>
        <v>Mike Miller</v>
      </c>
      <c r="AA11" s="18">
        <f>[1]Wilton!$BR$31</f>
        <v>6343298</v>
      </c>
      <c r="AB11" s="18">
        <f t="shared" ref="AB11:AB30" si="1">Y11-AA11</f>
        <v>-0.20000000018626451</v>
      </c>
    </row>
    <row r="12" spans="1:28" x14ac:dyDescent="0.2">
      <c r="A12" s="17" t="s">
        <v>109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2943550.62</v>
      </c>
      <c r="U12" s="17">
        <f>466454+150440</f>
        <v>616894</v>
      </c>
      <c r="V12" s="17"/>
      <c r="W12" s="17"/>
      <c r="X12" s="17"/>
      <c r="Y12" s="11">
        <f t="shared" si="0"/>
        <v>9479519.3000000007</v>
      </c>
      <c r="Z12" s="19" t="str">
        <f>Z11</f>
        <v>Mike Miller</v>
      </c>
      <c r="AA12" s="18">
        <f>[1]Wilton!$BR$101</f>
        <v>9479519</v>
      </c>
      <c r="AB12" s="18">
        <f t="shared" si="1"/>
        <v>0.30000000074505806</v>
      </c>
    </row>
    <row r="13" spans="1:28" x14ac:dyDescent="0.2">
      <c r="A13" s="17" t="s">
        <v>100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19" si="3">Z12</f>
        <v>Mike Miller</v>
      </c>
      <c r="AA13" s="18">
        <f>[1]Wilton!$BR$91</f>
        <v>940200</v>
      </c>
      <c r="AB13" s="18">
        <f t="shared" si="1"/>
        <v>-3.3333331812173128E-3</v>
      </c>
    </row>
    <row r="14" spans="1:28" x14ac:dyDescent="0.2">
      <c r="A14" s="17" t="s">
        <v>101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2824800/12+1+2+1</f>
        <v>235404</v>
      </c>
      <c r="Y14" s="11">
        <f t="shared" si="0"/>
        <v>2824800</v>
      </c>
      <c r="Z14" s="19" t="str">
        <f t="shared" si="3"/>
        <v>Mike Miller</v>
      </c>
      <c r="AA14" s="18">
        <f>[1]Wilton!$BR$92</f>
        <v>2824800</v>
      </c>
      <c r="AB14" s="18">
        <f t="shared" si="1"/>
        <v>0</v>
      </c>
    </row>
    <row r="15" spans="1:28" x14ac:dyDescent="0.2">
      <c r="A15" s="17" t="s">
        <v>102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[1]Wilton!$BR$93</f>
        <v>3066700</v>
      </c>
      <c r="AB15" s="18">
        <f t="shared" si="1"/>
        <v>0</v>
      </c>
    </row>
    <row r="16" spans="1:28" x14ac:dyDescent="0.2">
      <c r="A16" s="17" t="s">
        <v>114</v>
      </c>
      <c r="C16" s="4">
        <v>0</v>
      </c>
      <c r="F16" s="8"/>
      <c r="K16" s="18">
        <v>0</v>
      </c>
      <c r="M16" s="18">
        <v>0</v>
      </c>
      <c r="N16" s="18">
        <v>862088</v>
      </c>
      <c r="O16" s="17">
        <f>636689+41531</f>
        <v>678220</v>
      </c>
      <c r="P16" s="18">
        <v>1727562</v>
      </c>
      <c r="R16" s="18">
        <v>1128996</v>
      </c>
      <c r="S16" s="18">
        <v>2233236</v>
      </c>
      <c r="T16" s="18">
        <v>1746094</v>
      </c>
      <c r="U16" s="18">
        <f>1164348+622654+868432+6403266-41531-23374</f>
        <v>8993795</v>
      </c>
      <c r="Y16" s="11">
        <f t="shared" si="0"/>
        <v>17369991</v>
      </c>
      <c r="Z16" s="19" t="str">
        <f t="shared" si="3"/>
        <v>Mike Miller</v>
      </c>
      <c r="AA16" s="18">
        <f>[1]Wilton!$BR$46</f>
        <v>17369991</v>
      </c>
      <c r="AB16" s="18">
        <f t="shared" si="1"/>
        <v>0</v>
      </c>
    </row>
    <row r="17" spans="1:28" x14ac:dyDescent="0.2">
      <c r="A17" s="17" t="s">
        <v>115</v>
      </c>
      <c r="F17" s="8"/>
      <c r="N17" s="18">
        <v>3301</v>
      </c>
      <c r="O17" s="18">
        <v>346618</v>
      </c>
      <c r="P17" s="18">
        <v>1451621</v>
      </c>
      <c r="R17" s="18">
        <v>2665269</v>
      </c>
      <c r="S17" s="18">
        <v>1954057</v>
      </c>
      <c r="T17" s="18">
        <v>231962</v>
      </c>
      <c r="U17" s="18">
        <f>108857+357741-271+577607</f>
        <v>1043934</v>
      </c>
      <c r="Y17" s="11">
        <f t="shared" si="0"/>
        <v>7696762</v>
      </c>
      <c r="Z17" s="19" t="str">
        <f t="shared" si="3"/>
        <v>Mike Miller</v>
      </c>
      <c r="AA17" s="18">
        <f>[1]Wilton!$BR$53</f>
        <v>7696762</v>
      </c>
      <c r="AB17" s="18">
        <f t="shared" si="1"/>
        <v>0</v>
      </c>
    </row>
    <row r="18" spans="1:28" x14ac:dyDescent="0.2">
      <c r="A18" s="17" t="s">
        <v>116</v>
      </c>
      <c r="F18" s="8"/>
      <c r="N18" s="18">
        <v>0</v>
      </c>
      <c r="O18" s="18">
        <v>2569929</v>
      </c>
      <c r="P18" s="18">
        <v>4657660</v>
      </c>
      <c r="R18" s="18">
        <v>9133979</v>
      </c>
      <c r="S18" s="18">
        <f>11527832-S16-S17-S19</f>
        <v>6849670</v>
      </c>
      <c r="T18" s="18">
        <v>3000000</v>
      </c>
      <c r="U18" s="18">
        <f>4849213+4363162-3390463+13785095+41617</f>
        <v>19648624</v>
      </c>
      <c r="W18" s="18">
        <v>0</v>
      </c>
      <c r="Y18" s="11">
        <f t="shared" si="0"/>
        <v>45859862</v>
      </c>
      <c r="Z18" s="19" t="str">
        <f t="shared" si="3"/>
        <v>Mike Miller</v>
      </c>
      <c r="AA18" s="18">
        <f>[1]Wilton!$BR$79</f>
        <v>45859862</v>
      </c>
      <c r="AB18" s="18">
        <f t="shared" si="1"/>
        <v>0</v>
      </c>
    </row>
    <row r="19" spans="1:28" x14ac:dyDescent="0.2">
      <c r="A19" s="17" t="s">
        <v>117</v>
      </c>
      <c r="F19" s="8"/>
      <c r="M19" s="18">
        <v>0</v>
      </c>
      <c r="N19" s="18">
        <v>0</v>
      </c>
      <c r="O19" s="18">
        <v>28388</v>
      </c>
      <c r="P19" s="18">
        <v>763285</v>
      </c>
      <c r="R19" s="18">
        <v>2460865</v>
      </c>
      <c r="S19" s="18">
        <v>490869</v>
      </c>
      <c r="T19" s="18">
        <f>199984-63285</f>
        <v>136699</v>
      </c>
      <c r="U19" s="17">
        <f>763285+693259</f>
        <v>1456544</v>
      </c>
      <c r="Y19" s="11">
        <f t="shared" si="0"/>
        <v>5336650</v>
      </c>
      <c r="Z19" s="19" t="str">
        <f t="shared" si="3"/>
        <v>Mike Miller</v>
      </c>
      <c r="AA19" s="18">
        <f>[1]Wilton!$BR$82</f>
        <v>5336650</v>
      </c>
      <c r="AB19" s="18">
        <f t="shared" si="1"/>
        <v>0</v>
      </c>
    </row>
    <row r="20" spans="1:28" x14ac:dyDescent="0.2">
      <c r="A20" s="17" t="s">
        <v>119</v>
      </c>
      <c r="F20" s="8"/>
      <c r="N20" s="18">
        <v>8573073</v>
      </c>
      <c r="O20" s="18">
        <v>7093919</v>
      </c>
      <c r="P20" s="18">
        <v>-7855877</v>
      </c>
      <c r="Q20" s="18">
        <v>12922196</v>
      </c>
      <c r="R20" s="18">
        <v>-3861277</v>
      </c>
      <c r="U20" s="18">
        <f>-16872034-1184629</f>
        <v>-18056663</v>
      </c>
      <c r="Y20" s="11">
        <f t="shared" si="0"/>
        <v>-1184629</v>
      </c>
      <c r="Z20" s="19" t="e">
        <f>#REF!</f>
        <v>#REF!</v>
      </c>
      <c r="AA20" s="18">
        <f>[1]Wilton!$BR$86</f>
        <v>0</v>
      </c>
      <c r="AB20" s="18">
        <f t="shared" si="1"/>
        <v>-1184629</v>
      </c>
    </row>
    <row r="21" spans="1:28" x14ac:dyDescent="0.2">
      <c r="A21" s="17" t="s">
        <v>124</v>
      </c>
      <c r="F21" s="8"/>
      <c r="U21" s="18">
        <v>500000</v>
      </c>
      <c r="Y21" s="11">
        <f t="shared" si="0"/>
        <v>500000</v>
      </c>
      <c r="Z21" s="19"/>
      <c r="AA21" s="18">
        <f>[1]Wilton!$BR$122</f>
        <v>500000</v>
      </c>
    </row>
    <row r="22" spans="1:28" x14ac:dyDescent="0.2">
      <c r="A22" s="17" t="s">
        <v>122</v>
      </c>
      <c r="C22" s="4">
        <v>0</v>
      </c>
      <c r="F22" s="8"/>
      <c r="P22" s="18">
        <v>0</v>
      </c>
      <c r="Q22" s="18">
        <v>37000</v>
      </c>
      <c r="R22" s="18">
        <v>141652</v>
      </c>
      <c r="S22" s="18">
        <f>125000+100000</f>
        <v>225000</v>
      </c>
      <c r="T22" s="18">
        <f>125000+113000</f>
        <v>238000</v>
      </c>
      <c r="U22" s="17">
        <f>908786-625000-16652</f>
        <v>267134</v>
      </c>
      <c r="V22" s="17"/>
      <c r="W22" s="17"/>
      <c r="X22" s="17"/>
      <c r="Y22" s="11">
        <f t="shared" si="0"/>
        <v>908786</v>
      </c>
      <c r="Z22" s="19" t="s">
        <v>51</v>
      </c>
      <c r="AA22" s="18">
        <f>[1]Wilton!$BR$116</f>
        <v>908786</v>
      </c>
      <c r="AB22" s="18">
        <f t="shared" si="1"/>
        <v>0</v>
      </c>
    </row>
    <row r="23" spans="1:28" x14ac:dyDescent="0.2">
      <c r="A23" s="17" t="s">
        <v>22</v>
      </c>
      <c r="C23" s="4">
        <v>0</v>
      </c>
      <c r="F23" s="8"/>
      <c r="S23" s="18">
        <v>500000</v>
      </c>
      <c r="T23" s="18">
        <v>500000</v>
      </c>
      <c r="U23" s="18">
        <f>1253881-1000000</f>
        <v>253881</v>
      </c>
      <c r="Y23" s="11">
        <f t="shared" si="0"/>
        <v>1253881</v>
      </c>
      <c r="Z23" s="19" t="str">
        <f>Z16</f>
        <v>Mike Miller</v>
      </c>
      <c r="AA23" s="18">
        <f>[1]Wilton!$BR$124</f>
        <v>1253881</v>
      </c>
      <c r="AB23" s="18">
        <f t="shared" si="1"/>
        <v>0</v>
      </c>
    </row>
    <row r="24" spans="1:28" x14ac:dyDescent="0.2">
      <c r="A24" s="17" t="s">
        <v>23</v>
      </c>
      <c r="C24" s="4">
        <v>0</v>
      </c>
      <c r="F24" s="8">
        <v>20000</v>
      </c>
      <c r="G24" s="18">
        <f>1381361+65000</f>
        <v>1446361</v>
      </c>
      <c r="H24" s="18">
        <v>8500</v>
      </c>
      <c r="J24" s="18">
        <v>821965</v>
      </c>
      <c r="K24" s="18">
        <v>0</v>
      </c>
      <c r="M24" s="17">
        <v>1000</v>
      </c>
      <c r="N24" s="18">
        <v>7992</v>
      </c>
      <c r="P24" s="18">
        <v>180000</v>
      </c>
      <c r="Q24" s="18">
        <v>-13168</v>
      </c>
      <c r="Y24" s="11">
        <f t="shared" si="0"/>
        <v>2472650</v>
      </c>
      <c r="Z24" s="19" t="s">
        <v>52</v>
      </c>
      <c r="AA24" s="18">
        <f>[1]Wilton!$BR$131</f>
        <v>2472650.2800000003</v>
      </c>
      <c r="AB24" s="18">
        <f t="shared" si="1"/>
        <v>-0.28000000026077032</v>
      </c>
    </row>
    <row r="25" spans="1:28" x14ac:dyDescent="0.2">
      <c r="A25" s="17" t="s">
        <v>24</v>
      </c>
      <c r="C25" s="4">
        <v>0</v>
      </c>
      <c r="E25" s="18">
        <v>0</v>
      </c>
      <c r="F25" s="8">
        <v>0</v>
      </c>
      <c r="G25" s="17"/>
      <c r="H25" s="18">
        <v>71081</v>
      </c>
      <c r="I25" s="17">
        <v>13262</v>
      </c>
      <c r="J25" s="17">
        <v>24704.06</v>
      </c>
      <c r="K25" s="17">
        <v>9361.2199999999993</v>
      </c>
      <c r="L25" s="17">
        <v>11746.18</v>
      </c>
      <c r="M25" s="18">
        <v>19878</v>
      </c>
      <c r="N25" s="18">
        <v>29832</v>
      </c>
      <c r="O25" s="18">
        <v>39860</v>
      </c>
      <c r="P25" s="18">
        <v>5434</v>
      </c>
      <c r="Q25" s="18">
        <v>2588</v>
      </c>
      <c r="R25" s="18">
        <v>0</v>
      </c>
      <c r="T25" s="18">
        <v>73458</v>
      </c>
      <c r="U25" s="18">
        <v>48750</v>
      </c>
      <c r="Y25" s="11">
        <f t="shared" si="0"/>
        <v>349954.45999999996</v>
      </c>
      <c r="Z25" s="19" t="str">
        <f>Z24</f>
        <v>Scott Healy</v>
      </c>
    </row>
    <row r="26" spans="1:28" x14ac:dyDescent="0.2">
      <c r="A26" s="17" t="s">
        <v>95</v>
      </c>
      <c r="F26" s="8"/>
      <c r="G26" s="17"/>
      <c r="I26" s="17"/>
      <c r="J26" s="17"/>
      <c r="K26" s="17"/>
      <c r="L26" s="17"/>
      <c r="O26" s="18">
        <v>216382</v>
      </c>
      <c r="P26" s="18">
        <v>2174</v>
      </c>
      <c r="R26" s="18">
        <v>168836</v>
      </c>
      <c r="T26" s="18">
        <v>0</v>
      </c>
      <c r="Y26" s="11">
        <f t="shared" si="0"/>
        <v>387392</v>
      </c>
      <c r="Z26" s="19"/>
      <c r="AA26" s="18">
        <f>[1]Wilton!$BR$120</f>
        <v>387391.81000000006</v>
      </c>
      <c r="AB26" s="18">
        <f t="shared" si="1"/>
        <v>0.18999999994412065</v>
      </c>
    </row>
    <row r="27" spans="1:28" x14ac:dyDescent="0.2">
      <c r="A27" s="17" t="s">
        <v>99</v>
      </c>
      <c r="C27" s="4">
        <v>0</v>
      </c>
      <c r="F27" s="8"/>
      <c r="M27" s="18">
        <v>50050</v>
      </c>
      <c r="N27" s="18">
        <v>160616</v>
      </c>
      <c r="O27" s="18">
        <v>8228</v>
      </c>
      <c r="P27" s="18">
        <v>115500</v>
      </c>
      <c r="Q27" s="18">
        <v>445269</v>
      </c>
      <c r="R27" s="18">
        <v>0</v>
      </c>
      <c r="S27" s="18">
        <v>220337</v>
      </c>
      <c r="T27" s="18">
        <v>200000</v>
      </c>
      <c r="Y27" s="11">
        <f t="shared" si="0"/>
        <v>1200000</v>
      </c>
      <c r="Z27" s="19" t="s">
        <v>53</v>
      </c>
      <c r="AA27" s="18">
        <f>[1]Wilton!$BR$140</f>
        <v>1200000</v>
      </c>
      <c r="AB27" s="18">
        <f t="shared" si="1"/>
        <v>0</v>
      </c>
    </row>
    <row r="28" spans="1:28" x14ac:dyDescent="0.2">
      <c r="A28" s="17" t="s">
        <v>25</v>
      </c>
      <c r="C28" s="4">
        <v>0</v>
      </c>
      <c r="F28" s="8"/>
      <c r="O28" s="18">
        <v>0</v>
      </c>
      <c r="P28" s="18">
        <v>0</v>
      </c>
      <c r="Q28" s="18">
        <v>0</v>
      </c>
      <c r="R28" s="18">
        <v>0</v>
      </c>
      <c r="S28" s="18">
        <f>1500000+1750000</f>
        <v>3250000</v>
      </c>
      <c r="T28" s="18">
        <v>2750000</v>
      </c>
      <c r="U28" s="18">
        <f>250000+1750000</f>
        <v>2000000</v>
      </c>
      <c r="Y28" s="11">
        <f t="shared" si="0"/>
        <v>8000000</v>
      </c>
      <c r="Z28" s="19" t="s">
        <v>53</v>
      </c>
      <c r="AA28" s="18">
        <f>[1]Wilton!$BR$142</f>
        <v>8000000</v>
      </c>
      <c r="AB28" s="18">
        <f t="shared" si="1"/>
        <v>0</v>
      </c>
    </row>
    <row r="29" spans="1:28" x14ac:dyDescent="0.2">
      <c r="A29" s="17" t="s">
        <v>27</v>
      </c>
      <c r="C29" s="4">
        <v>0</v>
      </c>
      <c r="F29" s="8"/>
      <c r="S29" s="18">
        <v>500000</v>
      </c>
      <c r="T29" s="18">
        <v>500000</v>
      </c>
      <c r="U29" s="18">
        <v>500000</v>
      </c>
      <c r="Y29" s="11">
        <f t="shared" si="0"/>
        <v>1500000</v>
      </c>
      <c r="Z29" s="19" t="str">
        <f>Z22</f>
        <v>Kevin Presto</v>
      </c>
      <c r="AA29" s="18">
        <f>[1]Wilton!$BR$146</f>
        <v>1500000</v>
      </c>
      <c r="AB29" s="18">
        <f t="shared" si="1"/>
        <v>0</v>
      </c>
    </row>
    <row r="30" spans="1:28" x14ac:dyDescent="0.2">
      <c r="A30" s="17" t="s">
        <v>29</v>
      </c>
      <c r="C30" s="4">
        <v>0</v>
      </c>
      <c r="F30" s="8"/>
      <c r="M30" s="18">
        <v>0</v>
      </c>
      <c r="N30" s="18">
        <v>0</v>
      </c>
      <c r="O30" s="18">
        <v>266248.5</v>
      </c>
      <c r="Y30" s="11">
        <f t="shared" si="0"/>
        <v>266248.5</v>
      </c>
      <c r="Z30" s="19" t="s">
        <v>52</v>
      </c>
      <c r="AA30" s="18">
        <v>266249</v>
      </c>
      <c r="AB30" s="18">
        <f t="shared" si="1"/>
        <v>-0.5</v>
      </c>
    </row>
    <row r="31" spans="1:28" x14ac:dyDescent="0.2">
      <c r="A31" s="17" t="s">
        <v>30</v>
      </c>
      <c r="C31" s="4">
        <v>0</v>
      </c>
      <c r="D31" s="18">
        <v>0</v>
      </c>
      <c r="E31" s="18">
        <v>0</v>
      </c>
      <c r="F31" s="8">
        <v>0</v>
      </c>
      <c r="G31" s="18">
        <v>7949</v>
      </c>
      <c r="H31" s="18">
        <v>29402</v>
      </c>
      <c r="I31" s="18">
        <v>13770.85</v>
      </c>
      <c r="J31" s="18">
        <v>7746</v>
      </c>
      <c r="K31" s="18">
        <v>6276</v>
      </c>
      <c r="L31" s="18">
        <v>6591.41</v>
      </c>
      <c r="M31" s="18">
        <v>0</v>
      </c>
      <c r="N31" s="18">
        <v>0</v>
      </c>
      <c r="O31" s="18">
        <v>0</v>
      </c>
      <c r="P31" s="18">
        <v>0</v>
      </c>
      <c r="Q31" s="18">
        <v>19124</v>
      </c>
      <c r="R31" s="18">
        <v>9119.08</v>
      </c>
      <c r="S31" s="18">
        <f>6712-438+13334-19124+13334</f>
        <v>13818</v>
      </c>
      <c r="T31" s="18">
        <f>5588+13333</f>
        <v>18921</v>
      </c>
      <c r="U31" s="17">
        <f>6742+33723+13333-9119.08</f>
        <v>44678.92</v>
      </c>
      <c r="V31" s="17"/>
      <c r="W31" s="17"/>
      <c r="X31" s="17"/>
      <c r="Y31" s="11">
        <f t="shared" si="0"/>
        <v>177396.26</v>
      </c>
      <c r="Z31" s="19" t="s">
        <v>52</v>
      </c>
    </row>
    <row r="32" spans="1:28" x14ac:dyDescent="0.2">
      <c r="A32" s="17" t="s">
        <v>32</v>
      </c>
      <c r="C32" s="4">
        <v>0</v>
      </c>
      <c r="D32" s="18">
        <v>0</v>
      </c>
      <c r="E32" s="18">
        <v>0</v>
      </c>
      <c r="F32" s="8">
        <v>0</v>
      </c>
      <c r="G32" s="18">
        <v>0</v>
      </c>
      <c r="H32" s="18">
        <v>11792</v>
      </c>
      <c r="I32" s="18">
        <f>11675+5185</f>
        <v>16860</v>
      </c>
      <c r="J32" s="18">
        <f>3599+10838+1916.6</f>
        <v>16353.6</v>
      </c>
      <c r="K32" s="18">
        <v>33741</v>
      </c>
      <c r="L32" s="18">
        <f>20657.14+6342.74</f>
        <v>26999.879999999997</v>
      </c>
      <c r="M32" s="18">
        <v>47825</v>
      </c>
      <c r="N32" s="18">
        <v>131162</v>
      </c>
      <c r="O32" s="18">
        <v>154225</v>
      </c>
      <c r="P32" s="18">
        <v>51069</v>
      </c>
      <c r="Q32" s="18">
        <v>42246.5</v>
      </c>
      <c r="R32" s="18">
        <v>73751</v>
      </c>
      <c r="S32" s="17">
        <v>105000</v>
      </c>
      <c r="T32" s="17">
        <f>1786+68710-42019</f>
        <v>28477</v>
      </c>
      <c r="U32" s="18">
        <f>36960-8586+14604</f>
        <v>42978</v>
      </c>
      <c r="Y32" s="11">
        <f t="shared" si="0"/>
        <v>782479.98</v>
      </c>
      <c r="Z32" s="19" t="s">
        <v>52</v>
      </c>
    </row>
    <row r="33" spans="1:27" x14ac:dyDescent="0.2">
      <c r="A33" s="17" t="s">
        <v>33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604.5</v>
      </c>
      <c r="I33" s="18">
        <v>0</v>
      </c>
      <c r="J33" s="18">
        <v>21423</v>
      </c>
      <c r="K33" s="18">
        <v>0</v>
      </c>
      <c r="L33" s="18">
        <v>75</v>
      </c>
      <c r="M33" s="18">
        <v>6749</v>
      </c>
      <c r="N33" s="18">
        <v>4455</v>
      </c>
      <c r="O33" s="18">
        <f>252209+5848.5</f>
        <v>258057.5</v>
      </c>
      <c r="P33" s="18">
        <v>49464</v>
      </c>
      <c r="Q33" s="18">
        <v>0</v>
      </c>
      <c r="R33" s="18">
        <v>0</v>
      </c>
      <c r="S33" s="18">
        <f>153+18251+5000+50000</f>
        <v>73404</v>
      </c>
      <c r="T33" s="18">
        <f>54925-5848.5+50000</f>
        <v>99076.5</v>
      </c>
      <c r="U33" s="18">
        <f>15544+19571</f>
        <v>35115</v>
      </c>
      <c r="Y33" s="11">
        <f t="shared" si="0"/>
        <v>548423.5</v>
      </c>
      <c r="Z33" s="19" t="s">
        <v>52</v>
      </c>
      <c r="AA33" s="18">
        <v>0</v>
      </c>
    </row>
    <row r="34" spans="1:27" x14ac:dyDescent="0.2">
      <c r="A34" s="17" t="s">
        <v>63</v>
      </c>
      <c r="C34" s="21">
        <f t="shared" ref="C34:U34" si="5">SUM(C10:C33)</f>
        <v>6800000</v>
      </c>
      <c r="D34" s="21">
        <f t="shared" si="5"/>
        <v>1250000</v>
      </c>
      <c r="E34" s="21">
        <f t="shared" si="5"/>
        <v>32884800</v>
      </c>
      <c r="F34" s="21">
        <f t="shared" si="5"/>
        <v>20000</v>
      </c>
      <c r="G34" s="21">
        <f t="shared" si="5"/>
        <v>1454310</v>
      </c>
      <c r="H34" s="21">
        <f t="shared" si="5"/>
        <v>18431906.5</v>
      </c>
      <c r="I34" s="21">
        <f t="shared" si="5"/>
        <v>7659172.8499999996</v>
      </c>
      <c r="J34" s="21">
        <f t="shared" si="5"/>
        <v>8382273.5933333319</v>
      </c>
      <c r="K34" s="21">
        <f t="shared" si="5"/>
        <v>6523038.5533333328</v>
      </c>
      <c r="L34" s="21">
        <f t="shared" si="5"/>
        <v>7283592.8033333328</v>
      </c>
      <c r="M34" s="21">
        <f t="shared" si="5"/>
        <v>11032599.530000001</v>
      </c>
      <c r="N34" s="21">
        <f t="shared" si="5"/>
        <v>17015699.333333332</v>
      </c>
      <c r="O34" s="21">
        <f t="shared" si="5"/>
        <v>38436364.083333328</v>
      </c>
      <c r="P34" s="21">
        <f t="shared" si="5"/>
        <v>2052829.1333333328</v>
      </c>
      <c r="Q34" s="21">
        <f>SUM(Q10:Q33)</f>
        <v>28278094.713333331</v>
      </c>
      <c r="R34" s="21">
        <f t="shared" si="5"/>
        <v>22281321.033333331</v>
      </c>
      <c r="S34" s="21">
        <f t="shared" si="5"/>
        <v>17347975.333333336</v>
      </c>
      <c r="T34" s="21">
        <f t="shared" si="5"/>
        <v>10427625.833333334</v>
      </c>
      <c r="U34" s="21">
        <f t="shared" si="5"/>
        <v>20775702.253333338</v>
      </c>
      <c r="V34" s="21">
        <f>SUM(V10:V33)</f>
        <v>0</v>
      </c>
      <c r="W34" s="21">
        <f>SUM(W10:W33)</f>
        <v>0</v>
      </c>
      <c r="X34" s="21">
        <f>SUM(X10:X33)</f>
        <v>0</v>
      </c>
      <c r="Y34" s="22">
        <f>SUM(C34:X34)</f>
        <v>258337305.54666665</v>
      </c>
    </row>
    <row r="35" spans="1:27" x14ac:dyDescent="0.2">
      <c r="A35" s="17" t="s">
        <v>67</v>
      </c>
      <c r="C35" s="21">
        <f>+C34</f>
        <v>6800000</v>
      </c>
      <c r="D35" s="21">
        <f t="shared" ref="D35:U35" si="6">+C35+D34</f>
        <v>8050000</v>
      </c>
      <c r="E35" s="21">
        <f t="shared" si="6"/>
        <v>40934800</v>
      </c>
      <c r="F35" s="21">
        <f t="shared" si="6"/>
        <v>40954800</v>
      </c>
      <c r="G35" s="21">
        <f t="shared" si="6"/>
        <v>42409110</v>
      </c>
      <c r="H35" s="21">
        <f t="shared" si="6"/>
        <v>60841016.5</v>
      </c>
      <c r="I35" s="21">
        <f t="shared" si="6"/>
        <v>68500189.349999994</v>
      </c>
      <c r="J35" s="21">
        <f t="shared" si="6"/>
        <v>76882462.943333328</v>
      </c>
      <c r="K35" s="21">
        <f t="shared" si="6"/>
        <v>83405501.496666655</v>
      </c>
      <c r="L35" s="21">
        <f t="shared" si="6"/>
        <v>90689094.299999982</v>
      </c>
      <c r="M35" s="21">
        <f t="shared" si="6"/>
        <v>101721693.82999998</v>
      </c>
      <c r="N35" s="21">
        <f t="shared" si="6"/>
        <v>118737393.16333331</v>
      </c>
      <c r="O35" s="21">
        <f t="shared" si="6"/>
        <v>157173757.24666664</v>
      </c>
      <c r="P35" s="21">
        <f>+O35+P34</f>
        <v>159226586.37999997</v>
      </c>
      <c r="Q35" s="21">
        <f t="shared" si="6"/>
        <v>187504681.0933333</v>
      </c>
      <c r="R35" s="21">
        <f>+Q35+R34</f>
        <v>209786002.12666664</v>
      </c>
      <c r="S35" s="21">
        <f t="shared" si="6"/>
        <v>227133977.45999998</v>
      </c>
      <c r="T35" s="21">
        <f t="shared" si="6"/>
        <v>237561603.29333332</v>
      </c>
      <c r="U35" s="21">
        <f t="shared" si="6"/>
        <v>258337305.54666665</v>
      </c>
      <c r="V35" s="21">
        <f>+U35+V34</f>
        <v>258337305.54666665</v>
      </c>
      <c r="W35" s="21">
        <f>+V35+W34</f>
        <v>258337305.54666665</v>
      </c>
      <c r="X35" s="21">
        <f>+W35+X34</f>
        <v>258337305.54666665</v>
      </c>
      <c r="Y35" s="13"/>
    </row>
    <row r="36" spans="1:27" x14ac:dyDescent="0.2">
      <c r="A36" s="17" t="s">
        <v>64</v>
      </c>
      <c r="F36" s="8"/>
      <c r="Y36" s="16">
        <f>+Y34/C51/1000</f>
        <v>424.89688412280702</v>
      </c>
      <c r="Z36" s="20"/>
    </row>
    <row r="37" spans="1:27" x14ac:dyDescent="0.2">
      <c r="F37" s="8"/>
      <c r="Y37" s="11"/>
    </row>
    <row r="38" spans="1:27" x14ac:dyDescent="0.2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>SUM(C38:X38)</f>
        <v>-6077.5000000000073</v>
      </c>
      <c r="Z38" s="19" t="s">
        <v>54</v>
      </c>
    </row>
    <row r="39" spans="1:27" x14ac:dyDescent="0.2">
      <c r="A39" s="17" t="s">
        <v>44</v>
      </c>
      <c r="C39" s="9">
        <v>340000</v>
      </c>
      <c r="D39" s="20">
        <v>46410</v>
      </c>
      <c r="E39" s="20">
        <v>139384</v>
      </c>
      <c r="F39" s="41">
        <f>205882.6+21556.4</f>
        <v>227439</v>
      </c>
      <c r="G39" s="30">
        <v>231444</v>
      </c>
      <c r="H39" s="30">
        <v>419367</v>
      </c>
      <c r="I39" s="30">
        <v>378615.55252083327</v>
      </c>
      <c r="J39" s="30">
        <v>426070.36872754333</v>
      </c>
      <c r="K39" s="30">
        <v>463711.37538870639</v>
      </c>
      <c r="L39" s="30">
        <v>505639.68570277008</v>
      </c>
      <c r="M39" s="30">
        <v>568176.30085850751</v>
      </c>
      <c r="N39" s="30">
        <v>663422.29387704656</v>
      </c>
      <c r="O39" s="30">
        <v>873819.32529526937</v>
      </c>
      <c r="P39" s="30">
        <v>891069.81590450753</v>
      </c>
      <c r="Q39" s="30">
        <v>1048965.8687712126</v>
      </c>
      <c r="R39" s="30">
        <v>1175441.8444909456</v>
      </c>
      <c r="S39" s="30">
        <f>(S35+R44)*$C49/12</f>
        <v>1275777.0208708271</v>
      </c>
      <c r="T39" s="30">
        <f>(T35+S44)*$C49/12</f>
        <v>1339170.4529977664</v>
      </c>
      <c r="U39" s="30">
        <f>(U35+T44)*$C49/12</f>
        <v>1458959.3468237265</v>
      </c>
      <c r="V39" s="30"/>
      <c r="W39" s="30"/>
      <c r="X39" s="30"/>
      <c r="Y39" s="11">
        <f>SUM(C39:X39)</f>
        <v>12472883.252229661</v>
      </c>
      <c r="Z39" s="19">
        <f>Z52</f>
        <v>0</v>
      </c>
    </row>
    <row r="40" spans="1:27" x14ac:dyDescent="0.2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>SUM(C40:X40)</f>
        <v>0</v>
      </c>
      <c r="Z40" s="19">
        <f>Z39</f>
        <v>0</v>
      </c>
    </row>
    <row r="41" spans="1:27" x14ac:dyDescent="0.2">
      <c r="A41" s="17" t="s">
        <v>120</v>
      </c>
      <c r="C41" s="4">
        <v>0</v>
      </c>
      <c r="H41" s="18">
        <v>100</v>
      </c>
      <c r="K41" s="18">
        <f>220+59</f>
        <v>279</v>
      </c>
      <c r="L41" s="18">
        <v>10</v>
      </c>
      <c r="M41" s="18">
        <v>0</v>
      </c>
      <c r="N41" s="18">
        <v>800</v>
      </c>
      <c r="Y41" s="11">
        <f>SUM(C41:X41)</f>
        <v>1189</v>
      </c>
      <c r="Z41" s="19"/>
    </row>
    <row r="42" spans="1:27" x14ac:dyDescent="0.2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>SUM(C42:X42)</f>
        <v>0</v>
      </c>
      <c r="Z42" s="19" t="str">
        <f>Z23</f>
        <v>Mike Miller</v>
      </c>
    </row>
    <row r="43" spans="1:27" x14ac:dyDescent="0.2">
      <c r="A43" s="17" t="s">
        <v>65</v>
      </c>
      <c r="C43" s="21">
        <f>SUM(C38:C42)</f>
        <v>340000</v>
      </c>
      <c r="D43" s="21">
        <f t="shared" ref="D43:U43" si="7">SUM(D38:D42)</f>
        <v>46410</v>
      </c>
      <c r="E43" s="21">
        <f t="shared" si="7"/>
        <v>139384</v>
      </c>
      <c r="F43" s="21">
        <f t="shared" si="7"/>
        <v>205882.6</v>
      </c>
      <c r="G43" s="21">
        <f t="shared" si="7"/>
        <v>297922.90000000002</v>
      </c>
      <c r="H43" s="21">
        <f t="shared" si="7"/>
        <v>368467</v>
      </c>
      <c r="I43" s="21">
        <f t="shared" si="7"/>
        <v>378615.55252083327</v>
      </c>
      <c r="J43" s="21">
        <f t="shared" ref="J43:O43" si="8">SUM(J38:J42)</f>
        <v>426070.36872754333</v>
      </c>
      <c r="K43" s="21">
        <f t="shared" si="8"/>
        <v>463990.37538870639</v>
      </c>
      <c r="L43" s="21">
        <f t="shared" si="8"/>
        <v>505649.68570277008</v>
      </c>
      <c r="M43" s="21">
        <f t="shared" si="8"/>
        <v>568176.30085850751</v>
      </c>
      <c r="N43" s="21">
        <f t="shared" si="8"/>
        <v>664222.29387704656</v>
      </c>
      <c r="O43" s="21">
        <f t="shared" si="8"/>
        <v>873819.32529526937</v>
      </c>
      <c r="P43" s="21">
        <f t="shared" si="7"/>
        <v>891069.81590450753</v>
      </c>
      <c r="Q43" s="21">
        <f t="shared" si="7"/>
        <v>1048965.8687712126</v>
      </c>
      <c r="R43" s="21">
        <f t="shared" si="7"/>
        <v>1175441.8444909456</v>
      </c>
      <c r="S43" s="21">
        <f t="shared" si="7"/>
        <v>1275777.0208708271</v>
      </c>
      <c r="T43" s="21">
        <f t="shared" si="7"/>
        <v>1339170.4529977664</v>
      </c>
      <c r="U43" s="21">
        <f t="shared" si="7"/>
        <v>1458959.3468237265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>SUM(C43:U43)</f>
        <v>12467994.752229661</v>
      </c>
      <c r="Z43" s="20"/>
    </row>
    <row r="44" spans="1:27" x14ac:dyDescent="0.2">
      <c r="A44" s="17" t="s">
        <v>68</v>
      </c>
      <c r="C44" s="21">
        <f>+C43</f>
        <v>340000</v>
      </c>
      <c r="D44" s="21">
        <f t="shared" ref="D44:U44" si="9">+D43+C44</f>
        <v>386410</v>
      </c>
      <c r="E44" s="21">
        <f t="shared" si="9"/>
        <v>525794</v>
      </c>
      <c r="F44" s="21">
        <f t="shared" si="9"/>
        <v>731676.6</v>
      </c>
      <c r="G44" s="21">
        <f t="shared" si="9"/>
        <v>1029599.5</v>
      </c>
      <c r="H44" s="21">
        <f t="shared" si="9"/>
        <v>1398066.5</v>
      </c>
      <c r="I44" s="21">
        <f t="shared" si="9"/>
        <v>1776682.0525208332</v>
      </c>
      <c r="J44" s="21">
        <f>+J43+I44</f>
        <v>2202752.4212483764</v>
      </c>
      <c r="K44" s="21">
        <f>+K43+J44</f>
        <v>2666742.7966370829</v>
      </c>
      <c r="L44" s="21">
        <f>+L43+K44</f>
        <v>3172392.482339853</v>
      </c>
      <c r="M44" s="21">
        <f>+M43+L44</f>
        <v>3740568.7831983604</v>
      </c>
      <c r="N44" s="21">
        <f t="shared" si="9"/>
        <v>4404791.0770754069</v>
      </c>
      <c r="O44" s="21">
        <f t="shared" si="9"/>
        <v>5278610.4023706764</v>
      </c>
      <c r="P44" s="21">
        <f>+P43+O44</f>
        <v>6169680.2182751838</v>
      </c>
      <c r="Q44" s="21">
        <f t="shared" si="9"/>
        <v>7218646.087046396</v>
      </c>
      <c r="R44" s="21">
        <f>+R43+Q44</f>
        <v>8394087.9315373413</v>
      </c>
      <c r="S44" s="21">
        <f t="shared" si="9"/>
        <v>9669864.9524081685</v>
      </c>
      <c r="T44" s="21">
        <f t="shared" si="9"/>
        <v>11009035.405405935</v>
      </c>
      <c r="U44" s="21">
        <f t="shared" si="9"/>
        <v>12467994.752229661</v>
      </c>
      <c r="V44" s="21">
        <f>+V43+U44</f>
        <v>12467994.752229661</v>
      </c>
      <c r="W44" s="21">
        <f>+W43+V44</f>
        <v>12467994.752229661</v>
      </c>
      <c r="X44" s="21">
        <f>+X43+W44</f>
        <v>12467994.752229661</v>
      </c>
      <c r="Y44" s="11"/>
      <c r="Z44" s="20"/>
    </row>
    <row r="45" spans="1:27" x14ac:dyDescent="0.2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">
      <c r="A46" s="4" t="s">
        <v>77</v>
      </c>
      <c r="C46" s="4">
        <f t="shared" ref="C46:U46" si="10">+C34+C43</f>
        <v>7140000</v>
      </c>
      <c r="D46" s="4">
        <f t="shared" si="10"/>
        <v>1296410</v>
      </c>
      <c r="E46" s="4">
        <f t="shared" si="10"/>
        <v>33024184</v>
      </c>
      <c r="F46" s="4">
        <f t="shared" si="10"/>
        <v>225882.6</v>
      </c>
      <c r="G46" s="4">
        <f t="shared" si="10"/>
        <v>1752232.9</v>
      </c>
      <c r="H46" s="4">
        <f t="shared" si="10"/>
        <v>18800373.5</v>
      </c>
      <c r="I46" s="4">
        <f t="shared" si="10"/>
        <v>8037788.4025208326</v>
      </c>
      <c r="J46" s="4">
        <f>+J34+J43</f>
        <v>8808343.9620608743</v>
      </c>
      <c r="K46" s="4">
        <f>+K34+K43</f>
        <v>6987028.9287220389</v>
      </c>
      <c r="L46" s="4">
        <f>+L34+L43</f>
        <v>7789242.4890361028</v>
      </c>
      <c r="M46" s="4">
        <f>+M34+M43</f>
        <v>11600775.830858508</v>
      </c>
      <c r="N46" s="4">
        <f t="shared" si="10"/>
        <v>17679921.627210379</v>
      </c>
      <c r="O46" s="4">
        <f t="shared" si="10"/>
        <v>39310183.408628598</v>
      </c>
      <c r="P46" s="4">
        <f t="shared" si="10"/>
        <v>2943898.9492378403</v>
      </c>
      <c r="Q46" s="4">
        <f t="shared" si="10"/>
        <v>29327060.582104545</v>
      </c>
      <c r="R46" s="4">
        <f t="shared" si="10"/>
        <v>23456762.877824277</v>
      </c>
      <c r="S46" s="4">
        <f t="shared" si="10"/>
        <v>18623752.354204163</v>
      </c>
      <c r="T46" s="4">
        <f t="shared" si="10"/>
        <v>11766796.2863311</v>
      </c>
      <c r="U46" s="4">
        <f t="shared" si="10"/>
        <v>22234661.600157063</v>
      </c>
      <c r="V46" s="4">
        <f>+V34+V43</f>
        <v>0</v>
      </c>
      <c r="W46" s="4">
        <f>+W34+W43</f>
        <v>0</v>
      </c>
      <c r="X46" s="4">
        <f>+X34+X43</f>
        <v>0</v>
      </c>
      <c r="Y46" s="11">
        <f>SUM(C46:X46)</f>
        <v>270805300.29889631</v>
      </c>
    </row>
    <row r="47" spans="1:27" s="4" customFormat="1" x14ac:dyDescent="0.2">
      <c r="A47" s="4" t="s">
        <v>45</v>
      </c>
      <c r="C47" s="4">
        <f>C46</f>
        <v>7140000</v>
      </c>
      <c r="D47" s="4">
        <f t="shared" ref="D47:U47" si="11">C47+D46</f>
        <v>8436410</v>
      </c>
      <c r="E47" s="4">
        <f t="shared" si="11"/>
        <v>41460594</v>
      </c>
      <c r="F47" s="4">
        <f t="shared" si="11"/>
        <v>41686476.600000001</v>
      </c>
      <c r="G47" s="4">
        <f t="shared" si="11"/>
        <v>43438709.5</v>
      </c>
      <c r="H47" s="4">
        <f t="shared" si="11"/>
        <v>62239083</v>
      </c>
      <c r="I47" s="4">
        <f t="shared" si="11"/>
        <v>70276871.402520835</v>
      </c>
      <c r="J47" s="4">
        <f>I47+J46</f>
        <v>79085215.364581704</v>
      </c>
      <c r="K47" s="4">
        <f>J47+K46</f>
        <v>86072244.293303743</v>
      </c>
      <c r="L47" s="4">
        <f>K47+L46</f>
        <v>93861486.782339841</v>
      </c>
      <c r="M47" s="4">
        <f>L47+M46</f>
        <v>105462262.61319835</v>
      </c>
      <c r="N47" s="4">
        <f t="shared" si="11"/>
        <v>123142184.24040873</v>
      </c>
      <c r="O47" s="4">
        <f t="shared" si="11"/>
        <v>162452367.64903733</v>
      </c>
      <c r="P47" s="4">
        <f>O47+P46</f>
        <v>165396266.59827518</v>
      </c>
      <c r="Q47" s="4">
        <f t="shared" si="11"/>
        <v>194723327.18037972</v>
      </c>
      <c r="R47" s="4">
        <f>Q47+R46</f>
        <v>218180090.058204</v>
      </c>
      <c r="S47" s="4">
        <f t="shared" si="11"/>
        <v>236803842.41240817</v>
      </c>
      <c r="T47" s="4">
        <f t="shared" si="11"/>
        <v>248570638.69873926</v>
      </c>
      <c r="U47" s="4">
        <f t="shared" si="11"/>
        <v>270805300.29889631</v>
      </c>
      <c r="V47" s="4">
        <f>U47+V46</f>
        <v>270805300.29889631</v>
      </c>
      <c r="W47" s="4">
        <f>V47+W46</f>
        <v>270805300.29889631</v>
      </c>
      <c r="X47" s="4">
        <f>W47+X46</f>
        <v>270805300.29889631</v>
      </c>
      <c r="Y47" s="11"/>
    </row>
    <row r="48" spans="1:27" s="4" customFormat="1" x14ac:dyDescent="0.2">
      <c r="A48" s="17" t="s">
        <v>64</v>
      </c>
      <c r="Y48" s="16">
        <f>+Y46/C51/1000</f>
        <v>445.40345443897422</v>
      </c>
    </row>
    <row r="49" spans="1:30" s="4" customFormat="1" x14ac:dyDescent="0.2">
      <c r="A49" s="8" t="s">
        <v>96</v>
      </c>
      <c r="C49" s="12">
        <v>6.5000000000000002E-2</v>
      </c>
      <c r="Y49" s="11"/>
    </row>
    <row r="50" spans="1:30" s="4" customFormat="1" x14ac:dyDescent="0.2">
      <c r="A50" s="8" t="s">
        <v>89</v>
      </c>
      <c r="C50" s="12">
        <v>3.5000000000000001E-3</v>
      </c>
      <c r="D50" s="35">
        <v>245672000</v>
      </c>
      <c r="Y50" s="11"/>
    </row>
    <row r="51" spans="1:30" s="4" customFormat="1" x14ac:dyDescent="0.2">
      <c r="A51" s="8"/>
      <c r="C51" s="4">
        <v>608</v>
      </c>
      <c r="D51" s="4" t="s">
        <v>66</v>
      </c>
      <c r="Y51" s="11"/>
    </row>
    <row r="52" spans="1:30" x14ac:dyDescent="0.2">
      <c r="A52" s="17" t="s">
        <v>39</v>
      </c>
      <c r="C52" s="4">
        <v>0</v>
      </c>
      <c r="U52" s="18">
        <v>0</v>
      </c>
      <c r="Y52" s="23">
        <f>SUM(C52:U52)</f>
        <v>0</v>
      </c>
      <c r="Z52" s="19">
        <f>Z41</f>
        <v>0</v>
      </c>
    </row>
    <row r="53" spans="1:30" s="4" customFormat="1" x14ac:dyDescent="0.2">
      <c r="A53" s="8"/>
      <c r="C53" s="12"/>
      <c r="Y53" s="11"/>
    </row>
    <row r="54" spans="1:30" x14ac:dyDescent="0.2">
      <c r="A54" s="17" t="s">
        <v>69</v>
      </c>
      <c r="C54" s="4">
        <f t="shared" ref="C54:X54" si="12">+C46-C39</f>
        <v>6800000</v>
      </c>
      <c r="D54" s="4">
        <f t="shared" si="12"/>
        <v>1250000</v>
      </c>
      <c r="E54" s="4">
        <f t="shared" si="12"/>
        <v>32884800</v>
      </c>
      <c r="F54" s="4">
        <f t="shared" si="12"/>
        <v>-1556.3999999999942</v>
      </c>
      <c r="G54" s="4">
        <f t="shared" si="12"/>
        <v>1520788.9</v>
      </c>
      <c r="H54" s="4">
        <f t="shared" si="12"/>
        <v>18381006.5</v>
      </c>
      <c r="I54" s="4">
        <f t="shared" si="12"/>
        <v>7659172.8499999996</v>
      </c>
      <c r="J54" s="4">
        <f t="shared" si="12"/>
        <v>8382273.5933333309</v>
      </c>
      <c r="K54" s="4">
        <f t="shared" si="12"/>
        <v>6523317.5533333328</v>
      </c>
      <c r="L54" s="4">
        <f t="shared" si="12"/>
        <v>7283602.8033333328</v>
      </c>
      <c r="M54" s="4">
        <f t="shared" si="12"/>
        <v>11032599.530000001</v>
      </c>
      <c r="N54" s="4">
        <f t="shared" si="12"/>
        <v>17016499.333333332</v>
      </c>
      <c r="O54" s="4">
        <f t="shared" si="12"/>
        <v>38436364.083333328</v>
      </c>
      <c r="P54" s="4">
        <f t="shared" si="12"/>
        <v>2052829.1333333328</v>
      </c>
      <c r="Q54" s="4">
        <f t="shared" si="12"/>
        <v>28278094.713333331</v>
      </c>
      <c r="R54" s="4">
        <f t="shared" si="12"/>
        <v>22281321.033333331</v>
      </c>
      <c r="S54" s="4">
        <f t="shared" si="12"/>
        <v>17347975.333333336</v>
      </c>
      <c r="T54" s="4">
        <f t="shared" si="12"/>
        <v>10427625.833333334</v>
      </c>
      <c r="U54" s="4">
        <f t="shared" si="12"/>
        <v>20775702.253333338</v>
      </c>
      <c r="V54" s="4">
        <f t="shared" si="12"/>
        <v>0</v>
      </c>
      <c r="W54" s="4">
        <f t="shared" si="12"/>
        <v>0</v>
      </c>
      <c r="X54" s="4">
        <f t="shared" si="12"/>
        <v>0</v>
      </c>
      <c r="Y54" s="11">
        <f>SUM(C54:X54)</f>
        <v>258332417.04666665</v>
      </c>
    </row>
    <row r="55" spans="1:30" ht="9.75" customHeight="1" x14ac:dyDescent="0.2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1"/>
    </row>
    <row r="56" spans="1:30" x14ac:dyDescent="0.2">
      <c r="Y56" s="11"/>
    </row>
    <row r="57" spans="1:30" ht="20.25" x14ac:dyDescent="0.55000000000000004">
      <c r="A57" s="32" t="s">
        <v>81</v>
      </c>
      <c r="Y57" s="11"/>
      <c r="AB57" s="17" t="s">
        <v>107</v>
      </c>
    </row>
    <row r="58" spans="1:30" x14ac:dyDescent="0.2">
      <c r="A58" s="5" t="s">
        <v>43</v>
      </c>
      <c r="Y58" s="11"/>
      <c r="AB58" s="17" t="s">
        <v>108</v>
      </c>
    </row>
    <row r="59" spans="1:30" x14ac:dyDescent="0.2">
      <c r="A59" s="17" t="s">
        <v>24</v>
      </c>
      <c r="C59" s="4">
        <v>0</v>
      </c>
      <c r="D59" s="18">
        <v>0</v>
      </c>
      <c r="E59" s="18">
        <v>0</v>
      </c>
      <c r="F59" s="8">
        <v>8000</v>
      </c>
      <c r="G59" s="18">
        <v>24712</v>
      </c>
      <c r="H59" s="18">
        <v>0</v>
      </c>
      <c r="I59" s="17">
        <v>0</v>
      </c>
      <c r="J59" s="17">
        <v>14873.37</v>
      </c>
      <c r="K59" s="17">
        <v>2460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SUM(C59:U59)</f>
        <v>50045.37</v>
      </c>
      <c r="Z59" s="19" t="s">
        <v>52</v>
      </c>
      <c r="AA59" s="18">
        <f>Y59+Y25</f>
        <v>399999.82999999996</v>
      </c>
      <c r="AB59" s="18">
        <f>[1]Wilton!$BR$138</f>
        <v>400000</v>
      </c>
      <c r="AC59" s="18">
        <f>AB59-AA59</f>
        <v>0.17000000004190952</v>
      </c>
      <c r="AD59" s="17"/>
    </row>
    <row r="60" spans="1:30" x14ac:dyDescent="0.2">
      <c r="A60" s="17" t="s">
        <v>32</v>
      </c>
      <c r="C60" s="4">
        <v>0</v>
      </c>
      <c r="D60" s="18">
        <v>1236</v>
      </c>
      <c r="E60" s="18">
        <f>56608-22604+22500</f>
        <v>56504</v>
      </c>
      <c r="F60" s="8">
        <f>5706+21114</f>
        <v>26820</v>
      </c>
      <c r="G60" s="17">
        <f>9652+1899</f>
        <v>11551</v>
      </c>
      <c r="H60" s="18">
        <v>0</v>
      </c>
      <c r="I60" s="18">
        <f>169479.45+30387.78</f>
        <v>199867.23</v>
      </c>
      <c r="J60" s="18">
        <f>566.91+3047.17+16608.78+17351.65+10439.68</f>
        <v>48014.19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343992.42</v>
      </c>
      <c r="Z60" s="19" t="str">
        <f>Z59</f>
        <v>Scott Healy</v>
      </c>
      <c r="AA60" s="18">
        <f>Y60+Y32</f>
        <v>1126472.3999999999</v>
      </c>
      <c r="AB60" s="18">
        <f>[1]Wilton!$BR$161</f>
        <v>1126472.3199999998</v>
      </c>
      <c r="AC60" s="18">
        <f>AB60-AA60</f>
        <v>-8.0000000074505806E-2</v>
      </c>
    </row>
    <row r="61" spans="1:30" x14ac:dyDescent="0.2">
      <c r="A61" s="17" t="s">
        <v>30</v>
      </c>
      <c r="C61" s="4">
        <v>0</v>
      </c>
      <c r="D61" s="18">
        <v>0</v>
      </c>
      <c r="E61" s="18">
        <v>22604</v>
      </c>
      <c r="F61" s="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T61" s="18">
        <v>0</v>
      </c>
      <c r="U61" s="18">
        <v>0</v>
      </c>
      <c r="Y61" s="11">
        <f>SUM(C61:U61)</f>
        <v>22604</v>
      </c>
      <c r="Z61" s="19" t="str">
        <f>Z60</f>
        <v>Scott Healy</v>
      </c>
      <c r="AA61" s="18">
        <f>Y61+Y31</f>
        <v>200000.26</v>
      </c>
      <c r="AB61" s="18">
        <f>[1]Wilton!$BR$152</f>
        <v>200000</v>
      </c>
      <c r="AC61" s="18">
        <f>AB61-AA61</f>
        <v>-0.26000000000931323</v>
      </c>
    </row>
    <row r="62" spans="1:30" x14ac:dyDescent="0.2">
      <c r="A62" s="17" t="s">
        <v>33</v>
      </c>
      <c r="C62" s="4">
        <v>0</v>
      </c>
      <c r="D62" s="18">
        <v>0</v>
      </c>
      <c r="E62" s="18">
        <v>0</v>
      </c>
      <c r="F62" s="8">
        <v>10000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T62" s="18">
        <v>0</v>
      </c>
      <c r="U62" s="18">
        <v>0</v>
      </c>
      <c r="Y62" s="11">
        <f>SUM(C62:U62)</f>
        <v>10000</v>
      </c>
      <c r="Z62" s="19" t="str">
        <f>Z61</f>
        <v>Scott Healy</v>
      </c>
      <c r="AA62" s="18">
        <f>Y62+Y33</f>
        <v>558423.5</v>
      </c>
      <c r="AB62" s="18">
        <f>[1]Wilton!$BR$168</f>
        <v>558423.13</v>
      </c>
      <c r="AC62" s="18">
        <f>AB62-AA62</f>
        <v>-0.36999999999534339</v>
      </c>
    </row>
    <row r="63" spans="1:30" x14ac:dyDescent="0.2">
      <c r="A63" s="4" t="s">
        <v>78</v>
      </c>
      <c r="C63" s="21">
        <f>SUM(C59:C62)</f>
        <v>0</v>
      </c>
      <c r="D63" s="21">
        <f t="shared" ref="D63:U63" si="13">SUM(D59:D62)</f>
        <v>1236</v>
      </c>
      <c r="E63" s="21">
        <f t="shared" si="13"/>
        <v>79108</v>
      </c>
      <c r="F63" s="21">
        <f t="shared" si="13"/>
        <v>44820</v>
      </c>
      <c r="G63" s="21">
        <f t="shared" si="13"/>
        <v>36263</v>
      </c>
      <c r="H63" s="21">
        <f t="shared" si="13"/>
        <v>0</v>
      </c>
      <c r="I63" s="21">
        <f t="shared" si="13"/>
        <v>199867.23</v>
      </c>
      <c r="J63" s="21">
        <f t="shared" si="13"/>
        <v>62887.560000000005</v>
      </c>
      <c r="K63" s="21">
        <f t="shared" si="13"/>
        <v>2460</v>
      </c>
      <c r="L63" s="21">
        <f t="shared" si="13"/>
        <v>0</v>
      </c>
      <c r="M63" s="21">
        <f t="shared" si="13"/>
        <v>0</v>
      </c>
      <c r="N63" s="21">
        <f t="shared" si="13"/>
        <v>0</v>
      </c>
      <c r="O63" s="21">
        <f t="shared" si="13"/>
        <v>0</v>
      </c>
      <c r="P63" s="21">
        <f t="shared" si="13"/>
        <v>0</v>
      </c>
      <c r="Q63" s="21">
        <f t="shared" si="13"/>
        <v>0</v>
      </c>
      <c r="R63" s="21">
        <f t="shared" si="13"/>
        <v>0</v>
      </c>
      <c r="S63" s="21">
        <f t="shared" si="13"/>
        <v>0</v>
      </c>
      <c r="T63" s="21">
        <f t="shared" si="13"/>
        <v>0</v>
      </c>
      <c r="U63" s="21">
        <f t="shared" si="13"/>
        <v>0</v>
      </c>
      <c r="V63" s="21">
        <f>SUM(V59:V62)</f>
        <v>0</v>
      </c>
      <c r="W63" s="21">
        <f>SUM(W59:W62)</f>
        <v>0</v>
      </c>
      <c r="X63" s="21">
        <f>SUM(X59:X62)</f>
        <v>0</v>
      </c>
      <c r="Y63" s="22">
        <f>SUM(C63:U63)</f>
        <v>426641.79</v>
      </c>
      <c r="Z63" s="20"/>
    </row>
    <row r="64" spans="1:30" x14ac:dyDescent="0.2">
      <c r="A64" s="4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20"/>
    </row>
    <row r="65" spans="1:26" x14ac:dyDescent="0.2">
      <c r="A65" s="4" t="s">
        <v>97</v>
      </c>
      <c r="C65" s="9"/>
      <c r="D65" s="9"/>
      <c r="E65" s="9"/>
      <c r="F65" s="9"/>
      <c r="G65" s="9">
        <v>-56500</v>
      </c>
      <c r="H65" s="9">
        <f>1-35</f>
        <v>-34</v>
      </c>
      <c r="I65" s="9">
        <v>-69954</v>
      </c>
      <c r="J65" s="9">
        <v>-22011</v>
      </c>
      <c r="K65" s="9">
        <f>-98-861</f>
        <v>-959</v>
      </c>
      <c r="L65" s="9">
        <f>-3</f>
        <v>-3</v>
      </c>
      <c r="M65" s="55">
        <f>52264-47</f>
        <v>52217</v>
      </c>
      <c r="N65" s="55">
        <f>-233-52264</f>
        <v>-52497</v>
      </c>
      <c r="O65" s="55"/>
      <c r="P65" s="9"/>
      <c r="Q65" s="9"/>
      <c r="R65" s="9"/>
      <c r="S65" s="9"/>
      <c r="T65" s="9"/>
      <c r="U65" s="9"/>
      <c r="V65" s="9"/>
      <c r="W65" s="9"/>
      <c r="X65" s="9"/>
      <c r="Y65" s="11">
        <f>SUM(G65:U65)</f>
        <v>-149741</v>
      </c>
      <c r="Z65" s="20"/>
    </row>
    <row r="66" spans="1:26" s="43" customFormat="1" x14ac:dyDescent="0.2">
      <c r="A66" s="21" t="s">
        <v>98</v>
      </c>
      <c r="C66" s="21">
        <f>SUM(C63:C65)</f>
        <v>0</v>
      </c>
      <c r="D66" s="21">
        <f t="shared" ref="D66:Y66" si="14">SUM(D63:D65)</f>
        <v>1236</v>
      </c>
      <c r="E66" s="21">
        <f t="shared" si="14"/>
        <v>79108</v>
      </c>
      <c r="F66" s="21">
        <f t="shared" si="14"/>
        <v>44820</v>
      </c>
      <c r="G66" s="21">
        <f t="shared" si="14"/>
        <v>-20237</v>
      </c>
      <c r="H66" s="21">
        <f t="shared" si="14"/>
        <v>-34</v>
      </c>
      <c r="I66" s="21">
        <f t="shared" si="14"/>
        <v>129913.23000000001</v>
      </c>
      <c r="J66" s="21">
        <f t="shared" si="14"/>
        <v>40876.560000000005</v>
      </c>
      <c r="K66" s="21">
        <f t="shared" si="14"/>
        <v>1501</v>
      </c>
      <c r="L66" s="21">
        <f t="shared" si="14"/>
        <v>-3</v>
      </c>
      <c r="M66" s="21">
        <f t="shared" si="14"/>
        <v>52217</v>
      </c>
      <c r="N66" s="21">
        <f t="shared" si="14"/>
        <v>-52497</v>
      </c>
      <c r="O66" s="21">
        <f t="shared" si="14"/>
        <v>0</v>
      </c>
      <c r="P66" s="21">
        <f t="shared" si="14"/>
        <v>0</v>
      </c>
      <c r="Q66" s="21">
        <f t="shared" si="14"/>
        <v>0</v>
      </c>
      <c r="R66" s="21">
        <f t="shared" si="14"/>
        <v>0</v>
      </c>
      <c r="S66" s="21">
        <f t="shared" si="14"/>
        <v>0</v>
      </c>
      <c r="T66" s="21">
        <f t="shared" si="14"/>
        <v>0</v>
      </c>
      <c r="U66" s="21">
        <f t="shared" si="14"/>
        <v>0</v>
      </c>
      <c r="V66" s="21">
        <f>SUM(V63:V65)</f>
        <v>0</v>
      </c>
      <c r="W66" s="21">
        <f>SUM(W63:W65)</f>
        <v>0</v>
      </c>
      <c r="X66" s="21">
        <f>SUM(X63:X65)</f>
        <v>0</v>
      </c>
      <c r="Y66" s="21">
        <f t="shared" si="14"/>
        <v>276900.78999999998</v>
      </c>
    </row>
    <row r="67" spans="1:26" x14ac:dyDescent="0.2">
      <c r="A67" s="4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20"/>
    </row>
    <row r="68" spans="1:26" x14ac:dyDescent="0.2">
      <c r="A68" s="4" t="s">
        <v>73</v>
      </c>
      <c r="Y68" s="11"/>
    </row>
    <row r="69" spans="1:26" x14ac:dyDescent="0.2">
      <c r="A69" s="17" t="s">
        <v>30</v>
      </c>
      <c r="E69" s="18">
        <v>19729</v>
      </c>
      <c r="F69" s="18">
        <v>0</v>
      </c>
      <c r="H69" s="18">
        <v>12698.23</v>
      </c>
      <c r="J69" s="18">
        <v>5725</v>
      </c>
      <c r="O69" s="18">
        <v>1242.3</v>
      </c>
      <c r="Y69" s="11">
        <f>SUM(C69:U69)</f>
        <v>39394.53</v>
      </c>
      <c r="Z69" s="19" t="str">
        <f>+Z62</f>
        <v>Scott Healy</v>
      </c>
    </row>
    <row r="70" spans="1:26" x14ac:dyDescent="0.2">
      <c r="A70" s="17" t="s">
        <v>32</v>
      </c>
      <c r="D70" s="18">
        <v>1343</v>
      </c>
      <c r="E70" s="8">
        <f>24234.66+4681.29</f>
        <v>28915.95</v>
      </c>
      <c r="F70" s="17">
        <f>19059+269.69</f>
        <v>19328.689999999999</v>
      </c>
      <c r="G70" s="18">
        <v>568</v>
      </c>
      <c r="H70" s="18">
        <v>68419</v>
      </c>
      <c r="L70" s="18">
        <v>591.45000000000005</v>
      </c>
      <c r="Y70" s="11">
        <f>SUM(C70:U70)</f>
        <v>119166.09</v>
      </c>
      <c r="Z70" s="19" t="str">
        <f>Z69</f>
        <v>Scott Healy</v>
      </c>
    </row>
    <row r="71" spans="1:26" x14ac:dyDescent="0.2">
      <c r="A71" s="17" t="s">
        <v>33</v>
      </c>
      <c r="C71" s="4">
        <v>52133</v>
      </c>
      <c r="G71" s="18">
        <v>1331</v>
      </c>
      <c r="Y71" s="11">
        <f>SUM(C71:U71)</f>
        <v>53464</v>
      </c>
      <c r="Z71" s="19" t="str">
        <f>Z70</f>
        <v>Scott Healy</v>
      </c>
    </row>
    <row r="72" spans="1:26" x14ac:dyDescent="0.2">
      <c r="A72" s="17" t="s">
        <v>23</v>
      </c>
      <c r="C72" s="4">
        <v>87500</v>
      </c>
      <c r="R72" s="18">
        <v>15000</v>
      </c>
      <c r="Y72" s="11">
        <f>SUM(C72:U72)</f>
        <v>102500</v>
      </c>
    </row>
    <row r="73" spans="1:26" x14ac:dyDescent="0.2">
      <c r="A73" s="4" t="s">
        <v>79</v>
      </c>
      <c r="C73" s="21">
        <f t="shared" ref="C73:H73" si="15">SUM(C69:C72)</f>
        <v>139633</v>
      </c>
      <c r="D73" s="21">
        <f t="shared" si="15"/>
        <v>1343</v>
      </c>
      <c r="E73" s="21">
        <f t="shared" si="15"/>
        <v>48644.95</v>
      </c>
      <c r="F73" s="21">
        <f t="shared" si="15"/>
        <v>19328.689999999999</v>
      </c>
      <c r="G73" s="21">
        <f t="shared" si="15"/>
        <v>1899</v>
      </c>
      <c r="H73" s="21">
        <f t="shared" si="15"/>
        <v>81117.23</v>
      </c>
      <c r="I73" s="21">
        <f t="shared" ref="I73:U73" si="16">SUM(I69:I72)</f>
        <v>0</v>
      </c>
      <c r="J73" s="21">
        <f t="shared" si="16"/>
        <v>5725</v>
      </c>
      <c r="K73" s="21">
        <f t="shared" si="16"/>
        <v>0</v>
      </c>
      <c r="L73" s="21">
        <f t="shared" si="16"/>
        <v>591.45000000000005</v>
      </c>
      <c r="M73" s="21">
        <f t="shared" si="16"/>
        <v>0</v>
      </c>
      <c r="N73" s="21">
        <f t="shared" si="16"/>
        <v>0</v>
      </c>
      <c r="O73" s="21">
        <f t="shared" si="16"/>
        <v>1242.3</v>
      </c>
      <c r="P73" s="21">
        <f t="shared" si="16"/>
        <v>0</v>
      </c>
      <c r="Q73" s="21">
        <f t="shared" si="16"/>
        <v>0</v>
      </c>
      <c r="R73" s="21">
        <f t="shared" si="16"/>
        <v>15000</v>
      </c>
      <c r="S73" s="21">
        <f t="shared" si="16"/>
        <v>0</v>
      </c>
      <c r="T73" s="21">
        <f t="shared" si="16"/>
        <v>0</v>
      </c>
      <c r="U73" s="21">
        <f t="shared" si="16"/>
        <v>0</v>
      </c>
      <c r="V73" s="21">
        <f>SUM(V69:V72)</f>
        <v>0</v>
      </c>
      <c r="W73" s="21">
        <f>SUM(W69:W72)</f>
        <v>0</v>
      </c>
      <c r="X73" s="21">
        <f>SUM(X69:X72)</f>
        <v>0</v>
      </c>
      <c r="Y73" s="22">
        <f>SUM(C73:U73)</f>
        <v>314524.62</v>
      </c>
    </row>
    <row r="74" spans="1:26" x14ac:dyDescent="0.2">
      <c r="Y74" s="11"/>
    </row>
    <row r="75" spans="1:26" x14ac:dyDescent="0.2">
      <c r="Y75" s="11"/>
    </row>
    <row r="76" spans="1:26" ht="13.5" thickBot="1" x14ac:dyDescent="0.25">
      <c r="A76" s="4" t="s">
        <v>87</v>
      </c>
      <c r="C76" s="33">
        <f t="shared" ref="C76:T76" si="17">+C46+C66+C73</f>
        <v>7279633</v>
      </c>
      <c r="D76" s="33">
        <f t="shared" si="17"/>
        <v>1298989</v>
      </c>
      <c r="E76" s="33">
        <f t="shared" si="17"/>
        <v>33151936.949999999</v>
      </c>
      <c r="F76" s="33">
        <f t="shared" si="17"/>
        <v>290031.28999999998</v>
      </c>
      <c r="G76" s="33">
        <f t="shared" si="17"/>
        <v>1733894.9</v>
      </c>
      <c r="H76" s="33">
        <f t="shared" si="17"/>
        <v>18881456.73</v>
      </c>
      <c r="I76" s="33">
        <f t="shared" si="17"/>
        <v>8167701.6325208331</v>
      </c>
      <c r="J76" s="33">
        <f t="shared" si="17"/>
        <v>8854945.5220608748</v>
      </c>
      <c r="K76" s="33">
        <f t="shared" si="17"/>
        <v>6988529.9287220389</v>
      </c>
      <c r="L76" s="33">
        <f t="shared" si="17"/>
        <v>7789830.939036103</v>
      </c>
      <c r="M76" s="33">
        <f t="shared" si="17"/>
        <v>11652992.830858508</v>
      </c>
      <c r="N76" s="33">
        <f t="shared" si="17"/>
        <v>17627424.627210379</v>
      </c>
      <c r="O76" s="33">
        <f t="shared" si="17"/>
        <v>39311425.708628595</v>
      </c>
      <c r="P76" s="33">
        <f t="shared" si="17"/>
        <v>2943898.9492378403</v>
      </c>
      <c r="Q76" s="33">
        <f t="shared" si="17"/>
        <v>29327060.582104545</v>
      </c>
      <c r="R76" s="33">
        <f t="shared" si="17"/>
        <v>23471762.877824277</v>
      </c>
      <c r="S76" s="33">
        <f t="shared" si="17"/>
        <v>18623752.354204163</v>
      </c>
      <c r="T76" s="33">
        <f t="shared" si="17"/>
        <v>11766796.2863311</v>
      </c>
      <c r="U76" s="33">
        <f>+U46+U66+U73</f>
        <v>22234661.600157063</v>
      </c>
      <c r="V76" s="33">
        <f>+V46+V66+V73</f>
        <v>0</v>
      </c>
      <c r="W76" s="33">
        <f>+W46+W66+W73</f>
        <v>0</v>
      </c>
      <c r="X76" s="33">
        <f>+X46+X66+X73</f>
        <v>0</v>
      </c>
      <c r="Y76" s="34">
        <f>SUM(C76:U76)</f>
        <v>271396725.70889628</v>
      </c>
    </row>
    <row r="77" spans="1:26" x14ac:dyDescent="0.2">
      <c r="U77"/>
      <c r="V77"/>
      <c r="W77"/>
      <c r="X77"/>
      <c r="Y77" s="45">
        <f>Y76-[1]Wilton!$BR$200</f>
        <v>1.1966666579246521</v>
      </c>
    </row>
    <row r="78" spans="1:26" x14ac:dyDescent="0.2">
      <c r="U78"/>
      <c r="V78"/>
      <c r="W78"/>
      <c r="X78"/>
      <c r="Y78"/>
    </row>
    <row r="79" spans="1:26" x14ac:dyDescent="0.2">
      <c r="U79"/>
      <c r="V79"/>
      <c r="W79"/>
      <c r="X79"/>
      <c r="Y79"/>
    </row>
  </sheetData>
  <printOptions horizontalCentered="1"/>
  <pageMargins left="0.25" right="0.25" top="0.5" bottom="0.5" header="0.25" footer="0.5"/>
  <pageSetup scale="45" orientation="landscape" cellComments="asDisplayed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tabSelected="1" workbookViewId="0">
      <pane xSplit="2" ySplit="6" topLeftCell="C7" activePane="bottomRight" state="frozen"/>
      <selection pane="topRight"/>
      <selection pane="bottomLeft"/>
      <selection pane="bottomRight" activeCell="C7" sqref="C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1.28515625" style="4" customWidth="1"/>
    <col min="4" max="4" width="12.140625" style="18" customWidth="1"/>
    <col min="5" max="5" width="13.28515625" style="18" customWidth="1"/>
    <col min="6" max="6" width="11.28515625" style="18" customWidth="1"/>
    <col min="7" max="7" width="12.85546875" style="18" customWidth="1"/>
    <col min="8" max="8" width="11.28515625" style="18" customWidth="1"/>
    <col min="9" max="9" width="12.7109375" style="18" customWidth="1"/>
    <col min="10" max="10" width="13" style="18" customWidth="1"/>
    <col min="11" max="11" width="11.28515625" style="18" customWidth="1"/>
    <col min="12" max="12" width="12.28515625" style="18" customWidth="1"/>
    <col min="13" max="13" width="12.28515625" style="47" customWidth="1"/>
    <col min="14" max="14" width="12.28515625" style="18" customWidth="1"/>
    <col min="15" max="15" width="14" style="18" customWidth="1"/>
    <col min="16" max="16" width="12.28515625" style="18" customWidth="1"/>
    <col min="17" max="17" width="12.28515625" style="18" bestFit="1" customWidth="1"/>
    <col min="18" max="18" width="13.85546875" style="18" customWidth="1"/>
    <col min="19" max="19" width="13.5703125" style="18" customWidth="1"/>
    <col min="20" max="20" width="13.85546875" style="18" customWidth="1"/>
    <col min="21" max="21" width="12.28515625" style="18" bestFit="1" customWidth="1"/>
    <col min="22" max="22" width="12.85546875" style="18" bestFit="1" customWidth="1"/>
    <col min="23" max="25" width="12.140625" style="18" hidden="1" customWidth="1"/>
    <col min="26" max="26" width="13.5703125" style="4" customWidth="1"/>
    <col min="27" max="27" width="28.28515625" style="18" hidden="1" customWidth="1"/>
    <col min="28" max="28" width="11.28515625" style="18" customWidth="1"/>
    <col min="29" max="29" width="11.28515625" style="18" bestFit="1" customWidth="1"/>
    <col min="30" max="16384" width="9.140625" style="18"/>
  </cols>
  <sheetData>
    <row r="1" spans="1:29" s="2" customFormat="1" ht="15.75" x14ac:dyDescent="0.25">
      <c r="A1" s="1" t="s">
        <v>0</v>
      </c>
      <c r="M1" s="46"/>
    </row>
    <row r="2" spans="1:29" s="2" customFormat="1" ht="15.75" x14ac:dyDescent="0.25">
      <c r="A2" s="1" t="s">
        <v>1</v>
      </c>
      <c r="D2" s="1" t="str">
        <f>Wilton!D2</f>
        <v>Last updated:  Actuals through March 31, 2000</v>
      </c>
      <c r="M2" s="46"/>
      <c r="Z2" s="25" t="str">
        <f ca="1">CELL("filename")</f>
        <v>O:\Fin_Ops\Engysvc\PowerPlants\2000 Plants\Draw Schedule\[Draw Sched - 041100.xls]Gleason</v>
      </c>
    </row>
    <row r="3" spans="1:29" s="2" customFormat="1" ht="15.75" x14ac:dyDescent="0.25">
      <c r="A3" s="1" t="s">
        <v>2</v>
      </c>
      <c r="D3" s="26"/>
      <c r="F3" s="3"/>
      <c r="M3" s="46"/>
      <c r="Z3" s="24">
        <f ca="1">NOW()</f>
        <v>36627.342557291668</v>
      </c>
    </row>
    <row r="4" spans="1:29" ht="15" x14ac:dyDescent="0.2">
      <c r="C4" s="12"/>
      <c r="D4" s="28"/>
    </row>
    <row r="5" spans="1:29" s="6" customFormat="1" x14ac:dyDescent="0.2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110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20.25" x14ac:dyDescent="0.55000000000000004">
      <c r="A7" s="32" t="s">
        <v>80</v>
      </c>
      <c r="Z7" s="10"/>
      <c r="AA7" s="31"/>
    </row>
    <row r="8" spans="1:29" x14ac:dyDescent="0.2">
      <c r="A8" s="5" t="s">
        <v>111</v>
      </c>
      <c r="Z8" s="11"/>
    </row>
    <row r="9" spans="1:29" x14ac:dyDescent="0.2">
      <c r="A9" s="5" t="s">
        <v>61</v>
      </c>
      <c r="Z9" s="11"/>
    </row>
    <row r="10" spans="1:29" x14ac:dyDescent="0.2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0</v>
      </c>
      <c r="S10" s="18">
        <v>1240525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60922851</v>
      </c>
      <c r="AA10" s="15" t="s">
        <v>50</v>
      </c>
    </row>
    <row r="11" spans="1:29" x14ac:dyDescent="0.2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1559250+97385+1409470+237943-80111</f>
        <v>3223937</v>
      </c>
      <c r="Z11" s="11">
        <f t="shared" ref="Z11:Z34" si="0">SUM(C11:Y11)</f>
        <v>34638193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0</v>
      </c>
      <c r="S12" s="18">
        <v>588581</v>
      </c>
      <c r="T12" s="18">
        <f>530081+382350</f>
        <v>912431</v>
      </c>
      <c r="V12" s="18">
        <v>0</v>
      </c>
      <c r="Z12" s="11">
        <f t="shared" si="0"/>
        <v>6406960.5999999996</v>
      </c>
      <c r="AA12" s="15" t="s">
        <v>50</v>
      </c>
      <c r="AB12" s="18">
        <f>[1]Gleason!$BT$35</f>
        <v>6406961</v>
      </c>
      <c r="AC12" s="18">
        <f t="shared" ref="AC12:AC25" si="1">Z12-AB12</f>
        <v>-0.40000000037252903</v>
      </c>
    </row>
    <row r="13" spans="1:29" x14ac:dyDescent="0.2">
      <c r="A13" s="17" t="s">
        <v>100</v>
      </c>
      <c r="L13" s="18">
        <v>232450</v>
      </c>
      <c r="M13" s="47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[1]Gleason!$BT$100</f>
        <v>929800</v>
      </c>
      <c r="AC13" s="18">
        <f t="shared" si="1"/>
        <v>0</v>
      </c>
    </row>
    <row r="14" spans="1:29" x14ac:dyDescent="0.2">
      <c r="A14" s="17" t="s">
        <v>101</v>
      </c>
      <c r="L14" s="18">
        <v>710172</v>
      </c>
      <c r="M14" s="47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v>236722</v>
      </c>
      <c r="T14" s="18">
        <f t="shared" si="3"/>
        <v>236725</v>
      </c>
      <c r="U14" s="18">
        <f t="shared" si="3"/>
        <v>236725</v>
      </c>
      <c r="V14" s="18">
        <f>2840700/12+15</f>
        <v>236740</v>
      </c>
      <c r="Z14" s="11">
        <f t="shared" si="0"/>
        <v>2840700</v>
      </c>
      <c r="AA14" s="15" t="s">
        <v>50</v>
      </c>
      <c r="AB14" s="18">
        <f>[1]Gleason!$BT$101</f>
        <v>2840700</v>
      </c>
      <c r="AC14" s="18">
        <f t="shared" si="1"/>
        <v>0</v>
      </c>
    </row>
    <row r="15" spans="1:29" x14ac:dyDescent="0.2">
      <c r="A15" s="17" t="s">
        <v>102</v>
      </c>
      <c r="V15" s="18">
        <v>3066700</v>
      </c>
      <c r="Z15" s="11">
        <f t="shared" si="0"/>
        <v>3066700</v>
      </c>
      <c r="AA15" s="15" t="s">
        <v>50</v>
      </c>
      <c r="AB15" s="18">
        <f>[1]Gleason!$BT$102</f>
        <v>3066700</v>
      </c>
      <c r="AC15" s="18">
        <f t="shared" si="1"/>
        <v>0</v>
      </c>
    </row>
    <row r="16" spans="1:29" x14ac:dyDescent="0.2">
      <c r="A16" s="17" t="s">
        <v>114</v>
      </c>
      <c r="O16" s="18">
        <v>420818</v>
      </c>
      <c r="Q16" s="18">
        <v>1769159</v>
      </c>
      <c r="R16" s="18">
        <v>0</v>
      </c>
      <c r="S16" s="18">
        <v>1915100</v>
      </c>
      <c r="T16" s="18">
        <f>(0.7795-0.6457)*AB16</f>
        <v>2266519.8179999986</v>
      </c>
      <c r="U16" s="18">
        <f>(0.8617-0.7795)*AB16</f>
        <v>1392435.942000001</v>
      </c>
      <c r="V16" s="18">
        <f>((0.9293-0.8617)*AB16)+1212343+784135+3131172+837210</f>
        <v>7109977.6359999999</v>
      </c>
      <c r="W16" s="18">
        <f>17147711-15082111</f>
        <v>2065600</v>
      </c>
      <c r="Z16" s="11">
        <f t="shared" si="0"/>
        <v>16939610.395999998</v>
      </c>
      <c r="AA16" s="15"/>
      <c r="AB16" s="18">
        <f>[1]Gleason!$BT$54</f>
        <v>16939610</v>
      </c>
      <c r="AC16" s="18">
        <f t="shared" si="1"/>
        <v>0.39599999785423279</v>
      </c>
    </row>
    <row r="17" spans="1:29" x14ac:dyDescent="0.2">
      <c r="A17" s="17" t="s">
        <v>115</v>
      </c>
      <c r="O17" s="18">
        <v>84021</v>
      </c>
      <c r="Q17" s="18">
        <v>225269</v>
      </c>
      <c r="R17" s="18">
        <v>0</v>
      </c>
      <c r="S17" s="18">
        <v>3173570</v>
      </c>
      <c r="T17" s="18">
        <f>(0.7795-0.6457)*AB17</f>
        <v>596631.8615999996</v>
      </c>
      <c r="U17" s="18">
        <f>(0.8617-0.7795)*AB17</f>
        <v>366540.65040000022</v>
      </c>
      <c r="V17" s="18">
        <f>(0.9293-0.8617)*AB17+301248+409183+778046-2310629</f>
        <v>-520714.67680000002</v>
      </c>
      <c r="W17" s="18">
        <f>4260931-3727117</f>
        <v>533814</v>
      </c>
      <c r="Z17" s="11">
        <f t="shared" si="0"/>
        <v>4459131.8352000006</v>
      </c>
      <c r="AA17" s="15"/>
      <c r="AB17" s="18">
        <f>[1]Gleason!$BT$63</f>
        <v>4459132</v>
      </c>
      <c r="AC17" s="18">
        <f t="shared" si="1"/>
        <v>-0.1647999994456768</v>
      </c>
    </row>
    <row r="18" spans="1:29" x14ac:dyDescent="0.2">
      <c r="A18" s="17" t="s">
        <v>116</v>
      </c>
      <c r="O18" s="18">
        <v>204588</v>
      </c>
      <c r="Q18" s="18">
        <v>2792896</v>
      </c>
      <c r="R18" s="18">
        <v>0</v>
      </c>
      <c r="S18" s="18">
        <v>4875123</v>
      </c>
      <c r="T18" s="18">
        <f>(0.7795-0.6457)*AB18</f>
        <v>2215884.2783999988</v>
      </c>
      <c r="U18" s="18">
        <f>(0.8617-0.7795)*AB18</f>
        <v>1361328.0096000009</v>
      </c>
      <c r="V18" s="18">
        <f>(0.9293-0.8617)*AB18+1091873-193321-300000+2820028-1461521</f>
        <v>3076593.9567999998</v>
      </c>
      <c r="W18" s="18">
        <f>15443748-13408993</f>
        <v>2034755</v>
      </c>
      <c r="Z18" s="11">
        <f t="shared" si="0"/>
        <v>16561168.244799998</v>
      </c>
      <c r="AA18" s="15"/>
      <c r="AB18" s="18">
        <f>[1]Gleason!$BT$86</f>
        <v>16561168</v>
      </c>
      <c r="AC18" s="18">
        <f t="shared" si="1"/>
        <v>0.24479999765753746</v>
      </c>
    </row>
    <row r="19" spans="1:29" x14ac:dyDescent="0.2">
      <c r="A19" s="17" t="s">
        <v>117</v>
      </c>
      <c r="N19" s="18">
        <v>0</v>
      </c>
      <c r="O19" s="18">
        <v>0</v>
      </c>
      <c r="Q19" s="18">
        <v>848349</v>
      </c>
      <c r="R19" s="18">
        <v>0</v>
      </c>
      <c r="S19" s="18">
        <v>7860529</v>
      </c>
      <c r="T19" s="18">
        <f>(0.7795-0.6457)*AB19</f>
        <v>1623898.2203999991</v>
      </c>
      <c r="U19" s="18">
        <f>(0.8617-0.7795)*AB19</f>
        <v>997641.50760000059</v>
      </c>
      <c r="V19" s="18">
        <f>(0.9293-0.8617)*AB19+858071+958818+2216177-5807005</f>
        <v>-953494.15919999965</v>
      </c>
      <c r="W19" s="18">
        <f>12136785-10376951</f>
        <v>1759834</v>
      </c>
      <c r="Z19" s="11">
        <f t="shared" si="0"/>
        <v>12136757.568799999</v>
      </c>
      <c r="AA19" s="15" t="s">
        <v>50</v>
      </c>
      <c r="AB19" s="18">
        <f>[1]Gleason!$BT$89</f>
        <v>12136758</v>
      </c>
      <c r="AC19" s="18">
        <f t="shared" si="1"/>
        <v>-0.43120000138878822</v>
      </c>
    </row>
    <row r="20" spans="1:29" x14ac:dyDescent="0.2">
      <c r="A20" s="17" t="s">
        <v>118</v>
      </c>
      <c r="S20" s="18">
        <v>0</v>
      </c>
      <c r="V20" s="18">
        <v>675000</v>
      </c>
      <c r="Z20" s="11">
        <f t="shared" si="0"/>
        <v>675000</v>
      </c>
      <c r="AA20" s="15" t="s">
        <v>50</v>
      </c>
      <c r="AB20" s="18">
        <f>[1]Gleason!$BT$140</f>
        <v>675000</v>
      </c>
      <c r="AC20" s="18">
        <f t="shared" si="1"/>
        <v>0</v>
      </c>
    </row>
    <row r="21" spans="1:29" ht="13.5" customHeight="1" x14ac:dyDescent="0.2">
      <c r="A21" s="17" t="s">
        <v>119</v>
      </c>
      <c r="O21" s="18">
        <v>5344605</v>
      </c>
      <c r="Q21" s="18">
        <f>-291068-49399</f>
        <v>-340467</v>
      </c>
      <c r="R21" s="18">
        <v>6512226</v>
      </c>
      <c r="S21" s="18">
        <v>-9645865</v>
      </c>
      <c r="V21" s="17">
        <f>7112622-3387761</f>
        <v>3724861</v>
      </c>
      <c r="W21" s="18">
        <f>-3387761-5595360</f>
        <v>-8983121</v>
      </c>
      <c r="Z21" s="11">
        <f>SUM(C21:Y21)</f>
        <v>-3387761</v>
      </c>
      <c r="AA21" s="15" t="s">
        <v>50</v>
      </c>
      <c r="AB21" s="18">
        <f>[1]Gleason!$BT$93+[1]Gleason!$BT$95</f>
        <v>-3387761.4400000013</v>
      </c>
      <c r="AC21" s="18">
        <f t="shared" si="1"/>
        <v>0.44000000134110451</v>
      </c>
    </row>
    <row r="22" spans="1:29" x14ac:dyDescent="0.2">
      <c r="A22" s="17" t="s">
        <v>122</v>
      </c>
      <c r="R22" s="18">
        <v>37000</v>
      </c>
      <c r="S22" s="18">
        <v>148482</v>
      </c>
      <c r="T22" s="18">
        <v>150000</v>
      </c>
      <c r="U22" s="18">
        <v>150000</v>
      </c>
      <c r="V22" s="18">
        <f>908786-750000+188000+76518</f>
        <v>423304</v>
      </c>
      <c r="Z22" s="11">
        <f t="shared" si="0"/>
        <v>908786</v>
      </c>
      <c r="AA22" s="15" t="s">
        <v>51</v>
      </c>
      <c r="AB22" s="18">
        <f>[1]Gleason!$BT$134</f>
        <v>908786</v>
      </c>
      <c r="AC22" s="18">
        <f t="shared" si="1"/>
        <v>0</v>
      </c>
    </row>
    <row r="23" spans="1:29" x14ac:dyDescent="0.2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[1]Gleason!$BT$142</f>
        <v>1247007</v>
      </c>
      <c r="AC23" s="18">
        <f t="shared" si="1"/>
        <v>0</v>
      </c>
    </row>
    <row r="24" spans="1:29" x14ac:dyDescent="0.2">
      <c r="A24" s="17" t="s">
        <v>121</v>
      </c>
      <c r="P24" s="18">
        <v>-250000</v>
      </c>
      <c r="Z24" s="11">
        <f t="shared" si="0"/>
        <v>-250000</v>
      </c>
      <c r="AA24" s="15"/>
    </row>
    <row r="25" spans="1:29" x14ac:dyDescent="0.2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R25" s="18">
        <v>25010</v>
      </c>
      <c r="Z25" s="11">
        <f t="shared" si="0"/>
        <v>408551</v>
      </c>
      <c r="AA25" s="15" t="s">
        <v>55</v>
      </c>
      <c r="AB25" s="18">
        <f>[1]Gleason!$BT$149</f>
        <v>408551</v>
      </c>
      <c r="AC25" s="18">
        <f t="shared" si="1"/>
        <v>0</v>
      </c>
    </row>
    <row r="26" spans="1:29" x14ac:dyDescent="0.2">
      <c r="A26" s="17" t="s">
        <v>24</v>
      </c>
      <c r="F26" s="27"/>
      <c r="I26" s="17"/>
      <c r="J26" s="17"/>
      <c r="K26" s="17"/>
      <c r="L26" s="17">
        <v>69419</v>
      </c>
      <c r="M26" s="48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20092</v>
      </c>
      <c r="S26" s="18">
        <v>146659</v>
      </c>
      <c r="T26" s="18">
        <v>0</v>
      </c>
      <c r="Z26" s="11">
        <f t="shared" si="0"/>
        <v>729789</v>
      </c>
      <c r="AA26" s="15" t="str">
        <f>AA25</f>
        <v>Ben Jacoby</v>
      </c>
    </row>
    <row r="27" spans="1:29" x14ac:dyDescent="0.2">
      <c r="A27" s="17" t="s">
        <v>25</v>
      </c>
      <c r="F27" s="29"/>
      <c r="Q27" s="18">
        <v>20486</v>
      </c>
      <c r="R27" s="18">
        <v>0</v>
      </c>
      <c r="S27" s="18">
        <v>0</v>
      </c>
      <c r="T27" s="18">
        <v>350000</v>
      </c>
      <c r="U27" s="18">
        <v>375000</v>
      </c>
      <c r="V27" s="17">
        <f>104514+125000+125000</f>
        <v>354514</v>
      </c>
      <c r="Z27" s="11">
        <f t="shared" si="0"/>
        <v>1100000</v>
      </c>
      <c r="AA27" s="15" t="s">
        <v>53</v>
      </c>
      <c r="AB27" s="18">
        <f>[1]Gleason!$BT$183</f>
        <v>1100000</v>
      </c>
      <c r="AC27" s="18">
        <f>Z27-AB27</f>
        <v>0</v>
      </c>
    </row>
    <row r="28" spans="1:29" x14ac:dyDescent="0.2">
      <c r="A28" s="17" t="s">
        <v>106</v>
      </c>
      <c r="F28" s="29"/>
      <c r="N28" s="18">
        <v>18018</v>
      </c>
      <c r="P28" s="18">
        <v>7500</v>
      </c>
      <c r="R28" s="18">
        <v>0</v>
      </c>
      <c r="S28" s="18">
        <v>10602</v>
      </c>
      <c r="T28" s="18">
        <v>2093717</v>
      </c>
      <c r="V28" s="18">
        <f>2148964+190117+25518-10602-484363</f>
        <v>1869634</v>
      </c>
      <c r="Z28" s="11">
        <f t="shared" si="0"/>
        <v>3999471</v>
      </c>
      <c r="AA28" s="15"/>
      <c r="AB28" s="18">
        <f>[1]Gleason!$BT$181</f>
        <v>3999470.5700000003</v>
      </c>
      <c r="AC28" s="18">
        <f>Z28-AB28</f>
        <v>0.42999999970197678</v>
      </c>
    </row>
    <row r="29" spans="1:29" x14ac:dyDescent="0.2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[1]Gleason!$BT$189</f>
        <v>500000</v>
      </c>
      <c r="AC29" s="18">
        <f>Z29-AB29</f>
        <v>0</v>
      </c>
    </row>
    <row r="30" spans="1:29" x14ac:dyDescent="0.2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[1]Gleason!$BT$191</f>
        <v>200935.25</v>
      </c>
      <c r="AC31" s="18">
        <v>0</v>
      </c>
    </row>
    <row r="32" spans="1:29" x14ac:dyDescent="0.2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47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v>28687.68</v>
      </c>
      <c r="S32" s="18">
        <v>12673.78</v>
      </c>
      <c r="T32" s="18">
        <v>11111.111111111111</v>
      </c>
      <c r="U32" s="18">
        <v>31111</v>
      </c>
      <c r="V32" s="17">
        <f>32312+23870-28687.68+11111-12673.78</f>
        <v>25931.54</v>
      </c>
      <c r="W32" s="17">
        <f>20595-66</f>
        <v>20529</v>
      </c>
      <c r="X32" s="17"/>
      <c r="Y32" s="17"/>
      <c r="Z32" s="11">
        <f t="shared" si="0"/>
        <v>186820.16111111114</v>
      </c>
      <c r="AA32" s="15"/>
    </row>
    <row r="33" spans="1:27" x14ac:dyDescent="0.2">
      <c r="A33" s="17" t="s">
        <v>32</v>
      </c>
      <c r="F33" s="29"/>
      <c r="L33" s="18">
        <v>137763</v>
      </c>
      <c r="M33" s="47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80147</v>
      </c>
      <c r="R33" s="18">
        <v>29397</v>
      </c>
      <c r="S33" s="18">
        <v>44082</v>
      </c>
      <c r="T33" s="18">
        <v>170000</v>
      </c>
      <c r="U33" s="18">
        <v>35000</v>
      </c>
      <c r="V33" s="18">
        <f>140764-13593+112051-9082+30168</f>
        <v>260308</v>
      </c>
      <c r="Z33" s="11">
        <f t="shared" si="0"/>
        <v>891201</v>
      </c>
      <c r="AA33" s="15"/>
    </row>
    <row r="34" spans="1:27" x14ac:dyDescent="0.2">
      <c r="A34" s="17" t="s">
        <v>33</v>
      </c>
      <c r="H34" s="17"/>
      <c r="L34" s="18">
        <v>14302</v>
      </c>
      <c r="M34" s="47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v>0</v>
      </c>
      <c r="S34" s="18">
        <v>0</v>
      </c>
      <c r="T34" s="18">
        <f>96092+7127</f>
        <v>103219</v>
      </c>
      <c r="U34" s="18">
        <v>121058</v>
      </c>
      <c r="V34" s="18">
        <f>253000+994+132585</f>
        <v>386579</v>
      </c>
      <c r="W34" s="18">
        <v>68298</v>
      </c>
      <c r="Z34" s="11">
        <f t="shared" si="0"/>
        <v>748665</v>
      </c>
      <c r="AA34" s="15"/>
    </row>
    <row r="35" spans="1:27" x14ac:dyDescent="0.2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7661034.6333333328</v>
      </c>
      <c r="R35" s="21">
        <f t="shared" si="5"/>
        <v>6966621.0133333327</v>
      </c>
      <c r="S35" s="21">
        <f t="shared" si="5"/>
        <v>10684267.113333331</v>
      </c>
      <c r="T35" s="21">
        <f t="shared" si="5"/>
        <v>11450410.622844443</v>
      </c>
      <c r="U35" s="21">
        <f t="shared" si="5"/>
        <v>7540050.4429333359</v>
      </c>
      <c r="V35" s="21">
        <f>SUM(V10:V34)</f>
        <v>25333582.630133331</v>
      </c>
      <c r="W35" s="21">
        <f>SUM(W10:W34)</f>
        <v>-2500291</v>
      </c>
      <c r="X35" s="21">
        <f>SUM(X10:X34)</f>
        <v>0</v>
      </c>
      <c r="Y35" s="21">
        <f>SUM(Y10:Y34)</f>
        <v>0</v>
      </c>
      <c r="Z35" s="22">
        <f>SUM(C35:Y35)</f>
        <v>166860336.80591106</v>
      </c>
    </row>
    <row r="36" spans="1:27" x14ac:dyDescent="0.2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107385695.98333332</v>
      </c>
      <c r="R36" s="21">
        <f t="shared" si="7"/>
        <v>114352316.99666665</v>
      </c>
      <c r="S36" s="21">
        <f t="shared" si="7"/>
        <v>125036584.10999998</v>
      </c>
      <c r="T36" s="21">
        <f t="shared" si="7"/>
        <v>136486994.73284441</v>
      </c>
      <c r="U36" s="21">
        <f t="shared" si="7"/>
        <v>144027045.17577773</v>
      </c>
      <c r="V36" s="21">
        <f t="shared" si="7"/>
        <v>169360627.80591106</v>
      </c>
      <c r="W36" s="21">
        <f>+V36+W35</f>
        <v>166860336.80591106</v>
      </c>
      <c r="X36" s="21">
        <f>+W36+X35</f>
        <v>166860336.80591106</v>
      </c>
      <c r="Y36" s="21">
        <f>+X36+Y35</f>
        <v>166860336.80591106</v>
      </c>
      <c r="Z36" s="11"/>
    </row>
    <row r="37" spans="1:27" x14ac:dyDescent="0.2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327.17713099198249</v>
      </c>
      <c r="AA37" s="20"/>
    </row>
    <row r="38" spans="1:27" x14ac:dyDescent="0.2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47">
        <v>-6077</v>
      </c>
      <c r="Z39" s="11">
        <f t="shared" ref="Z39:Z44" si="8">SUM(C39:Y39)</f>
        <v>-6077</v>
      </c>
      <c r="AA39" s="19" t="s">
        <v>54</v>
      </c>
    </row>
    <row r="40" spans="1:27" x14ac:dyDescent="0.2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v>657673.00806343276</v>
      </c>
      <c r="S40" s="30">
        <f>(S36+R45)*$C52/12</f>
        <v>719263.90865433181</v>
      </c>
      <c r="T40" s="30">
        <f>(T36+S45)*$C52/12</f>
        <v>785182.97903328354</v>
      </c>
      <c r="U40" s="30">
        <f>(U36+T45)*$C52/12</f>
        <v>830277.9934022692</v>
      </c>
      <c r="V40" s="30">
        <f>(V36+U45)*$C52/12-5719</f>
        <v>966279.90511308715</v>
      </c>
      <c r="W40" s="30"/>
      <c r="X40" s="30"/>
      <c r="Y40" s="30"/>
      <c r="Z40" s="11">
        <f t="shared" si="8"/>
        <v>11057680.81238734</v>
      </c>
      <c r="AA40" s="19" t="str">
        <f>AA55</f>
        <v>Rodney Malcolm</v>
      </c>
    </row>
    <row r="41" spans="1:27" x14ac:dyDescent="0.2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1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49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616751.79694111284</v>
      </c>
      <c r="R44" s="21">
        <f t="shared" si="10"/>
        <v>657673.00806343276</v>
      </c>
      <c r="S44" s="21">
        <f t="shared" si="10"/>
        <v>719263.90865433181</v>
      </c>
      <c r="T44" s="21">
        <f t="shared" si="10"/>
        <v>785182.97903328354</v>
      </c>
      <c r="U44" s="21">
        <f t="shared" si="10"/>
        <v>830277.9934022692</v>
      </c>
      <c r="V44" s="21">
        <f t="shared" si="10"/>
        <v>966279.90511308715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11051603.81238734</v>
      </c>
      <c r="AA44" s="20"/>
    </row>
    <row r="45" spans="1:27" x14ac:dyDescent="0.2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49">
        <f>L45+M44</f>
        <v>4826454.93</v>
      </c>
      <c r="N45" s="49">
        <f t="shared" ref="N45:V45" si="12">M45+N44</f>
        <v>5343902.8526763888</v>
      </c>
      <c r="O45" s="49">
        <f t="shared" si="12"/>
        <v>5901836.2759061633</v>
      </c>
      <c r="P45" s="49">
        <f t="shared" si="12"/>
        <v>6476174.2211798215</v>
      </c>
      <c r="Q45" s="49">
        <f>P45+Q44</f>
        <v>7092926.0181209343</v>
      </c>
      <c r="R45" s="49">
        <f t="shared" si="12"/>
        <v>7750599.026184367</v>
      </c>
      <c r="S45" s="49">
        <f t="shared" si="12"/>
        <v>8469862.9348386992</v>
      </c>
      <c r="T45" s="49">
        <f t="shared" si="12"/>
        <v>9255045.9138719831</v>
      </c>
      <c r="U45" s="49">
        <f t="shared" si="12"/>
        <v>10085323.907274252</v>
      </c>
      <c r="V45" s="49">
        <f t="shared" si="12"/>
        <v>11051603.81238734</v>
      </c>
      <c r="W45" s="49">
        <f>V45+W44</f>
        <v>11051603.81238734</v>
      </c>
      <c r="X45" s="49">
        <f>W45+X44</f>
        <v>11051603.81238734</v>
      </c>
      <c r="Y45" s="49">
        <f>X45+Y44</f>
        <v>11051603.81238734</v>
      </c>
      <c r="Z45" s="11"/>
      <c r="AA45" s="20"/>
    </row>
    <row r="46" spans="1:27" x14ac:dyDescent="0.2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1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2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8277786.4302744456</v>
      </c>
      <c r="R47" s="4">
        <f t="shared" si="14"/>
        <v>7624294.0213967655</v>
      </c>
      <c r="S47" s="4">
        <f t="shared" si="14"/>
        <v>11403531.021987664</v>
      </c>
      <c r="T47" s="4">
        <f t="shared" si="14"/>
        <v>12235593.601877727</v>
      </c>
      <c r="U47" s="4">
        <f t="shared" si="14"/>
        <v>8370328.4363356046</v>
      </c>
      <c r="V47" s="4">
        <f t="shared" si="14"/>
        <v>26299862.535246417</v>
      </c>
      <c r="W47" s="4">
        <f>+W35+W44</f>
        <v>-2500291</v>
      </c>
      <c r="X47" s="4">
        <f>+X35+X44</f>
        <v>0</v>
      </c>
      <c r="Y47" s="4">
        <f>+Y35+Y44</f>
        <v>0</v>
      </c>
      <c r="Z47" s="11">
        <f>SUM(C47:W47)</f>
        <v>177911940.61829847</v>
      </c>
    </row>
    <row r="48" spans="1:27" s="4" customFormat="1" x14ac:dyDescent="0.2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2">
        <f>M47+L48</f>
        <v>93881031.980000004</v>
      </c>
      <c r="N48" s="52">
        <f t="shared" ref="N48:V48" si="16">N47+M48</f>
        <v>96059302.236009732</v>
      </c>
      <c r="O48" s="52">
        <f t="shared" si="16"/>
        <v>103580110.99257284</v>
      </c>
      <c r="P48" s="52">
        <f t="shared" si="16"/>
        <v>106200835.57117984</v>
      </c>
      <c r="Q48" s="52">
        <f>Q47+P48</f>
        <v>114478622.00145428</v>
      </c>
      <c r="R48" s="52">
        <f t="shared" si="16"/>
        <v>122102916.02285105</v>
      </c>
      <c r="S48" s="52">
        <f t="shared" si="16"/>
        <v>133506447.04483871</v>
      </c>
      <c r="T48" s="52">
        <f t="shared" si="16"/>
        <v>145742040.64671645</v>
      </c>
      <c r="U48" s="52">
        <f t="shared" si="16"/>
        <v>154112369.08305204</v>
      </c>
      <c r="V48" s="52">
        <f t="shared" si="16"/>
        <v>180412231.61829847</v>
      </c>
      <c r="W48" s="52">
        <f>W47+V48</f>
        <v>177911940.61829847</v>
      </c>
      <c r="X48" s="52">
        <f>X47+W48</f>
        <v>177911940.61829847</v>
      </c>
      <c r="Y48" s="52">
        <f>Y47+X48</f>
        <v>177911940.61829847</v>
      </c>
      <c r="Z48" s="11"/>
    </row>
    <row r="49" spans="1:31" s="4" customFormat="1" x14ac:dyDescent="0.2">
      <c r="M49" s="52"/>
      <c r="Z49" s="11"/>
    </row>
    <row r="50" spans="1:31" s="4" customFormat="1" x14ac:dyDescent="0.2">
      <c r="M50" s="52"/>
    </row>
    <row r="51" spans="1:31" s="4" customFormat="1" x14ac:dyDescent="0.2">
      <c r="M51" s="52"/>
      <c r="Z51" s="16">
        <f>+Z47/C54/1000</f>
        <v>348.84694238882054</v>
      </c>
    </row>
    <row r="52" spans="1:31" s="4" customFormat="1" x14ac:dyDescent="0.2">
      <c r="A52" s="8" t="s">
        <v>96</v>
      </c>
      <c r="C52" s="12">
        <v>6.5000000000000002E-2</v>
      </c>
      <c r="M52" s="52"/>
      <c r="Z52" s="11"/>
    </row>
    <row r="53" spans="1:31" s="4" customFormat="1" x14ac:dyDescent="0.2">
      <c r="A53" s="8" t="s">
        <v>89</v>
      </c>
      <c r="C53" s="12">
        <v>3.5000000000000001E-3</v>
      </c>
      <c r="D53" s="35">
        <v>174500000</v>
      </c>
      <c r="M53" s="52"/>
      <c r="Z53" s="11"/>
    </row>
    <row r="54" spans="1:31" s="4" customFormat="1" x14ac:dyDescent="0.2">
      <c r="A54" s="17" t="s">
        <v>64</v>
      </c>
      <c r="C54" s="4">
        <v>510</v>
      </c>
      <c r="D54" s="4" t="s">
        <v>66</v>
      </c>
      <c r="M54" s="52"/>
      <c r="Z54" s="11"/>
    </row>
    <row r="55" spans="1:31" x14ac:dyDescent="0.2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">
      <c r="A56" s="8"/>
      <c r="C56" s="12"/>
      <c r="M56" s="52"/>
      <c r="Z56" s="11"/>
    </row>
    <row r="57" spans="1:31" x14ac:dyDescent="0.2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2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7661034.6333333328</v>
      </c>
      <c r="R57" s="4">
        <f t="shared" si="18"/>
        <v>6966621.0133333327</v>
      </c>
      <c r="S57" s="4">
        <f t="shared" si="18"/>
        <v>10684267.113333331</v>
      </c>
      <c r="T57" s="4">
        <f t="shared" si="18"/>
        <v>11450410.622844443</v>
      </c>
      <c r="U57" s="4">
        <f t="shared" si="18"/>
        <v>7540050.4429333359</v>
      </c>
      <c r="V57" s="4">
        <f t="shared" si="18"/>
        <v>25333582.630133331</v>
      </c>
      <c r="W57" s="4">
        <f t="shared" si="18"/>
        <v>-2500291</v>
      </c>
      <c r="X57" s="4">
        <f t="shared" si="18"/>
        <v>0</v>
      </c>
      <c r="Y57" s="4">
        <f t="shared" si="18"/>
        <v>0</v>
      </c>
      <c r="Z57" s="11">
        <f>SUM(C57:Y57)</f>
        <v>78006550.755911112</v>
      </c>
    </row>
    <row r="58" spans="1:31" x14ac:dyDescent="0.2">
      <c r="Z58" s="11"/>
    </row>
    <row r="59" spans="1:31" x14ac:dyDescent="0.2">
      <c r="Z59" s="11"/>
    </row>
    <row r="60" spans="1:31" ht="20.25" x14ac:dyDescent="0.55000000000000004">
      <c r="A60" s="32" t="s">
        <v>81</v>
      </c>
      <c r="Z60" s="11"/>
    </row>
    <row r="61" spans="1:31" x14ac:dyDescent="0.2">
      <c r="A61" s="4" t="s">
        <v>74</v>
      </c>
      <c r="Z61" s="11"/>
    </row>
    <row r="62" spans="1:31" x14ac:dyDescent="0.2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47">
        <v>8203</v>
      </c>
      <c r="Q62" s="18">
        <v>0</v>
      </c>
      <c r="R62" s="18">
        <v>0</v>
      </c>
      <c r="V62" s="18">
        <v>0</v>
      </c>
      <c r="Z62" s="11">
        <f>SUM(C62:Y62)</f>
        <v>0</v>
      </c>
      <c r="AA62" s="39" t="s">
        <v>90</v>
      </c>
      <c r="AC62" s="18">
        <f>Z62+Z26</f>
        <v>729789</v>
      </c>
      <c r="AD62" s="18">
        <f>[1]Gleason!$BT$159</f>
        <v>729789.02</v>
      </c>
      <c r="AE62" s="18">
        <f>AC62-AD62</f>
        <v>-2.0000000018626451E-2</v>
      </c>
    </row>
    <row r="63" spans="1:31" x14ac:dyDescent="0.2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V63" s="18">
        <v>0</v>
      </c>
      <c r="Z63" s="11">
        <f>SUM(C63:Y63)</f>
        <v>3543</v>
      </c>
      <c r="AA63" s="39" t="s">
        <v>91</v>
      </c>
      <c r="AC63" s="18">
        <f>Z63+Z34</f>
        <v>752208</v>
      </c>
      <c r="AD63" s="18">
        <f>[1]Gleason!$BT$208</f>
        <v>752208.46</v>
      </c>
      <c r="AE63" s="18">
        <f>AC63-AD63</f>
        <v>-0.4599999999627471</v>
      </c>
    </row>
    <row r="64" spans="1:31" x14ac:dyDescent="0.2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V65" s="18">
        <v>0</v>
      </c>
      <c r="Z65" s="11">
        <f>SUM(C65:Y65)</f>
        <v>5904</v>
      </c>
      <c r="AA65" s="39" t="s">
        <v>93</v>
      </c>
      <c r="AC65" s="18">
        <f>Z65+Z33</f>
        <v>897105</v>
      </c>
      <c r="AD65" s="18">
        <f>[1]Gleason!$BT$202</f>
        <v>897105.05</v>
      </c>
      <c r="AE65" s="18">
        <f>AC65-AD65</f>
        <v>-5.0000000046566129E-2</v>
      </c>
    </row>
    <row r="66" spans="1:31" x14ac:dyDescent="0.2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V66" s="18">
        <v>0</v>
      </c>
      <c r="Z66" s="11">
        <f>SUM(C66:Y66)</f>
        <v>13179.81</v>
      </c>
      <c r="AA66" s="39" t="s">
        <v>30</v>
      </c>
      <c r="AC66" s="18">
        <f>Z66+Z32</f>
        <v>199999.97111111114</v>
      </c>
      <c r="AD66" s="18">
        <f>[1]Wheatland!$BR$151</f>
        <v>200000</v>
      </c>
      <c r="AE66" s="18">
        <f>AC66-AD66</f>
        <v>-2.8888888860819861E-2</v>
      </c>
    </row>
    <row r="67" spans="1:31" x14ac:dyDescent="0.2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49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0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22626.809999999998</v>
      </c>
    </row>
    <row r="68" spans="1:31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3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1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20491.809999999998</v>
      </c>
    </row>
    <row r="71" spans="1:31" x14ac:dyDescent="0.2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3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">
      <c r="Z72" s="11"/>
    </row>
    <row r="73" spans="1:31" x14ac:dyDescent="0.2">
      <c r="A73" s="4" t="s">
        <v>113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8277786.4302744456</v>
      </c>
      <c r="R73" s="9">
        <f t="shared" si="22"/>
        <v>7624294.0213967655</v>
      </c>
      <c r="S73" s="9">
        <f t="shared" si="22"/>
        <v>11403531.021987664</v>
      </c>
      <c r="T73" s="9">
        <f t="shared" si="22"/>
        <v>12235593.601877727</v>
      </c>
      <c r="U73" s="9">
        <f t="shared" si="22"/>
        <v>8370328.4363356046</v>
      </c>
      <c r="V73" s="9">
        <f t="shared" si="22"/>
        <v>26299862.535246417</v>
      </c>
      <c r="W73" s="9">
        <f t="shared" si="22"/>
        <v>-2500291</v>
      </c>
      <c r="X73" s="9">
        <f t="shared" si="22"/>
        <v>0</v>
      </c>
      <c r="Y73" s="9">
        <f t="shared" si="22"/>
        <v>0</v>
      </c>
      <c r="Z73" s="9">
        <f>SUM(C73:Y73)</f>
        <v>177932432.42829847</v>
      </c>
    </row>
    <row r="74" spans="1:31" x14ac:dyDescent="0.2">
      <c r="Z74" s="4">
        <f>Z73-[1]Gleason!$BT$224</f>
        <v>-0.29408887028694153</v>
      </c>
      <c r="AA74" s="17"/>
    </row>
    <row r="75" spans="1:31" x14ac:dyDescent="0.2">
      <c r="I75" s="17"/>
    </row>
  </sheetData>
  <printOptions horizontalCentered="1"/>
  <pageMargins left="0.25" right="0.25" top="0.5" bottom="0.5" header="0.25" footer="0.5"/>
  <pageSetup scale="44" orientation="landscape" horizontalDpi="300" verticalDpi="300" r:id="rId1"/>
  <headerFooter alignWithMargins="0"/>
  <rowBreaks count="1" manualBreakCount="1">
    <brk id="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Q8" activePane="bottomRight" state="frozen"/>
      <selection pane="topRight"/>
      <selection pane="bottomLeft"/>
      <selection pane="bottomRight" activeCell="S27" sqref="S27"/>
    </sheetView>
  </sheetViews>
  <sheetFormatPr defaultRowHeight="12.75" x14ac:dyDescent="0.2"/>
  <cols>
    <col min="1" max="1" width="38.28515625" style="18" bestFit="1" customWidth="1"/>
    <col min="2" max="2" width="1.7109375" style="18" customWidth="1"/>
    <col min="3" max="3" width="12.42578125" style="4" customWidth="1"/>
    <col min="4" max="4" width="14" style="18" customWidth="1"/>
    <col min="5" max="5" width="13.28515625" style="18" customWidth="1"/>
    <col min="6" max="6" width="12.5703125" style="18" customWidth="1"/>
    <col min="7" max="7" width="12.85546875" style="18" customWidth="1"/>
    <col min="8" max="8" width="12.42578125" style="18" customWidth="1"/>
    <col min="9" max="9" width="12.7109375" style="18" customWidth="1"/>
    <col min="10" max="10" width="13" style="18" customWidth="1"/>
    <col min="11" max="11" width="12.28515625" style="18" customWidth="1"/>
    <col min="12" max="12" width="12.140625" style="18" bestFit="1" customWidth="1"/>
    <col min="13" max="13" width="12.28515625" style="18" customWidth="1"/>
    <col min="14" max="14" width="12.28515625" style="18" bestFit="1" customWidth="1"/>
    <col min="15" max="15" width="14" style="18" customWidth="1"/>
    <col min="16" max="16" width="13.85546875" style="18" customWidth="1"/>
    <col min="17" max="17" width="13.28515625" style="18" customWidth="1"/>
    <col min="18" max="18" width="13.85546875" style="18" customWidth="1"/>
    <col min="19" max="19" width="13.5703125" style="18" customWidth="1"/>
    <col min="20" max="20" width="13.85546875" style="18" customWidth="1"/>
    <col min="21" max="21" width="13.140625" style="18" customWidth="1"/>
    <col min="22" max="24" width="13.140625" style="18" hidden="1" customWidth="1"/>
    <col min="25" max="25" width="13.85546875" style="4" customWidth="1"/>
    <col min="26" max="26" width="20" style="18" hidden="1" customWidth="1"/>
    <col min="27" max="27" width="12.28515625" style="18" customWidth="1"/>
    <col min="28" max="28" width="12.85546875" style="18" bestFit="1" customWidth="1"/>
    <col min="29" max="16384" width="9.140625" style="18"/>
  </cols>
  <sheetData>
    <row r="1" spans="1:28" s="2" customFormat="1" ht="15.75" x14ac:dyDescent="0.25">
      <c r="A1" s="1" t="s">
        <v>0</v>
      </c>
    </row>
    <row r="2" spans="1:28" s="2" customFormat="1" ht="15.75" x14ac:dyDescent="0.25">
      <c r="A2" s="1" t="s">
        <v>1</v>
      </c>
      <c r="D2" s="1" t="str">
        <f>Wilton!D2</f>
        <v>Last updated:  Actuals through March 31, 2000</v>
      </c>
      <c r="Y2" s="25" t="str">
        <f ca="1">CELL("filename")</f>
        <v>O:\Fin_Ops\Engysvc\PowerPlants\2000 Plants\Draw Schedule\[Draw Sched - 041100.xls]Gleason</v>
      </c>
    </row>
    <row r="3" spans="1:28" s="2" customFormat="1" ht="15.75" x14ac:dyDescent="0.25">
      <c r="A3" s="1" t="s">
        <v>2</v>
      </c>
      <c r="D3" s="26"/>
      <c r="F3" s="3"/>
      <c r="Y3" s="24">
        <f ca="1">NOW()</f>
        <v>36627.342557291668</v>
      </c>
    </row>
    <row r="4" spans="1:28" ht="15" x14ac:dyDescent="0.2">
      <c r="C4" s="12"/>
      <c r="D4" s="28"/>
    </row>
    <row r="5" spans="1:28" s="6" customFormat="1" x14ac:dyDescent="0.2">
      <c r="A5" s="5"/>
      <c r="C5" s="7">
        <v>1998</v>
      </c>
      <c r="D5" s="56" t="s">
        <v>3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20.25" x14ac:dyDescent="0.55000000000000004">
      <c r="A7" s="32" t="s">
        <v>80</v>
      </c>
      <c r="Y7" s="10"/>
      <c r="Z7" s="31"/>
    </row>
    <row r="8" spans="1:28" x14ac:dyDescent="0.2">
      <c r="A8" s="4" t="s">
        <v>37</v>
      </c>
      <c r="Y8" s="11"/>
    </row>
    <row r="9" spans="1:28" x14ac:dyDescent="0.2">
      <c r="A9" s="5" t="s">
        <v>62</v>
      </c>
      <c r="Y9" s="11"/>
    </row>
    <row r="10" spans="1:28" x14ac:dyDescent="0.2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v>2155483</v>
      </c>
      <c r="T10" s="18">
        <v>231601</v>
      </c>
      <c r="U10" s="18">
        <f>85821500-81565943+66200+1033169-4972-323393-982714</f>
        <v>4043847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612336</v>
      </c>
      <c r="S11" s="17">
        <f>793671-612336+215500</f>
        <v>396835</v>
      </c>
      <c r="Y11" s="11">
        <f t="shared" ref="Y11:Y33" si="0">SUM(C11:X11)</f>
        <v>4656034.3</v>
      </c>
      <c r="Z11" s="15" t="s">
        <v>50</v>
      </c>
      <c r="AA11" s="18">
        <f>[1]Wheatland!$BR$32</f>
        <v>4656034</v>
      </c>
      <c r="AB11" s="18">
        <f t="shared" ref="AB11:AB30" si="1">Y11-AA11</f>
        <v>0.29999999981373549</v>
      </c>
    </row>
    <row r="12" spans="1:28" x14ac:dyDescent="0.2">
      <c r="A12" s="17" t="s">
        <v>114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v>0</v>
      </c>
      <c r="R12" s="18">
        <v>2799666</v>
      </c>
      <c r="S12" s="18">
        <f>(0.7833-0.6503)*AA12</f>
        <v>1783656.483</v>
      </c>
      <c r="T12" s="18">
        <f>(0.8703-0.7833)*AA12</f>
        <v>1166752.7369999995</v>
      </c>
      <c r="U12" s="18">
        <f>(0.9476-0.8703)*AA12+2727672-2000000+1496871</f>
        <v>3261209.5123000005</v>
      </c>
      <c r="V12" s="18">
        <f>(1-0.9476)*AA12</f>
        <v>702733.83240000007</v>
      </c>
      <c r="W12" s="18">
        <f>987110-86446</f>
        <v>900664</v>
      </c>
      <c r="Y12" s="11">
        <f t="shared" si="0"/>
        <v>13410950.564699998</v>
      </c>
      <c r="Z12" s="15" t="s">
        <v>50</v>
      </c>
      <c r="AA12" s="18">
        <f>[1]Wheatland!$BR$48</f>
        <v>13410951</v>
      </c>
      <c r="AB12" s="18">
        <f t="shared" si="1"/>
        <v>-0.43530000187456608</v>
      </c>
    </row>
    <row r="13" spans="1:28" x14ac:dyDescent="0.2">
      <c r="A13" s="17" t="s">
        <v>115</v>
      </c>
      <c r="C13" s="4">
        <v>0</v>
      </c>
      <c r="F13" s="8"/>
      <c r="N13" s="18">
        <v>115533</v>
      </c>
      <c r="P13" s="18">
        <v>359796</v>
      </c>
      <c r="Q13" s="18">
        <v>0</v>
      </c>
      <c r="R13" s="18">
        <v>787142</v>
      </c>
      <c r="S13" s="18">
        <f>(0.7833-0.6503)*AA13</f>
        <v>658320.20799999998</v>
      </c>
      <c r="T13" s="18">
        <f>(0.8703-0.7833)*AA13</f>
        <v>430630.51199999981</v>
      </c>
      <c r="U13" s="18">
        <f>(0.9476-0.8703)*AA13+942336+212174</f>
        <v>1537127.6848000002</v>
      </c>
      <c r="V13" s="18">
        <f>(1-0.9476)*AA13</f>
        <v>259368.26240000001</v>
      </c>
      <c r="W13" s="18">
        <f>442079+359779</f>
        <v>801858</v>
      </c>
      <c r="Y13" s="11">
        <f t="shared" si="0"/>
        <v>4949775.6671999991</v>
      </c>
      <c r="Z13" s="15"/>
      <c r="AA13" s="18">
        <f>[1]Wheatland!$BR$55</f>
        <v>4949776</v>
      </c>
      <c r="AB13" s="18">
        <f t="shared" si="1"/>
        <v>-0.3328000009059906</v>
      </c>
    </row>
    <row r="14" spans="1:28" x14ac:dyDescent="0.2">
      <c r="A14" s="17" t="s">
        <v>116</v>
      </c>
      <c r="M14" s="18">
        <v>0</v>
      </c>
      <c r="N14" s="18">
        <v>61343</v>
      </c>
      <c r="P14" s="18">
        <v>2112822</v>
      </c>
      <c r="Q14" s="18">
        <v>0</v>
      </c>
      <c r="R14" s="18">
        <v>1909722</v>
      </c>
      <c r="S14" s="18">
        <f>(0.7833-0.6503)*AA14</f>
        <v>2144623.2710000002</v>
      </c>
      <c r="T14" s="18">
        <f>(0.8703-0.7833)*AA14</f>
        <v>1402873.8689999995</v>
      </c>
      <c r="U14" s="18">
        <f>(0.9476-0.8703)*AA14+3165418+1120714</f>
        <v>5532593.4951000009</v>
      </c>
      <c r="V14" s="18">
        <f>(1-0.9476)*AA14</f>
        <v>844949.31880000001</v>
      </c>
      <c r="W14" s="18">
        <f>1811742+304318</f>
        <v>2116060</v>
      </c>
      <c r="Y14" s="11">
        <f t="shared" si="0"/>
        <v>16124986.9539</v>
      </c>
      <c r="Z14" s="15"/>
      <c r="AA14" s="18">
        <f>[1]Wheatland!$BR$80</f>
        <v>16124987</v>
      </c>
      <c r="AB14" s="18">
        <f t="shared" si="1"/>
        <v>-4.609999991953373E-2</v>
      </c>
    </row>
    <row r="15" spans="1:28" x14ac:dyDescent="0.2">
      <c r="A15" s="17" t="s">
        <v>117</v>
      </c>
      <c r="N15" s="18">
        <v>0</v>
      </c>
      <c r="P15" s="18">
        <v>355795</v>
      </c>
      <c r="Q15" s="18">
        <v>0</v>
      </c>
      <c r="R15" s="18">
        <v>1899850</v>
      </c>
      <c r="S15" s="18">
        <f>(0.7833-0.6503)*AA15</f>
        <v>1349408.557</v>
      </c>
      <c r="T15" s="18">
        <f>(0.8703-0.7833)*AA15</f>
        <v>882695.82299999963</v>
      </c>
      <c r="U15" s="18">
        <f>(0.9476-0.8703)*AA15+2012953-43145</f>
        <v>2754088.3117000004</v>
      </c>
      <c r="V15" s="18">
        <f>(1-0.9476)*AA15</f>
        <v>531646.67960000003</v>
      </c>
      <c r="W15" s="18">
        <f>1191132+1181313</f>
        <v>2372445</v>
      </c>
      <c r="Y15" s="11">
        <f t="shared" si="0"/>
        <v>10145929.371300001</v>
      </c>
      <c r="Z15" s="15"/>
      <c r="AA15" s="18">
        <f>[1]Wheatland!$BR$85</f>
        <v>10145929</v>
      </c>
      <c r="AB15" s="18">
        <f t="shared" si="1"/>
        <v>0.37130000069737434</v>
      </c>
    </row>
    <row r="16" spans="1:28" x14ac:dyDescent="0.2">
      <c r="A16" s="17" t="s">
        <v>119</v>
      </c>
      <c r="N16" s="18">
        <v>3651557</v>
      </c>
      <c r="P16" s="18">
        <f>1183571-943865</f>
        <v>239706</v>
      </c>
      <c r="Q16" s="18">
        <v>5993551</v>
      </c>
      <c r="R16" s="18">
        <v>123980</v>
      </c>
      <c r="U16" s="18">
        <f>-1946726-3953393</f>
        <v>-5900119</v>
      </c>
      <c r="W16" s="18">
        <v>-4108675</v>
      </c>
      <c r="X16" s="18">
        <v>-3953393</v>
      </c>
      <c r="Y16" s="11">
        <f t="shared" si="0"/>
        <v>-3953393</v>
      </c>
      <c r="Z16" s="15"/>
      <c r="AA16" s="18">
        <f>[1]Wheatland!$BR$89+[1]Wheatland!$BR$87</f>
        <v>-3953393</v>
      </c>
      <c r="AB16" s="18">
        <f t="shared" si="1"/>
        <v>0</v>
      </c>
    </row>
    <row r="17" spans="1:28" x14ac:dyDescent="0.2">
      <c r="A17" s="17" t="s">
        <v>118</v>
      </c>
      <c r="F17" s="8"/>
      <c r="U17" s="18">
        <v>50000</v>
      </c>
      <c r="Y17" s="11">
        <f t="shared" si="0"/>
        <v>50000</v>
      </c>
      <c r="Z17" s="15"/>
      <c r="AA17" s="18">
        <f>[1]Wheatland!$BR$121</f>
        <v>50000</v>
      </c>
      <c r="AB17" s="18">
        <f t="shared" si="1"/>
        <v>0</v>
      </c>
    </row>
    <row r="18" spans="1:28" x14ac:dyDescent="0.2">
      <c r="A18" s="17" t="s">
        <v>100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[1]Wheatland!$BR$95</f>
        <v>929800</v>
      </c>
      <c r="AB18" s="18">
        <f t="shared" si="1"/>
        <v>-3.3333331812173128E-3</v>
      </c>
    </row>
    <row r="19" spans="1:28" x14ac:dyDescent="0.2">
      <c r="A19" s="17" t="s">
        <v>101</v>
      </c>
      <c r="J19" s="18">
        <f>2386700/12</f>
        <v>198891.66666666666</v>
      </c>
      <c r="K19" s="18">
        <f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v>198889</v>
      </c>
      <c r="R19" s="18">
        <f>2386700/12</f>
        <v>198891.66666666666</v>
      </c>
      <c r="S19" s="18">
        <f>2386700/12</f>
        <v>198891.66666666666</v>
      </c>
      <c r="T19" s="18">
        <f>2386700/12</f>
        <v>198891.66666666666</v>
      </c>
      <c r="U19" s="18">
        <f>2386700/12+6+3-7+5</f>
        <v>198898.66666666666</v>
      </c>
      <c r="Y19" s="11">
        <f t="shared" si="0"/>
        <v>2386700.0033333334</v>
      </c>
      <c r="Z19" s="15"/>
      <c r="AA19" s="18">
        <f>[1]Wheatland!$BR96</f>
        <v>2386700</v>
      </c>
      <c r="AB19" s="18">
        <f t="shared" si="1"/>
        <v>3.3333334140479565E-3</v>
      </c>
    </row>
    <row r="20" spans="1:28" x14ac:dyDescent="0.2">
      <c r="A20" s="17" t="s">
        <v>102</v>
      </c>
      <c r="U20" s="18">
        <v>3066700</v>
      </c>
      <c r="Y20" s="11">
        <f t="shared" si="0"/>
        <v>3066700</v>
      </c>
      <c r="Z20" s="15"/>
      <c r="AA20" s="18">
        <f>[1]Wheatland!$BR97</f>
        <v>3066700</v>
      </c>
      <c r="AB20" s="18">
        <f t="shared" si="1"/>
        <v>0</v>
      </c>
    </row>
    <row r="21" spans="1:28" x14ac:dyDescent="0.2">
      <c r="A21" s="17" t="s">
        <v>122</v>
      </c>
      <c r="C21" s="4">
        <v>0</v>
      </c>
      <c r="Q21" s="18">
        <v>37000</v>
      </c>
      <c r="R21" s="18">
        <v>210320</v>
      </c>
      <c r="S21" s="18">
        <v>125000</v>
      </c>
      <c r="T21" s="18">
        <v>125000</v>
      </c>
      <c r="U21" s="18">
        <f>908786-625000+88000-85320</f>
        <v>286466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">
      <c r="A22" s="17" t="s">
        <v>95</v>
      </c>
      <c r="N22" s="18">
        <v>38084</v>
      </c>
      <c r="P22" s="18">
        <v>16048</v>
      </c>
      <c r="Q22" s="18">
        <v>750</v>
      </c>
      <c r="R22" s="18">
        <v>44229</v>
      </c>
      <c r="U22" s="18">
        <f>1500000-38084-16048-750-44229</f>
        <v>1400889</v>
      </c>
      <c r="Y22" s="11">
        <f t="shared" si="0"/>
        <v>1500000</v>
      </c>
      <c r="Z22" s="15"/>
      <c r="AA22" s="18">
        <f>[1]Wheatland!$BR$119</f>
        <v>1500000</v>
      </c>
      <c r="AB22" s="18">
        <f t="shared" si="1"/>
        <v>0</v>
      </c>
    </row>
    <row r="23" spans="1:28" x14ac:dyDescent="0.2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[1]Wheatland!$BR$123</f>
        <v>1172731</v>
      </c>
      <c r="AB23" s="18">
        <f t="shared" si="1"/>
        <v>0</v>
      </c>
    </row>
    <row r="24" spans="1:28" x14ac:dyDescent="0.2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Q24" s="18">
        <v>516321</v>
      </c>
      <c r="R24" s="18">
        <v>-21962</v>
      </c>
      <c r="U24" s="18">
        <v>0</v>
      </c>
      <c r="Y24" s="11">
        <f t="shared" si="0"/>
        <v>1870628.26</v>
      </c>
      <c r="Z24" s="15" t="s">
        <v>57</v>
      </c>
    </row>
    <row r="25" spans="1:28" x14ac:dyDescent="0.2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31364</v>
      </c>
      <c r="R25" s="18">
        <v>9815</v>
      </c>
      <c r="T25" s="18">
        <v>19859</v>
      </c>
      <c r="U25" s="18">
        <v>577</v>
      </c>
      <c r="Y25" s="11">
        <f t="shared" si="0"/>
        <v>313820.42000000004</v>
      </c>
      <c r="Z25" s="15" t="str">
        <f>Z24</f>
        <v>Steve Dowd</v>
      </c>
    </row>
    <row r="26" spans="1:28" x14ac:dyDescent="0.2">
      <c r="A26" s="17" t="s">
        <v>99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0</v>
      </c>
      <c r="R26" s="18">
        <v>0</v>
      </c>
      <c r="S26" s="18">
        <f>500000-10000</f>
        <v>490000</v>
      </c>
      <c r="T26" s="18">
        <v>1500000</v>
      </c>
      <c r="U26" s="18">
        <f>1500000-15000+500000+500000</f>
        <v>2485000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[1]Wheatland!$BR$139</f>
        <v>5000000</v>
      </c>
      <c r="AB26" s="18">
        <f t="shared" si="1"/>
        <v>0</v>
      </c>
    </row>
    <row r="27" spans="1:28" x14ac:dyDescent="0.2">
      <c r="A27" s="17" t="s">
        <v>25</v>
      </c>
      <c r="C27" s="4">
        <v>0</v>
      </c>
      <c r="F27" s="8"/>
      <c r="O27" s="18">
        <v>946000</v>
      </c>
      <c r="Q27" s="18">
        <v>0</v>
      </c>
      <c r="R27" s="18">
        <v>385500</v>
      </c>
      <c r="U27" s="18">
        <v>168500</v>
      </c>
      <c r="Y27" s="11">
        <f t="shared" si="0"/>
        <v>1500000</v>
      </c>
      <c r="Z27" s="15" t="s">
        <v>53</v>
      </c>
      <c r="AA27" s="18">
        <f>[1]Wheatland!$BR$141</f>
        <v>1500000</v>
      </c>
      <c r="AB27" s="18">
        <f t="shared" si="1"/>
        <v>0</v>
      </c>
    </row>
    <row r="28" spans="1:28" x14ac:dyDescent="0.2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[1]Wheatland!$BR$147</f>
        <v>1000000</v>
      </c>
      <c r="AB28" s="18">
        <f t="shared" si="1"/>
        <v>0</v>
      </c>
    </row>
    <row r="29" spans="1:28" hidden="1" x14ac:dyDescent="0.2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[1]Wheatland!$BR$149</f>
        <v>200000</v>
      </c>
      <c r="AB30" s="18">
        <f t="shared" si="1"/>
        <v>0</v>
      </c>
    </row>
    <row r="31" spans="1:28" x14ac:dyDescent="0.2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24646.400000000001</v>
      </c>
      <c r="R31" s="18">
        <v>11209.91</v>
      </c>
      <c r="S31" s="18">
        <v>11111.111111111111</v>
      </c>
      <c r="T31" s="18">
        <f>11111.1111111111+11112</f>
        <v>22223.111111111102</v>
      </c>
      <c r="U31" s="17">
        <f>27193+1111+10000-11209.91</f>
        <v>27094.09</v>
      </c>
      <c r="V31" s="17">
        <v>9462</v>
      </c>
      <c r="W31" s="17">
        <v>180</v>
      </c>
      <c r="X31" s="17"/>
      <c r="Y31" s="11">
        <f t="shared" si="0"/>
        <v>185198.18222222221</v>
      </c>
      <c r="Z31" s="15"/>
    </row>
    <row r="32" spans="1:28" x14ac:dyDescent="0.2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40925</v>
      </c>
      <c r="R32" s="18">
        <v>52736</v>
      </c>
      <c r="S32" s="18">
        <v>70000</v>
      </c>
      <c r="T32" s="18">
        <f>80349-6410</f>
        <v>73939</v>
      </c>
      <c r="U32" s="17">
        <f>2688+4280+17317</f>
        <v>24285</v>
      </c>
      <c r="Y32" s="11">
        <f t="shared" si="0"/>
        <v>684431.69</v>
      </c>
      <c r="Z32" s="15">
        <f>Z31</f>
        <v>0</v>
      </c>
    </row>
    <row r="33" spans="1:27" x14ac:dyDescent="0.2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0</v>
      </c>
      <c r="P33" s="18">
        <f>5360+49464</f>
        <v>54824</v>
      </c>
      <c r="Q33" s="18">
        <v>13665</v>
      </c>
      <c r="R33" s="18">
        <v>7711</v>
      </c>
      <c r="S33" s="18">
        <v>10000</v>
      </c>
      <c r="T33" s="18">
        <f>7559+199999</f>
        <v>207558</v>
      </c>
      <c r="U33" s="18">
        <f>2441+1962+197444+48543+70636</f>
        <v>321026</v>
      </c>
      <c r="V33" s="18">
        <f>6654-1</f>
        <v>6653</v>
      </c>
      <c r="W33" s="18">
        <v>4641</v>
      </c>
      <c r="Y33" s="11">
        <f t="shared" si="0"/>
        <v>701672.39</v>
      </c>
      <c r="Z33" s="15">
        <f>Z32</f>
        <v>0</v>
      </c>
    </row>
    <row r="34" spans="1:27" x14ac:dyDescent="0.2">
      <c r="A34" s="17" t="s">
        <v>63</v>
      </c>
      <c r="C34" s="21">
        <f t="shared" ref="C34:U34" si="3">SUM(C8:C33)</f>
        <v>16673400</v>
      </c>
      <c r="D34" s="21">
        <f t="shared" si="3"/>
        <v>43401650</v>
      </c>
      <c r="E34" s="21">
        <f t="shared" si="3"/>
        <v>4306075</v>
      </c>
      <c r="F34" s="21">
        <f t="shared" si="3"/>
        <v>10000</v>
      </c>
      <c r="G34" s="21">
        <f t="shared" si="3"/>
        <v>4304440.6900000004</v>
      </c>
      <c r="H34" s="21">
        <f t="shared" si="3"/>
        <v>8662875.2300000004</v>
      </c>
      <c r="I34" s="21">
        <f t="shared" si="3"/>
        <v>66183.709999999992</v>
      </c>
      <c r="J34" s="21">
        <f t="shared" si="3"/>
        <v>611142</v>
      </c>
      <c r="K34" s="21">
        <f t="shared" si="3"/>
        <v>1050995</v>
      </c>
      <c r="L34" s="21">
        <f t="shared" si="3"/>
        <v>1325332.93</v>
      </c>
      <c r="M34" s="21">
        <f t="shared" si="3"/>
        <v>1103757.0933333335</v>
      </c>
      <c r="N34" s="21">
        <f t="shared" si="3"/>
        <v>4990044</v>
      </c>
      <c r="O34" s="21">
        <f t="shared" si="3"/>
        <v>3841072.79</v>
      </c>
      <c r="P34" s="21">
        <f t="shared" si="3"/>
        <v>8186544.333333333</v>
      </c>
      <c r="Q34" s="21">
        <f t="shared" si="3"/>
        <v>9090077.7333333325</v>
      </c>
      <c r="R34" s="21">
        <f t="shared" si="3"/>
        <v>9108629.9100000001</v>
      </c>
      <c r="S34" s="21">
        <f t="shared" si="3"/>
        <v>8315329.6301111113</v>
      </c>
      <c r="T34" s="21">
        <f t="shared" si="3"/>
        <v>7339508.0521111097</v>
      </c>
      <c r="U34" s="21">
        <f t="shared" si="3"/>
        <v>19508397.093900003</v>
      </c>
      <c r="V34" s="21">
        <f>SUM(V8:V33)</f>
        <v>2929813.0932</v>
      </c>
      <c r="W34" s="21">
        <f>SUM(W8:W33)</f>
        <v>2128053</v>
      </c>
      <c r="X34" s="21">
        <f>SUM(X8:X33)</f>
        <v>-3929268</v>
      </c>
      <c r="Y34" s="22">
        <f>SUM(C34:U34)</f>
        <v>151895455.19612223</v>
      </c>
    </row>
    <row r="35" spans="1:27" x14ac:dyDescent="0.2">
      <c r="A35" s="17" t="s">
        <v>67</v>
      </c>
      <c r="C35" s="21">
        <f>+C34</f>
        <v>16673400</v>
      </c>
      <c r="D35" s="21">
        <f t="shared" ref="D35:U35" si="4">+C35+D34</f>
        <v>60075050</v>
      </c>
      <c r="E35" s="21">
        <f t="shared" si="4"/>
        <v>64381125</v>
      </c>
      <c r="F35" s="21">
        <f t="shared" si="4"/>
        <v>64391125</v>
      </c>
      <c r="G35" s="21">
        <f t="shared" si="4"/>
        <v>68695565.689999998</v>
      </c>
      <c r="H35" s="21">
        <f t="shared" si="4"/>
        <v>77358440.920000002</v>
      </c>
      <c r="I35" s="21">
        <f t="shared" si="4"/>
        <v>77424624.629999995</v>
      </c>
      <c r="J35" s="21">
        <f t="shared" si="4"/>
        <v>78035766.629999995</v>
      </c>
      <c r="K35" s="21">
        <f t="shared" si="4"/>
        <v>79086761.629999995</v>
      </c>
      <c r="L35" s="21">
        <f t="shared" si="4"/>
        <v>80412094.560000002</v>
      </c>
      <c r="M35" s="21">
        <f t="shared" si="4"/>
        <v>81515851.653333336</v>
      </c>
      <c r="N35" s="21">
        <f t="shared" si="4"/>
        <v>86505895.653333336</v>
      </c>
      <c r="O35" s="21">
        <f t="shared" si="4"/>
        <v>90346968.443333343</v>
      </c>
      <c r="P35" s="21">
        <f t="shared" si="4"/>
        <v>98533512.776666671</v>
      </c>
      <c r="Q35" s="21">
        <f t="shared" si="4"/>
        <v>107623590.51000001</v>
      </c>
      <c r="R35" s="21">
        <f t="shared" si="4"/>
        <v>116732220.42</v>
      </c>
      <c r="S35" s="21">
        <f t="shared" si="4"/>
        <v>125047550.05011111</v>
      </c>
      <c r="T35" s="21">
        <f t="shared" si="4"/>
        <v>132387058.10222222</v>
      </c>
      <c r="U35" s="21">
        <f t="shared" si="4"/>
        <v>151895455.19612223</v>
      </c>
      <c r="V35" s="21">
        <f>+U35+V34</f>
        <v>154825268.28932223</v>
      </c>
      <c r="W35" s="21">
        <f>+V35+W34</f>
        <v>156953321.28932223</v>
      </c>
      <c r="X35" s="21">
        <f>+W35+X34</f>
        <v>153024053.28932223</v>
      </c>
      <c r="Y35" s="11"/>
    </row>
    <row r="36" spans="1:27" x14ac:dyDescent="0.2">
      <c r="A36" s="17" t="s">
        <v>64</v>
      </c>
      <c r="F36" s="8"/>
      <c r="Y36" s="16">
        <f>+Y34/C51/1000</f>
        <v>323.18181956621748</v>
      </c>
      <c r="Z36" s="20"/>
    </row>
    <row r="37" spans="1:27" x14ac:dyDescent="0.2">
      <c r="A37" s="17"/>
      <c r="F37" s="8"/>
      <c r="Y37" s="16"/>
      <c r="Z37" s="20"/>
    </row>
    <row r="38" spans="1:27" x14ac:dyDescent="0.2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5">SUM(C38:X38)</f>
        <v>-6077.5000000000073</v>
      </c>
      <c r="Z38" s="19" t="s">
        <v>54</v>
      </c>
    </row>
    <row r="39" spans="1:27" x14ac:dyDescent="0.2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6">(I35+H44)*$C49/12</f>
        <v>431577.41862083337</v>
      </c>
      <c r="J39" s="30">
        <f t="shared" si="6"/>
        <v>437225.48213836289</v>
      </c>
      <c r="K39" s="30">
        <f t="shared" si="6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v>615994.85825994285</v>
      </c>
      <c r="R39" s="30">
        <v>668433.20015885099</v>
      </c>
      <c r="S39" s="30">
        <f t="shared" si="6"/>
        <v>717095.24882281327</v>
      </c>
      <c r="T39" s="30">
        <f t="shared" si="6"/>
        <v>760735.18336953875</v>
      </c>
      <c r="U39" s="30">
        <f t="shared" si="6"/>
        <v>870526.31653808209</v>
      </c>
      <c r="V39" s="30">
        <v>0</v>
      </c>
      <c r="W39" s="30">
        <v>0</v>
      </c>
      <c r="X39" s="30">
        <v>0</v>
      </c>
      <c r="Y39" s="11">
        <f t="shared" si="5"/>
        <v>9693699.3659079224</v>
      </c>
      <c r="Z39" s="19" t="str">
        <f>Z52</f>
        <v>Rodney Malcolm</v>
      </c>
      <c r="AA39" s="18">
        <f>Y39</f>
        <v>9693699.3659079224</v>
      </c>
    </row>
    <row r="40" spans="1:27" x14ac:dyDescent="0.2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5"/>
        <v>0</v>
      </c>
      <c r="Z40" s="19" t="str">
        <f>Z39</f>
        <v>Rodney Malcolm</v>
      </c>
    </row>
    <row r="41" spans="1:27" x14ac:dyDescent="0.2">
      <c r="A41" s="17" t="s">
        <v>31</v>
      </c>
      <c r="C41" s="4">
        <v>0</v>
      </c>
      <c r="Y41" s="11">
        <f t="shared" si="5"/>
        <v>0</v>
      </c>
      <c r="Z41" s="19" t="s">
        <v>54</v>
      </c>
    </row>
    <row r="42" spans="1:27" x14ac:dyDescent="0.2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5"/>
        <v>0</v>
      </c>
      <c r="Z42" s="19" t="str">
        <f>Z24</f>
        <v>Steve Dowd</v>
      </c>
      <c r="AA42" s="18">
        <f>Y42</f>
        <v>0</v>
      </c>
    </row>
    <row r="43" spans="1:27" x14ac:dyDescent="0.2">
      <c r="A43" s="17" t="s">
        <v>65</v>
      </c>
      <c r="C43" s="21">
        <f t="shared" ref="C43:U43" si="7">SUM(C38:C42)</f>
        <v>413818</v>
      </c>
      <c r="D43" s="21">
        <f t="shared" si="7"/>
        <v>239841</v>
      </c>
      <c r="E43" s="21">
        <f t="shared" si="7"/>
        <v>375473</v>
      </c>
      <c r="F43" s="21">
        <f t="shared" si="7"/>
        <v>352603.6</v>
      </c>
      <c r="G43" s="21">
        <f t="shared" si="7"/>
        <v>440653.9</v>
      </c>
      <c r="H43" s="21">
        <f t="shared" si="7"/>
        <v>428817</v>
      </c>
      <c r="I43" s="21">
        <f t="shared" si="7"/>
        <v>431577.41862083337</v>
      </c>
      <c r="J43" s="21">
        <f t="shared" si="7"/>
        <v>437225.48213836289</v>
      </c>
      <c r="K43" s="21">
        <f t="shared" si="7"/>
        <v>445286.67641661229</v>
      </c>
      <c r="L43" s="21">
        <f t="shared" si="7"/>
        <v>454783</v>
      </c>
      <c r="M43" s="21">
        <f t="shared" si="7"/>
        <v>462626.31550692458</v>
      </c>
      <c r="N43" s="21">
        <f t="shared" si="7"/>
        <v>491955.34096592036</v>
      </c>
      <c r="O43" s="21">
        <f t="shared" si="7"/>
        <v>516340</v>
      </c>
      <c r="P43" s="21">
        <f t="shared" si="7"/>
        <v>563836.3251100413</v>
      </c>
      <c r="Q43" s="21">
        <f t="shared" si="7"/>
        <v>615994.85825994285</v>
      </c>
      <c r="R43" s="21">
        <f t="shared" si="7"/>
        <v>668433.20015885099</v>
      </c>
      <c r="S43" s="21">
        <f t="shared" si="7"/>
        <v>717095.24882281327</v>
      </c>
      <c r="T43" s="21">
        <f t="shared" si="7"/>
        <v>760735.18336953875</v>
      </c>
      <c r="U43" s="21">
        <f t="shared" si="7"/>
        <v>870526.31653808209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5"/>
        <v>9687621.8659079224</v>
      </c>
      <c r="Z43" s="20"/>
    </row>
    <row r="44" spans="1:27" x14ac:dyDescent="0.2">
      <c r="A44" s="17" t="s">
        <v>68</v>
      </c>
      <c r="C44" s="21">
        <f>+C43</f>
        <v>413818</v>
      </c>
      <c r="D44" s="21">
        <f t="shared" ref="D44:U44" si="8">+D43+C44</f>
        <v>653659</v>
      </c>
      <c r="E44" s="21">
        <f t="shared" si="8"/>
        <v>1029132</v>
      </c>
      <c r="F44" s="21">
        <f t="shared" si="8"/>
        <v>1381735.6</v>
      </c>
      <c r="G44" s="21">
        <f t="shared" si="8"/>
        <v>1822389.5</v>
      </c>
      <c r="H44" s="21">
        <f t="shared" si="8"/>
        <v>2251206.5</v>
      </c>
      <c r="I44" s="21">
        <f t="shared" si="8"/>
        <v>2682783.9186208332</v>
      </c>
      <c r="J44" s="21">
        <f t="shared" si="8"/>
        <v>3120009.4007591959</v>
      </c>
      <c r="K44" s="21">
        <f t="shared" si="8"/>
        <v>3565296.0771758081</v>
      </c>
      <c r="L44" s="21">
        <f t="shared" si="8"/>
        <v>4020079.0771758081</v>
      </c>
      <c r="M44" s="21">
        <f t="shared" si="8"/>
        <v>4482705.392682733</v>
      </c>
      <c r="N44" s="21">
        <f t="shared" si="8"/>
        <v>4974660.7336486531</v>
      </c>
      <c r="O44" s="21">
        <f t="shared" si="8"/>
        <v>5491000.7336486531</v>
      </c>
      <c r="P44" s="21">
        <f t="shared" si="8"/>
        <v>6054837.0587586947</v>
      </c>
      <c r="Q44" s="21">
        <f t="shared" si="8"/>
        <v>6670831.9170186371</v>
      </c>
      <c r="R44" s="21">
        <f t="shared" si="8"/>
        <v>7339265.1171774883</v>
      </c>
      <c r="S44" s="21">
        <f t="shared" si="8"/>
        <v>8056360.3660003012</v>
      </c>
      <c r="T44" s="21">
        <f t="shared" si="8"/>
        <v>8817095.54936984</v>
      </c>
      <c r="U44" s="21">
        <f t="shared" si="8"/>
        <v>9687621.8659079224</v>
      </c>
      <c r="V44" s="21">
        <f>+V43+U44</f>
        <v>9687621.8659079224</v>
      </c>
      <c r="W44" s="21">
        <f>+W43+V44</f>
        <v>9687621.8659079224</v>
      </c>
      <c r="X44" s="21">
        <f>+X43+W44</f>
        <v>9687621.8659079224</v>
      </c>
      <c r="Y44" s="11"/>
      <c r="Z44" s="20"/>
    </row>
    <row r="45" spans="1:27" x14ac:dyDescent="0.2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">
      <c r="A46" s="4" t="s">
        <v>75</v>
      </c>
      <c r="C46" s="4">
        <f t="shared" ref="C46:U46" si="9">+C34+C43</f>
        <v>17087218</v>
      </c>
      <c r="D46" s="4">
        <f t="shared" si="9"/>
        <v>43641491</v>
      </c>
      <c r="E46" s="4">
        <f t="shared" si="9"/>
        <v>4681548</v>
      </c>
      <c r="F46" s="4">
        <f t="shared" si="9"/>
        <v>362603.6</v>
      </c>
      <c r="G46" s="4">
        <f t="shared" si="9"/>
        <v>4745094.5900000008</v>
      </c>
      <c r="H46" s="4">
        <f t="shared" si="9"/>
        <v>9091692.2300000004</v>
      </c>
      <c r="I46" s="4">
        <f t="shared" si="9"/>
        <v>497761.12862083339</v>
      </c>
      <c r="J46" s="4">
        <f t="shared" si="9"/>
        <v>1048367.4821383629</v>
      </c>
      <c r="K46" s="4">
        <f t="shared" si="9"/>
        <v>1496281.6764166122</v>
      </c>
      <c r="L46" s="4">
        <f t="shared" si="9"/>
        <v>1780115.93</v>
      </c>
      <c r="M46" s="4">
        <f t="shared" si="9"/>
        <v>1566383.4088402581</v>
      </c>
      <c r="N46" s="4">
        <f t="shared" si="9"/>
        <v>5481999.3409659201</v>
      </c>
      <c r="O46" s="4">
        <f t="shared" si="9"/>
        <v>4357412.79</v>
      </c>
      <c r="P46" s="4">
        <f t="shared" si="9"/>
        <v>8750380.6584433746</v>
      </c>
      <c r="Q46" s="4">
        <f t="shared" si="9"/>
        <v>9706072.5915932748</v>
      </c>
      <c r="R46" s="4">
        <f t="shared" si="9"/>
        <v>9777063.1101588514</v>
      </c>
      <c r="S46" s="4">
        <f t="shared" si="9"/>
        <v>9032424.8789339252</v>
      </c>
      <c r="T46" s="4">
        <f t="shared" si="9"/>
        <v>8100243.2354806485</v>
      </c>
      <c r="U46" s="4">
        <f t="shared" si="9"/>
        <v>20378923.410438083</v>
      </c>
      <c r="V46" s="4">
        <f>+V34+V43</f>
        <v>2929813.0932</v>
      </c>
      <c r="W46" s="4">
        <f>+W34+W43</f>
        <v>2128053</v>
      </c>
      <c r="X46" s="4">
        <f>+X34+X43</f>
        <v>-3929268</v>
      </c>
      <c r="Y46" s="11">
        <f>SUM(C46:X46)</f>
        <v>162711675.15523016</v>
      </c>
    </row>
    <row r="47" spans="1:27" s="4" customFormat="1" x14ac:dyDescent="0.2">
      <c r="A47" s="4" t="s">
        <v>45</v>
      </c>
      <c r="C47" s="4">
        <f>C46</f>
        <v>17087218</v>
      </c>
      <c r="D47" s="4">
        <f t="shared" ref="D47:U47" si="10">C47+D46</f>
        <v>60728709</v>
      </c>
      <c r="E47" s="4">
        <f t="shared" si="10"/>
        <v>65410257</v>
      </c>
      <c r="F47" s="4">
        <f t="shared" si="10"/>
        <v>65772860.600000001</v>
      </c>
      <c r="G47" s="4">
        <f t="shared" si="10"/>
        <v>70517955.189999998</v>
      </c>
      <c r="H47" s="4">
        <f t="shared" si="10"/>
        <v>79609647.420000002</v>
      </c>
      <c r="I47" s="4">
        <f t="shared" si="10"/>
        <v>80107408.548620835</v>
      </c>
      <c r="J47" s="4">
        <f t="shared" si="10"/>
        <v>81155776.0307592</v>
      </c>
      <c r="K47" s="4">
        <f t="shared" si="10"/>
        <v>82652057.707175806</v>
      </c>
      <c r="L47" s="4">
        <f t="shared" si="10"/>
        <v>84432173.637175813</v>
      </c>
      <c r="M47" s="4">
        <f t="shared" si="10"/>
        <v>85998557.046016067</v>
      </c>
      <c r="N47" s="4">
        <f t="shared" si="10"/>
        <v>91480556.386981994</v>
      </c>
      <c r="O47" s="4">
        <f t="shared" si="10"/>
        <v>95837969.176982</v>
      </c>
      <c r="P47" s="4">
        <f t="shared" si="10"/>
        <v>104588349.83542538</v>
      </c>
      <c r="Q47" s="4">
        <f t="shared" si="10"/>
        <v>114294422.42701866</v>
      </c>
      <c r="R47" s="4">
        <f t="shared" si="10"/>
        <v>124071485.5371775</v>
      </c>
      <c r="S47" s="4">
        <f t="shared" si="10"/>
        <v>133103910.41611142</v>
      </c>
      <c r="T47" s="4">
        <f t="shared" si="10"/>
        <v>141204153.65159208</v>
      </c>
      <c r="U47" s="4">
        <f t="shared" si="10"/>
        <v>161583077.06203017</v>
      </c>
      <c r="V47" s="4">
        <f>U47+V46</f>
        <v>164512890.15523016</v>
      </c>
      <c r="W47" s="4">
        <f>V47+W46</f>
        <v>166640943.15523016</v>
      </c>
      <c r="X47" s="4">
        <f>W47+X46</f>
        <v>162711675.15523016</v>
      </c>
      <c r="Y47" s="11"/>
    </row>
    <row r="48" spans="1:27" s="4" customFormat="1" x14ac:dyDescent="0.2">
      <c r="Y48" s="16">
        <f>+Y46/C51/1000</f>
        <v>346.19505352176634</v>
      </c>
    </row>
    <row r="49" spans="1:29" s="4" customFormat="1" x14ac:dyDescent="0.2">
      <c r="A49" s="8" t="s">
        <v>96</v>
      </c>
      <c r="C49" s="12">
        <v>6.5000000000000002E-2</v>
      </c>
      <c r="Y49" s="11"/>
    </row>
    <row r="50" spans="1:29" s="4" customFormat="1" x14ac:dyDescent="0.2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">
      <c r="A51" s="17" t="s">
        <v>64</v>
      </c>
      <c r="C51" s="4">
        <v>470</v>
      </c>
      <c r="D51" s="4" t="s">
        <v>66</v>
      </c>
      <c r="Y51" s="11"/>
    </row>
    <row r="52" spans="1:29" x14ac:dyDescent="0.2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">
      <c r="A53" s="8"/>
      <c r="C53" s="12"/>
      <c r="Y53" s="11"/>
    </row>
    <row r="54" spans="1:29" x14ac:dyDescent="0.2">
      <c r="A54" s="17" t="s">
        <v>69</v>
      </c>
      <c r="C54" s="4">
        <f t="shared" ref="C54:X54" si="11">+C46-C39</f>
        <v>16673400</v>
      </c>
      <c r="D54" s="4">
        <f t="shared" si="11"/>
        <v>43401650</v>
      </c>
      <c r="E54" s="4">
        <f t="shared" si="11"/>
        <v>4306075</v>
      </c>
      <c r="F54" s="4">
        <f t="shared" si="11"/>
        <v>-11556.400000000023</v>
      </c>
      <c r="G54" s="4">
        <f t="shared" si="11"/>
        <v>4370919.5900000008</v>
      </c>
      <c r="H54" s="4">
        <f t="shared" si="11"/>
        <v>8611875.2300000004</v>
      </c>
      <c r="I54" s="4">
        <f t="shared" si="11"/>
        <v>66183.710000000021</v>
      </c>
      <c r="J54" s="4">
        <f t="shared" si="11"/>
        <v>611142</v>
      </c>
      <c r="K54" s="4">
        <f t="shared" si="11"/>
        <v>1050995</v>
      </c>
      <c r="L54" s="4">
        <f t="shared" si="11"/>
        <v>1325332.93</v>
      </c>
      <c r="M54" s="4">
        <f t="shared" si="11"/>
        <v>1103757.0933333335</v>
      </c>
      <c r="N54" s="4">
        <f t="shared" si="11"/>
        <v>4990044</v>
      </c>
      <c r="O54" s="4">
        <f t="shared" si="11"/>
        <v>3841072.79</v>
      </c>
      <c r="P54" s="4">
        <f t="shared" si="11"/>
        <v>8186544.333333333</v>
      </c>
      <c r="Q54" s="4">
        <f t="shared" si="11"/>
        <v>9090077.7333333325</v>
      </c>
      <c r="R54" s="4">
        <f t="shared" si="11"/>
        <v>9108629.9100000001</v>
      </c>
      <c r="S54" s="4">
        <f t="shared" si="11"/>
        <v>8315329.6301111123</v>
      </c>
      <c r="T54" s="4">
        <f t="shared" si="11"/>
        <v>7339508.0521111097</v>
      </c>
      <c r="U54" s="4">
        <f t="shared" si="11"/>
        <v>19508397.093900003</v>
      </c>
      <c r="V54" s="4">
        <f t="shared" si="11"/>
        <v>2929813.0932</v>
      </c>
      <c r="W54" s="4">
        <f t="shared" si="11"/>
        <v>2128053</v>
      </c>
      <c r="X54" s="4">
        <f t="shared" si="11"/>
        <v>-3929268</v>
      </c>
      <c r="Y54" s="23">
        <f>SUM(C54:X54)</f>
        <v>153017975.78932223</v>
      </c>
    </row>
    <row r="55" spans="1:29" x14ac:dyDescent="0.2">
      <c r="Y55" s="11"/>
    </row>
    <row r="56" spans="1:29" x14ac:dyDescent="0.2">
      <c r="A56" s="17"/>
      <c r="C56" s="18"/>
      <c r="Y56" s="11"/>
    </row>
    <row r="57" spans="1:29" ht="20.25" x14ac:dyDescent="0.55000000000000004">
      <c r="A57" s="32" t="s">
        <v>81</v>
      </c>
      <c r="Y57" s="11"/>
    </row>
    <row r="58" spans="1:29" x14ac:dyDescent="0.2">
      <c r="A58" s="4" t="s">
        <v>37</v>
      </c>
      <c r="Y58" s="11"/>
      <c r="AB58" s="17"/>
    </row>
    <row r="59" spans="1:29" x14ac:dyDescent="0.2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[1]Wheatland!$BR$137</f>
        <v>450000</v>
      </c>
      <c r="AC59" s="18">
        <f>AB59-AA59</f>
        <v>-0.42000000004190952</v>
      </c>
    </row>
    <row r="60" spans="1:29" x14ac:dyDescent="0.2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834146.8899999999</v>
      </c>
      <c r="AB60" s="18">
        <f>[1]Wheatland!$BR$160</f>
        <v>834146.91999999993</v>
      </c>
      <c r="AC60" s="18">
        <f>AB60-AA60</f>
        <v>3.0000000027939677E-2</v>
      </c>
    </row>
    <row r="61" spans="1:29" x14ac:dyDescent="0.2">
      <c r="A61" s="17" t="s">
        <v>23</v>
      </c>
      <c r="E61" s="18">
        <v>0</v>
      </c>
      <c r="F61" s="8">
        <v>0</v>
      </c>
      <c r="G61" s="18">
        <v>0</v>
      </c>
      <c r="U61" s="18">
        <v>0</v>
      </c>
      <c r="Y61" s="11">
        <f>SUM(C61:X61)</f>
        <v>0</v>
      </c>
      <c r="Z61" s="19"/>
      <c r="AA61" s="18">
        <f>Y61+Y24</f>
        <v>1870628.26</v>
      </c>
      <c r="AB61" s="18">
        <f>[1]Wheatland!$BR$130</f>
        <v>1870627.57</v>
      </c>
      <c r="AC61" s="18">
        <f>AB61-AA61</f>
        <v>-0.68999999994412065</v>
      </c>
    </row>
    <row r="62" spans="1:29" x14ac:dyDescent="0.2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199999.56222222222</v>
      </c>
      <c r="AB62" s="18">
        <f>[1]Wheatland!$BR$151</f>
        <v>200000</v>
      </c>
      <c r="AC62" s="18">
        <f>AB62-AA62</f>
        <v>0.437777777784504</v>
      </c>
    </row>
    <row r="63" spans="1:29" x14ac:dyDescent="0.2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701672.39</v>
      </c>
      <c r="AB63" s="18">
        <f>[1]Wheatland!$BR$167</f>
        <v>701672.13</v>
      </c>
      <c r="AC63" s="18">
        <f>AB63-AA63</f>
        <v>-0.26000000000931323</v>
      </c>
    </row>
    <row r="64" spans="1:29" x14ac:dyDescent="0.2">
      <c r="A64" s="4" t="s">
        <v>84</v>
      </c>
      <c r="C64" s="21">
        <f t="shared" ref="C64:Y64" si="12">SUM(C59:C63)</f>
        <v>0</v>
      </c>
      <c r="D64" s="21">
        <f t="shared" si="12"/>
        <v>1178</v>
      </c>
      <c r="E64" s="21">
        <f t="shared" si="12"/>
        <v>14924</v>
      </c>
      <c r="F64" s="21">
        <f t="shared" si="12"/>
        <v>56570</v>
      </c>
      <c r="G64" s="21">
        <f t="shared" si="12"/>
        <v>84123.38</v>
      </c>
      <c r="H64" s="21">
        <f t="shared" si="12"/>
        <v>0</v>
      </c>
      <c r="I64" s="21">
        <f t="shared" si="12"/>
        <v>75487.009999999995</v>
      </c>
      <c r="J64" s="21">
        <f t="shared" si="12"/>
        <v>68414.19</v>
      </c>
      <c r="K64" s="21">
        <f t="shared" si="12"/>
        <v>0</v>
      </c>
      <c r="L64" s="21">
        <f t="shared" si="12"/>
        <v>0</v>
      </c>
      <c r="M64" s="21">
        <f t="shared" si="12"/>
        <v>0</v>
      </c>
      <c r="N64" s="21">
        <f t="shared" si="12"/>
        <v>0</v>
      </c>
      <c r="O64" s="21">
        <f t="shared" si="12"/>
        <v>0</v>
      </c>
      <c r="P64" s="21">
        <f t="shared" si="12"/>
        <v>0</v>
      </c>
      <c r="Q64" s="21">
        <f t="shared" si="12"/>
        <v>0</v>
      </c>
      <c r="R64" s="21">
        <f t="shared" si="12"/>
        <v>0</v>
      </c>
      <c r="S64" s="21">
        <f t="shared" si="12"/>
        <v>0</v>
      </c>
      <c r="T64" s="21">
        <f t="shared" si="12"/>
        <v>0</v>
      </c>
      <c r="U64" s="21">
        <f t="shared" si="12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2"/>
        <v>300696.58</v>
      </c>
      <c r="Z64" s="20"/>
    </row>
    <row r="65" spans="1:26" x14ac:dyDescent="0.2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">
      <c r="A67" s="21" t="s">
        <v>98</v>
      </c>
      <c r="C67" s="21">
        <f t="shared" ref="C67:Y67" si="13">SUM(C64:C66)</f>
        <v>0</v>
      </c>
      <c r="D67" s="21">
        <f t="shared" si="13"/>
        <v>1178</v>
      </c>
      <c r="E67" s="21">
        <f t="shared" si="13"/>
        <v>14924</v>
      </c>
      <c r="F67" s="21">
        <f t="shared" si="13"/>
        <v>56570</v>
      </c>
      <c r="G67" s="21">
        <f t="shared" si="13"/>
        <v>16994.380000000005</v>
      </c>
      <c r="H67" s="21">
        <f t="shared" si="13"/>
        <v>12250</v>
      </c>
      <c r="I67" s="21">
        <f t="shared" si="13"/>
        <v>49067.009999999995</v>
      </c>
      <c r="J67" s="21">
        <f t="shared" si="13"/>
        <v>44469.19</v>
      </c>
      <c r="K67" s="21">
        <f t="shared" si="13"/>
        <v>0</v>
      </c>
      <c r="L67" s="21">
        <f t="shared" si="13"/>
        <v>0</v>
      </c>
      <c r="M67" s="21">
        <f t="shared" si="13"/>
        <v>0</v>
      </c>
      <c r="N67" s="21">
        <f t="shared" si="13"/>
        <v>0</v>
      </c>
      <c r="O67" s="21">
        <f t="shared" si="13"/>
        <v>0</v>
      </c>
      <c r="P67" s="21">
        <f t="shared" si="13"/>
        <v>0</v>
      </c>
      <c r="Q67" s="21">
        <f t="shared" si="13"/>
        <v>0</v>
      </c>
      <c r="R67" s="21">
        <f t="shared" si="13"/>
        <v>0</v>
      </c>
      <c r="S67" s="21">
        <f t="shared" si="13"/>
        <v>0</v>
      </c>
      <c r="T67" s="21">
        <f t="shared" si="13"/>
        <v>0</v>
      </c>
      <c r="U67" s="21">
        <f t="shared" si="13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3"/>
        <v>195452.58000000002</v>
      </c>
    </row>
    <row r="68" spans="1:26" x14ac:dyDescent="0.2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">
      <c r="A69" s="4" t="s">
        <v>76</v>
      </c>
      <c r="Y69" s="11"/>
    </row>
    <row r="70" spans="1:26" x14ac:dyDescent="0.2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">
      <c r="Y74" s="11"/>
    </row>
    <row r="75" spans="1:26" x14ac:dyDescent="0.2">
      <c r="A75" s="4" t="s">
        <v>85</v>
      </c>
      <c r="C75" s="21">
        <f t="shared" ref="C75:U75" si="14">SUM(C70:C74)</f>
        <v>0</v>
      </c>
      <c r="D75" s="21">
        <f t="shared" si="14"/>
        <v>0</v>
      </c>
      <c r="E75" s="21">
        <f t="shared" si="14"/>
        <v>15000</v>
      </c>
      <c r="F75" s="21">
        <f t="shared" si="14"/>
        <v>100</v>
      </c>
      <c r="G75" s="21">
        <f t="shared" si="14"/>
        <v>0</v>
      </c>
      <c r="H75" s="21">
        <f t="shared" si="14"/>
        <v>0</v>
      </c>
      <c r="I75" s="21">
        <f t="shared" si="14"/>
        <v>0</v>
      </c>
      <c r="J75" s="21">
        <f t="shared" si="14"/>
        <v>0</v>
      </c>
      <c r="K75" s="21">
        <f t="shared" si="14"/>
        <v>0</v>
      </c>
      <c r="L75" s="21">
        <f t="shared" si="14"/>
        <v>0</v>
      </c>
      <c r="M75" s="21">
        <f t="shared" si="14"/>
        <v>0</v>
      </c>
      <c r="N75" s="21">
        <f t="shared" si="14"/>
        <v>0</v>
      </c>
      <c r="O75" s="21">
        <f t="shared" si="14"/>
        <v>0</v>
      </c>
      <c r="P75" s="21">
        <f t="shared" si="14"/>
        <v>0</v>
      </c>
      <c r="Q75" s="21">
        <f t="shared" si="14"/>
        <v>0</v>
      </c>
      <c r="R75" s="21">
        <f t="shared" si="14"/>
        <v>0</v>
      </c>
      <c r="S75" s="21">
        <f t="shared" si="14"/>
        <v>0</v>
      </c>
      <c r="T75" s="21">
        <f t="shared" si="14"/>
        <v>0</v>
      </c>
      <c r="U75" s="21">
        <f t="shared" si="14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">
      <c r="Y76" s="11"/>
    </row>
    <row r="77" spans="1:26" x14ac:dyDescent="0.2">
      <c r="Y77" s="11"/>
    </row>
    <row r="78" spans="1:26" ht="13.5" thickBot="1" x14ac:dyDescent="0.25">
      <c r="A78" s="4" t="s">
        <v>87</v>
      </c>
      <c r="C78" s="33">
        <f>+C46+C67+C75</f>
        <v>17087218</v>
      </c>
      <c r="D78" s="33">
        <f t="shared" ref="D78:Y78" si="15">+D46+D67+D75</f>
        <v>43642669</v>
      </c>
      <c r="E78" s="33">
        <f t="shared" si="15"/>
        <v>4711472</v>
      </c>
      <c r="F78" s="33">
        <f t="shared" si="15"/>
        <v>419273.6</v>
      </c>
      <c r="G78" s="33">
        <f t="shared" si="15"/>
        <v>4762088.9700000007</v>
      </c>
      <c r="H78" s="33">
        <f t="shared" si="15"/>
        <v>9103942.2300000004</v>
      </c>
      <c r="I78" s="33">
        <f t="shared" si="15"/>
        <v>546828.1386208334</v>
      </c>
      <c r="J78" s="33">
        <f t="shared" si="15"/>
        <v>1092836.6721383629</v>
      </c>
      <c r="K78" s="33">
        <f t="shared" si="15"/>
        <v>1496281.6764166122</v>
      </c>
      <c r="L78" s="33">
        <f t="shared" si="15"/>
        <v>1780115.93</v>
      </c>
      <c r="M78" s="33">
        <f t="shared" si="15"/>
        <v>1566383.4088402581</v>
      </c>
      <c r="N78" s="33">
        <f t="shared" si="15"/>
        <v>5481999.3409659201</v>
      </c>
      <c r="O78" s="33">
        <f t="shared" si="15"/>
        <v>4357412.79</v>
      </c>
      <c r="P78" s="33">
        <f t="shared" si="15"/>
        <v>8750380.6584433746</v>
      </c>
      <c r="Q78" s="33">
        <f t="shared" si="15"/>
        <v>9706072.5915932748</v>
      </c>
      <c r="R78" s="33">
        <f t="shared" si="15"/>
        <v>9777063.1101588514</v>
      </c>
      <c r="S78" s="33">
        <f t="shared" si="15"/>
        <v>9032424.8789339252</v>
      </c>
      <c r="T78" s="33">
        <f t="shared" si="15"/>
        <v>8100243.2354806485</v>
      </c>
      <c r="U78" s="33">
        <f t="shared" si="15"/>
        <v>20378923.410438083</v>
      </c>
      <c r="V78" s="33">
        <f t="shared" si="15"/>
        <v>2929813.0932</v>
      </c>
      <c r="W78" s="33">
        <f t="shared" si="15"/>
        <v>2128053</v>
      </c>
      <c r="X78" s="33">
        <f t="shared" si="15"/>
        <v>-3929268</v>
      </c>
      <c r="Y78" s="33">
        <f t="shared" si="15"/>
        <v>162922227.73523018</v>
      </c>
      <c r="Z78" s="17"/>
    </row>
    <row r="79" spans="1:26" x14ac:dyDescent="0.2">
      <c r="U79"/>
      <c r="V79"/>
      <c r="W79"/>
      <c r="X79"/>
      <c r="Y79" s="44">
        <f>Y78-[1]Wheatland!$BR$200</f>
        <v>1.6493222713470459</v>
      </c>
    </row>
  </sheetData>
  <mergeCells count="1">
    <mergeCell ref="D5:O5"/>
  </mergeCells>
  <printOptions horizontalCentered="1"/>
  <pageMargins left="0.25" right="0.25" top="0.5" bottom="0.5" header="0.25" footer="0.5"/>
  <pageSetup scale="45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6.5% - Swap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2000-04-10T21:09:44Z</cp:lastPrinted>
  <dcterms:created xsi:type="dcterms:W3CDTF">1999-02-09T14:03:00Z</dcterms:created>
  <dcterms:modified xsi:type="dcterms:W3CDTF">2023-09-13T22:54:34Z</dcterms:modified>
</cp:coreProperties>
</file>