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7AF8FCD-E956-4F46-9D74-5A474C65CAA7}" xr6:coauthVersionLast="47" xr6:coauthVersionMax="47" xr10:uidLastSave="{00000000-0000-0000-0000-000000000000}"/>
  <bookViews>
    <workbookView xWindow="-120" yWindow="-120" windowWidth="38640" windowHeight="15720" activeTab="2"/>
  </bookViews>
  <sheets>
    <sheet name="Summary" sheetId="3" r:id="rId1"/>
    <sheet name="Sheet1" sheetId="1" r:id="rId2"/>
    <sheet name="Sheet2" sheetId="2" r:id="rId3"/>
  </sheets>
  <definedNames>
    <definedName name="_xlnm.Print_Area" localSheetId="1">Sheet1!$A$1:$AN$215</definedName>
    <definedName name="_xlnm.Print_Area" localSheetId="2">Sheet2!$A$4:$AG$44</definedName>
    <definedName name="_xlnm.Print_Area" localSheetId="0">Summary!$D$7:$S$79</definedName>
  </definedNames>
  <calcPr calcId="0" calcMode="autoNoTable"/>
</workbook>
</file>

<file path=xl/calcChain.xml><?xml version="1.0" encoding="utf-8"?>
<calcChain xmlns="http://schemas.openxmlformats.org/spreadsheetml/2006/main">
  <c r="A3" i="1" l="1"/>
  <c r="M8" i="1"/>
  <c r="S9" i="1"/>
  <c r="S10" i="1"/>
  <c r="S11" i="1"/>
  <c r="G13" i="1"/>
  <c r="M13" i="1"/>
  <c r="G14" i="1"/>
  <c r="M14" i="1"/>
  <c r="G1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F48" i="1"/>
  <c r="D51" i="1"/>
  <c r="E51" i="1"/>
  <c r="D52" i="1"/>
  <c r="E52" i="1"/>
  <c r="J52" i="1"/>
  <c r="K52" i="1"/>
  <c r="L52" i="1"/>
  <c r="M52" i="1"/>
  <c r="N52" i="1"/>
  <c r="O52" i="1"/>
  <c r="P52" i="1"/>
  <c r="Q52" i="1"/>
  <c r="D53" i="1"/>
  <c r="E53" i="1"/>
  <c r="F53" i="1"/>
  <c r="G53" i="1"/>
  <c r="R53" i="1"/>
  <c r="S53" i="1"/>
  <c r="T53" i="1"/>
  <c r="U53" i="1"/>
  <c r="V53" i="1"/>
  <c r="W53" i="1"/>
  <c r="D54" i="1"/>
  <c r="E54" i="1"/>
  <c r="H54" i="1"/>
  <c r="I54" i="1"/>
  <c r="D55" i="1"/>
  <c r="E55" i="1"/>
  <c r="D56" i="1"/>
  <c r="E56" i="1"/>
  <c r="F56" i="1"/>
  <c r="G56" i="1"/>
  <c r="J56" i="1"/>
  <c r="K56" i="1"/>
  <c r="L56" i="1"/>
  <c r="M56" i="1"/>
  <c r="D57" i="1"/>
  <c r="E57" i="1"/>
  <c r="F57" i="1"/>
  <c r="G57" i="1"/>
  <c r="J57" i="1"/>
  <c r="K57" i="1"/>
  <c r="L57" i="1"/>
  <c r="M57" i="1"/>
  <c r="R57" i="1"/>
  <c r="S57" i="1"/>
  <c r="T57" i="1"/>
  <c r="U57" i="1"/>
  <c r="V57" i="1"/>
  <c r="W57" i="1"/>
  <c r="D58" i="1"/>
  <c r="E58" i="1"/>
  <c r="F58" i="1"/>
  <c r="G58" i="1"/>
  <c r="H58" i="1"/>
  <c r="I58" i="1"/>
  <c r="J58" i="1"/>
  <c r="K58" i="1"/>
  <c r="L58" i="1"/>
  <c r="M58" i="1"/>
  <c r="N58" i="1"/>
  <c r="O58" i="1"/>
  <c r="D59" i="1"/>
  <c r="E59" i="1"/>
  <c r="F59" i="1"/>
  <c r="G59" i="1"/>
  <c r="H59" i="1"/>
  <c r="I59" i="1"/>
  <c r="J59" i="1"/>
  <c r="K59" i="1"/>
  <c r="L59" i="1"/>
  <c r="M59" i="1"/>
  <c r="N59" i="1"/>
  <c r="O59" i="1"/>
  <c r="D60" i="1"/>
  <c r="E60" i="1"/>
  <c r="F60" i="1"/>
  <c r="G60" i="1"/>
  <c r="H60" i="1"/>
  <c r="I60" i="1"/>
  <c r="J60" i="1"/>
  <c r="K60" i="1"/>
  <c r="L60" i="1"/>
  <c r="M60" i="1"/>
  <c r="N60" i="1"/>
  <c r="O60" i="1"/>
  <c r="D61" i="1"/>
  <c r="E61" i="1"/>
  <c r="F61" i="1"/>
  <c r="G61" i="1"/>
  <c r="H61" i="1"/>
  <c r="I61" i="1"/>
  <c r="J61" i="1"/>
  <c r="K61" i="1"/>
  <c r="L61" i="1"/>
  <c r="M61" i="1"/>
  <c r="N61" i="1"/>
  <c r="O61" i="1"/>
  <c r="D62" i="1"/>
  <c r="E62" i="1"/>
  <c r="F62" i="1"/>
  <c r="G62" i="1"/>
  <c r="H62" i="1"/>
  <c r="I62" i="1"/>
  <c r="J62" i="1"/>
  <c r="K62" i="1"/>
  <c r="L62" i="1"/>
  <c r="M62" i="1"/>
  <c r="N62" i="1"/>
  <c r="O62" i="1"/>
  <c r="D63" i="1"/>
  <c r="E63" i="1"/>
  <c r="F63" i="1"/>
  <c r="G63" i="1"/>
  <c r="H63" i="1"/>
  <c r="I63" i="1"/>
  <c r="J63" i="1"/>
  <c r="K63" i="1"/>
  <c r="L63" i="1"/>
  <c r="M63" i="1"/>
  <c r="N63" i="1"/>
  <c r="O63" i="1"/>
  <c r="D64" i="1"/>
  <c r="E64" i="1"/>
  <c r="F64" i="1"/>
  <c r="G64" i="1"/>
  <c r="H64" i="1"/>
  <c r="I64" i="1"/>
  <c r="J64" i="1"/>
  <c r="K64" i="1"/>
  <c r="L64" i="1"/>
  <c r="M64" i="1"/>
  <c r="N64" i="1"/>
  <c r="O64" i="1"/>
  <c r="F65" i="1"/>
  <c r="G65" i="1"/>
  <c r="H65" i="1"/>
  <c r="I65" i="1"/>
  <c r="J65" i="1"/>
  <c r="K65" i="1"/>
  <c r="L65" i="1"/>
  <c r="M65" i="1"/>
  <c r="N65" i="1"/>
  <c r="O65" i="1"/>
  <c r="P65" i="1"/>
  <c r="Q65" i="1"/>
  <c r="F66" i="1"/>
  <c r="G66" i="1"/>
  <c r="H66" i="1"/>
  <c r="I66" i="1"/>
  <c r="J66" i="1"/>
  <c r="K66" i="1"/>
  <c r="L66" i="1"/>
  <c r="M66" i="1"/>
  <c r="N66" i="1"/>
  <c r="O66" i="1"/>
  <c r="P66" i="1"/>
  <c r="Q66" i="1"/>
  <c r="T66" i="1"/>
  <c r="U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N75" i="1"/>
  <c r="O75" i="1"/>
  <c r="P75" i="1"/>
  <c r="Q75" i="1"/>
  <c r="R75" i="1"/>
  <c r="S75" i="1"/>
  <c r="T75" i="1"/>
  <c r="U75" i="1"/>
  <c r="V75" i="1"/>
  <c r="W75" i="1"/>
  <c r="N76" i="1"/>
  <c r="O76" i="1"/>
  <c r="P76" i="1"/>
  <c r="Q76" i="1"/>
  <c r="R76" i="1"/>
  <c r="S76" i="1"/>
  <c r="T76" i="1"/>
  <c r="U76" i="1"/>
  <c r="V76" i="1"/>
  <c r="W76" i="1"/>
  <c r="P77" i="1"/>
  <c r="Q77" i="1"/>
  <c r="R77" i="1"/>
  <c r="S77" i="1"/>
  <c r="T77" i="1"/>
  <c r="U77" i="1"/>
  <c r="V77" i="1"/>
  <c r="W77" i="1"/>
  <c r="P78" i="1"/>
  <c r="Q78" i="1"/>
  <c r="R78" i="1"/>
  <c r="S78" i="1"/>
  <c r="T78" i="1"/>
  <c r="U78" i="1"/>
  <c r="V78" i="1"/>
  <c r="W78" i="1"/>
  <c r="P79" i="1"/>
  <c r="Q79" i="1"/>
  <c r="R79" i="1"/>
  <c r="S79" i="1"/>
  <c r="T79" i="1"/>
  <c r="U79" i="1"/>
  <c r="V79" i="1"/>
  <c r="W79" i="1"/>
  <c r="P80" i="1"/>
  <c r="Q80" i="1"/>
  <c r="R80" i="1"/>
  <c r="S80" i="1"/>
  <c r="T80" i="1"/>
  <c r="U80" i="1"/>
  <c r="V80" i="1"/>
  <c r="W80" i="1"/>
  <c r="P81" i="1"/>
  <c r="Q81" i="1"/>
  <c r="R81" i="1"/>
  <c r="S81" i="1"/>
  <c r="T81" i="1"/>
  <c r="U81" i="1"/>
  <c r="V81" i="1"/>
  <c r="W81" i="1"/>
  <c r="P82" i="1"/>
  <c r="Q82" i="1"/>
  <c r="R82" i="1"/>
  <c r="S82" i="1"/>
  <c r="T82" i="1"/>
  <c r="U82" i="1"/>
  <c r="V82" i="1"/>
  <c r="W82" i="1"/>
  <c r="P83" i="1"/>
  <c r="Q83" i="1"/>
  <c r="R83" i="1"/>
  <c r="S83" i="1"/>
  <c r="T83" i="1"/>
  <c r="U83" i="1"/>
  <c r="V83" i="1"/>
  <c r="W83" i="1"/>
  <c r="R84" i="1"/>
  <c r="S84" i="1"/>
  <c r="T84" i="1"/>
  <c r="U84" i="1"/>
  <c r="V84" i="1"/>
  <c r="W84" i="1"/>
  <c r="R85" i="1"/>
  <c r="S85" i="1"/>
  <c r="T85" i="1"/>
  <c r="U85" i="1"/>
  <c r="V85" i="1"/>
  <c r="W85" i="1"/>
  <c r="V86" i="1"/>
  <c r="W86" i="1"/>
  <c r="V87" i="1"/>
  <c r="W87" i="1"/>
  <c r="V88" i="1"/>
  <c r="W88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N132" i="1"/>
  <c r="O132" i="1"/>
  <c r="P132" i="1"/>
  <c r="Q132" i="1"/>
  <c r="R132" i="1"/>
  <c r="S132" i="1"/>
  <c r="T132" i="1"/>
  <c r="U132" i="1"/>
  <c r="V132" i="1"/>
  <c r="W132" i="1"/>
  <c r="N133" i="1"/>
  <c r="O133" i="1"/>
  <c r="P133" i="1"/>
  <c r="Q133" i="1"/>
  <c r="R133" i="1"/>
  <c r="S133" i="1"/>
  <c r="T133" i="1"/>
  <c r="U133" i="1"/>
  <c r="V133" i="1"/>
  <c r="W133" i="1"/>
  <c r="P134" i="1"/>
  <c r="Q134" i="1"/>
  <c r="R134" i="1"/>
  <c r="S134" i="1"/>
  <c r="T134" i="1"/>
  <c r="U134" i="1"/>
  <c r="V134" i="1"/>
  <c r="W134" i="1"/>
  <c r="P135" i="1"/>
  <c r="Q135" i="1"/>
  <c r="R135" i="1"/>
  <c r="S135" i="1"/>
  <c r="T135" i="1"/>
  <c r="U135" i="1"/>
  <c r="V135" i="1"/>
  <c r="W135" i="1"/>
  <c r="P136" i="1"/>
  <c r="Q136" i="1"/>
  <c r="R136" i="1"/>
  <c r="S136" i="1"/>
  <c r="T136" i="1"/>
  <c r="U136" i="1"/>
  <c r="V136" i="1"/>
  <c r="W136" i="1"/>
  <c r="P137" i="1"/>
  <c r="Q137" i="1"/>
  <c r="R137" i="1"/>
  <c r="S137" i="1"/>
  <c r="T137" i="1"/>
  <c r="U137" i="1"/>
  <c r="V137" i="1"/>
  <c r="W137" i="1"/>
  <c r="P138" i="1"/>
  <c r="Q138" i="1"/>
  <c r="R138" i="1"/>
  <c r="S138" i="1"/>
  <c r="T138" i="1"/>
  <c r="U138" i="1"/>
  <c r="V138" i="1"/>
  <c r="W138" i="1"/>
  <c r="P139" i="1"/>
  <c r="Q139" i="1"/>
  <c r="R139" i="1"/>
  <c r="S139" i="1"/>
  <c r="T139" i="1"/>
  <c r="U139" i="1"/>
  <c r="V139" i="1"/>
  <c r="W139" i="1"/>
  <c r="P140" i="1"/>
  <c r="Q140" i="1"/>
  <c r="R140" i="1"/>
  <c r="S140" i="1"/>
  <c r="T140" i="1"/>
  <c r="U140" i="1"/>
  <c r="V140" i="1"/>
  <c r="W140" i="1"/>
  <c r="R141" i="1"/>
  <c r="S141" i="1"/>
  <c r="T141" i="1"/>
  <c r="U141" i="1"/>
  <c r="V141" i="1"/>
  <c r="W141" i="1"/>
  <c r="R142" i="1"/>
  <c r="S142" i="1"/>
  <c r="T142" i="1"/>
  <c r="U142" i="1"/>
  <c r="V142" i="1"/>
  <c r="W142" i="1"/>
  <c r="V143" i="1"/>
  <c r="W143" i="1"/>
  <c r="V144" i="1"/>
  <c r="W144" i="1"/>
  <c r="V145" i="1"/>
  <c r="W145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C162" i="1"/>
  <c r="C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N245" i="1"/>
  <c r="O245" i="1"/>
  <c r="P245" i="1"/>
  <c r="Q245" i="1"/>
  <c r="R245" i="1"/>
  <c r="S245" i="1"/>
  <c r="T245" i="1"/>
  <c r="U245" i="1"/>
  <c r="V245" i="1"/>
  <c r="W245" i="1"/>
  <c r="N246" i="1"/>
  <c r="O246" i="1"/>
  <c r="P246" i="1"/>
  <c r="Q246" i="1"/>
  <c r="R246" i="1"/>
  <c r="S246" i="1"/>
  <c r="T246" i="1"/>
  <c r="U246" i="1"/>
  <c r="V246" i="1"/>
  <c r="W246" i="1"/>
  <c r="P247" i="1"/>
  <c r="Q247" i="1"/>
  <c r="R247" i="1"/>
  <c r="S247" i="1"/>
  <c r="T247" i="1"/>
  <c r="U247" i="1"/>
  <c r="V247" i="1"/>
  <c r="W247" i="1"/>
  <c r="P248" i="1"/>
  <c r="Q248" i="1"/>
  <c r="R248" i="1"/>
  <c r="S248" i="1"/>
  <c r="T248" i="1"/>
  <c r="U248" i="1"/>
  <c r="V248" i="1"/>
  <c r="W248" i="1"/>
  <c r="P249" i="1"/>
  <c r="Q249" i="1"/>
  <c r="R249" i="1"/>
  <c r="S249" i="1"/>
  <c r="T249" i="1"/>
  <c r="U249" i="1"/>
  <c r="V249" i="1"/>
  <c r="W249" i="1"/>
  <c r="P250" i="1"/>
  <c r="Q250" i="1"/>
  <c r="R250" i="1"/>
  <c r="S250" i="1"/>
  <c r="T250" i="1"/>
  <c r="U250" i="1"/>
  <c r="V250" i="1"/>
  <c r="W250" i="1"/>
  <c r="P251" i="1"/>
  <c r="Q251" i="1"/>
  <c r="R251" i="1"/>
  <c r="S251" i="1"/>
  <c r="T251" i="1"/>
  <c r="U251" i="1"/>
  <c r="V251" i="1"/>
  <c r="W251" i="1"/>
  <c r="P252" i="1"/>
  <c r="Q252" i="1"/>
  <c r="R252" i="1"/>
  <c r="S252" i="1"/>
  <c r="T252" i="1"/>
  <c r="U252" i="1"/>
  <c r="V252" i="1"/>
  <c r="W252" i="1"/>
  <c r="P253" i="1"/>
  <c r="Q253" i="1"/>
  <c r="R253" i="1"/>
  <c r="S253" i="1"/>
  <c r="T253" i="1"/>
  <c r="U253" i="1"/>
  <c r="V253" i="1"/>
  <c r="W253" i="1"/>
  <c r="R254" i="1"/>
  <c r="S254" i="1"/>
  <c r="T254" i="1"/>
  <c r="U254" i="1"/>
  <c r="V254" i="1"/>
  <c r="W254" i="1"/>
  <c r="R255" i="1"/>
  <c r="S255" i="1"/>
  <c r="T255" i="1"/>
  <c r="U255" i="1"/>
  <c r="V255" i="1"/>
  <c r="W255" i="1"/>
  <c r="V256" i="1"/>
  <c r="W256" i="1"/>
  <c r="V257" i="1"/>
  <c r="W257" i="1"/>
  <c r="V258" i="1"/>
  <c r="W25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N297" i="1"/>
  <c r="O297" i="1"/>
  <c r="P297" i="1"/>
  <c r="Q297" i="1"/>
  <c r="R297" i="1"/>
  <c r="S297" i="1"/>
  <c r="T297" i="1"/>
  <c r="U297" i="1"/>
  <c r="V297" i="1"/>
  <c r="W297" i="1"/>
  <c r="N298" i="1"/>
  <c r="O298" i="1"/>
  <c r="P298" i="1"/>
  <c r="Q298" i="1"/>
  <c r="R298" i="1"/>
  <c r="S298" i="1"/>
  <c r="T298" i="1"/>
  <c r="U298" i="1"/>
  <c r="V298" i="1"/>
  <c r="W298" i="1"/>
  <c r="P299" i="1"/>
  <c r="Q299" i="1"/>
  <c r="R299" i="1"/>
  <c r="S299" i="1"/>
  <c r="T299" i="1"/>
  <c r="U299" i="1"/>
  <c r="V299" i="1"/>
  <c r="W299" i="1"/>
  <c r="P300" i="1"/>
  <c r="Q300" i="1"/>
  <c r="R300" i="1"/>
  <c r="S300" i="1"/>
  <c r="T300" i="1"/>
  <c r="U300" i="1"/>
  <c r="V300" i="1"/>
  <c r="W300" i="1"/>
  <c r="P301" i="1"/>
  <c r="Q301" i="1"/>
  <c r="R301" i="1"/>
  <c r="S301" i="1"/>
  <c r="T301" i="1"/>
  <c r="U301" i="1"/>
  <c r="V301" i="1"/>
  <c r="W301" i="1"/>
  <c r="P302" i="1"/>
  <c r="Q302" i="1"/>
  <c r="R302" i="1"/>
  <c r="S302" i="1"/>
  <c r="T302" i="1"/>
  <c r="U302" i="1"/>
  <c r="V302" i="1"/>
  <c r="W302" i="1"/>
  <c r="P303" i="1"/>
  <c r="Q303" i="1"/>
  <c r="R303" i="1"/>
  <c r="S303" i="1"/>
  <c r="T303" i="1"/>
  <c r="U303" i="1"/>
  <c r="V303" i="1"/>
  <c r="W303" i="1"/>
  <c r="P304" i="1"/>
  <c r="Q304" i="1"/>
  <c r="R304" i="1"/>
  <c r="S304" i="1"/>
  <c r="T304" i="1"/>
  <c r="U304" i="1"/>
  <c r="V304" i="1"/>
  <c r="W304" i="1"/>
  <c r="P305" i="1"/>
  <c r="Q305" i="1"/>
  <c r="R305" i="1"/>
  <c r="S305" i="1"/>
  <c r="T305" i="1"/>
  <c r="U305" i="1"/>
  <c r="V305" i="1"/>
  <c r="W305" i="1"/>
  <c r="R306" i="1"/>
  <c r="S306" i="1"/>
  <c r="T306" i="1"/>
  <c r="U306" i="1"/>
  <c r="V306" i="1"/>
  <c r="W306" i="1"/>
  <c r="R307" i="1"/>
  <c r="S307" i="1"/>
  <c r="T307" i="1"/>
  <c r="U307" i="1"/>
  <c r="V307" i="1"/>
  <c r="W307" i="1"/>
  <c r="V308" i="1"/>
  <c r="W308" i="1"/>
  <c r="V309" i="1"/>
  <c r="W309" i="1"/>
  <c r="V310" i="1"/>
  <c r="W31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D342" i="1"/>
  <c r="E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D344" i="1"/>
  <c r="E344" i="1"/>
  <c r="F344" i="1"/>
  <c r="G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D348" i="1"/>
  <c r="E348" i="1"/>
  <c r="F348" i="1"/>
  <c r="G348" i="1"/>
  <c r="H348" i="1"/>
  <c r="I348" i="1"/>
  <c r="N348" i="1"/>
  <c r="O348" i="1"/>
  <c r="P348" i="1"/>
  <c r="Q348" i="1"/>
  <c r="R348" i="1"/>
  <c r="S348" i="1"/>
  <c r="T348" i="1"/>
  <c r="U348" i="1"/>
  <c r="V348" i="1"/>
  <c r="W348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D350" i="1"/>
  <c r="E350" i="1"/>
  <c r="F350" i="1"/>
  <c r="G350" i="1"/>
  <c r="H350" i="1"/>
  <c r="I350" i="1"/>
  <c r="J350" i="1"/>
  <c r="K350" i="1"/>
  <c r="L350" i="1"/>
  <c r="M350" i="1"/>
  <c r="P350" i="1"/>
  <c r="Q350" i="1"/>
  <c r="R350" i="1"/>
  <c r="S350" i="1"/>
  <c r="T350" i="1"/>
  <c r="U350" i="1"/>
  <c r="V350" i="1"/>
  <c r="W350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R357" i="1"/>
  <c r="S357" i="1"/>
  <c r="T357" i="1"/>
  <c r="U357" i="1"/>
  <c r="V357" i="1"/>
  <c r="W357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V359" i="1"/>
  <c r="W359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N399" i="1"/>
  <c r="O399" i="1"/>
  <c r="P399" i="1"/>
  <c r="Q399" i="1"/>
  <c r="R399" i="1"/>
  <c r="S399" i="1"/>
  <c r="T399" i="1"/>
  <c r="U399" i="1"/>
  <c r="V399" i="1"/>
  <c r="W399" i="1"/>
  <c r="N400" i="1"/>
  <c r="O400" i="1"/>
  <c r="P400" i="1"/>
  <c r="Q400" i="1"/>
  <c r="R400" i="1"/>
  <c r="S400" i="1"/>
  <c r="T400" i="1"/>
  <c r="U400" i="1"/>
  <c r="V400" i="1"/>
  <c r="W400" i="1"/>
  <c r="P401" i="1"/>
  <c r="Q401" i="1"/>
  <c r="R401" i="1"/>
  <c r="S401" i="1"/>
  <c r="T401" i="1"/>
  <c r="U401" i="1"/>
  <c r="V401" i="1"/>
  <c r="W401" i="1"/>
  <c r="P402" i="1"/>
  <c r="Q402" i="1"/>
  <c r="R402" i="1"/>
  <c r="S402" i="1"/>
  <c r="T402" i="1"/>
  <c r="U402" i="1"/>
  <c r="V402" i="1"/>
  <c r="W402" i="1"/>
  <c r="P403" i="1"/>
  <c r="Q403" i="1"/>
  <c r="R403" i="1"/>
  <c r="S403" i="1"/>
  <c r="T403" i="1"/>
  <c r="U403" i="1"/>
  <c r="V403" i="1"/>
  <c r="W403" i="1"/>
  <c r="P404" i="1"/>
  <c r="Q404" i="1"/>
  <c r="R404" i="1"/>
  <c r="S404" i="1"/>
  <c r="T404" i="1"/>
  <c r="U404" i="1"/>
  <c r="V404" i="1"/>
  <c r="W404" i="1"/>
  <c r="P405" i="1"/>
  <c r="Q405" i="1"/>
  <c r="R405" i="1"/>
  <c r="S405" i="1"/>
  <c r="T405" i="1"/>
  <c r="U405" i="1"/>
  <c r="V405" i="1"/>
  <c r="W405" i="1"/>
  <c r="P406" i="1"/>
  <c r="Q406" i="1"/>
  <c r="R406" i="1"/>
  <c r="S406" i="1"/>
  <c r="T406" i="1"/>
  <c r="U406" i="1"/>
  <c r="V406" i="1"/>
  <c r="W406" i="1"/>
  <c r="P407" i="1"/>
  <c r="Q407" i="1"/>
  <c r="R407" i="1"/>
  <c r="S407" i="1"/>
  <c r="T407" i="1"/>
  <c r="U407" i="1"/>
  <c r="V407" i="1"/>
  <c r="W407" i="1"/>
  <c r="R408" i="1"/>
  <c r="S408" i="1"/>
  <c r="T408" i="1"/>
  <c r="U408" i="1"/>
  <c r="V408" i="1"/>
  <c r="W408" i="1"/>
  <c r="R409" i="1"/>
  <c r="S409" i="1"/>
  <c r="T409" i="1"/>
  <c r="U409" i="1"/>
  <c r="V409" i="1"/>
  <c r="W409" i="1"/>
  <c r="V410" i="1"/>
  <c r="W410" i="1"/>
  <c r="V411" i="1"/>
  <c r="W411" i="1"/>
  <c r="V412" i="1"/>
  <c r="W412" i="1"/>
  <c r="D421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C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5" i="2"/>
  <c r="F5" i="2"/>
  <c r="G5" i="2"/>
  <c r="J5" i="2"/>
  <c r="L5" i="2"/>
  <c r="M5" i="2"/>
  <c r="N5" i="2"/>
  <c r="O5" i="2"/>
  <c r="R5" i="2"/>
  <c r="T5" i="2"/>
  <c r="U5" i="2"/>
  <c r="V5" i="2"/>
  <c r="W5" i="2"/>
  <c r="X5" i="2"/>
  <c r="Y5" i="2"/>
  <c r="Z5" i="2"/>
  <c r="AB5" i="2"/>
  <c r="AC5" i="2"/>
  <c r="AD5" i="2"/>
  <c r="AF5" i="2"/>
  <c r="AG5" i="2"/>
  <c r="AL5" i="2"/>
  <c r="AM5" i="2"/>
  <c r="AN5" i="2"/>
  <c r="AP5" i="2"/>
  <c r="AR5" i="2"/>
  <c r="AS5" i="2"/>
  <c r="AT5" i="2"/>
  <c r="AU5" i="2"/>
  <c r="AV5" i="2"/>
  <c r="AX5" i="2"/>
  <c r="C6" i="2"/>
  <c r="E6" i="2"/>
  <c r="F6" i="2"/>
  <c r="G6" i="2"/>
  <c r="J6" i="2"/>
  <c r="L6" i="2"/>
  <c r="M6" i="2"/>
  <c r="N6" i="2"/>
  <c r="O6" i="2"/>
  <c r="R6" i="2"/>
  <c r="U6" i="2"/>
  <c r="V6" i="2"/>
  <c r="W6" i="2"/>
  <c r="X6" i="2"/>
  <c r="Y6" i="2"/>
  <c r="Z6" i="2"/>
  <c r="AB6" i="2"/>
  <c r="AC6" i="2"/>
  <c r="AD6" i="2"/>
  <c r="AF6" i="2"/>
  <c r="AM6" i="2"/>
  <c r="AN6" i="2"/>
  <c r="AP6" i="2"/>
  <c r="AS6" i="2"/>
  <c r="AT6" i="2"/>
  <c r="AU6" i="2"/>
  <c r="AV6" i="2"/>
  <c r="AX6" i="2"/>
  <c r="C7" i="2"/>
  <c r="E7" i="2"/>
  <c r="F7" i="2"/>
  <c r="G7" i="2"/>
  <c r="J7" i="2"/>
  <c r="L7" i="2"/>
  <c r="M7" i="2"/>
  <c r="N7" i="2"/>
  <c r="O7" i="2"/>
  <c r="R7" i="2"/>
  <c r="U7" i="2"/>
  <c r="V7" i="2"/>
  <c r="W7" i="2"/>
  <c r="X7" i="2"/>
  <c r="Y7" i="2"/>
  <c r="Z7" i="2"/>
  <c r="AB7" i="2"/>
  <c r="AC7" i="2"/>
  <c r="AD7" i="2"/>
  <c r="AF7" i="2"/>
  <c r="AM7" i="2"/>
  <c r="AN7" i="2"/>
  <c r="AP7" i="2"/>
  <c r="AS7" i="2"/>
  <c r="AT7" i="2"/>
  <c r="AU7" i="2"/>
  <c r="AV7" i="2"/>
  <c r="AX7" i="2"/>
  <c r="C8" i="2"/>
  <c r="E8" i="2"/>
  <c r="F8" i="2"/>
  <c r="G8" i="2"/>
  <c r="J8" i="2"/>
  <c r="L8" i="2"/>
  <c r="M8" i="2"/>
  <c r="N8" i="2"/>
  <c r="O8" i="2"/>
  <c r="R8" i="2"/>
  <c r="U8" i="2"/>
  <c r="V8" i="2"/>
  <c r="W8" i="2"/>
  <c r="X8" i="2"/>
  <c r="Y8" i="2"/>
  <c r="Z8" i="2"/>
  <c r="AB8" i="2"/>
  <c r="AC8" i="2"/>
  <c r="AD8" i="2"/>
  <c r="AF8" i="2"/>
  <c r="AM8" i="2"/>
  <c r="AN8" i="2"/>
  <c r="AP8" i="2"/>
  <c r="AS8" i="2"/>
  <c r="AT8" i="2"/>
  <c r="AU8" i="2"/>
  <c r="AV8" i="2"/>
  <c r="AX8" i="2"/>
  <c r="C9" i="2"/>
  <c r="E9" i="2"/>
  <c r="F9" i="2"/>
  <c r="G9" i="2"/>
  <c r="J9" i="2"/>
  <c r="L9" i="2"/>
  <c r="M9" i="2"/>
  <c r="N9" i="2"/>
  <c r="O9" i="2"/>
  <c r="R9" i="2"/>
  <c r="U9" i="2"/>
  <c r="V9" i="2"/>
  <c r="W9" i="2"/>
  <c r="X9" i="2"/>
  <c r="Y9" i="2"/>
  <c r="Z9" i="2"/>
  <c r="AB9" i="2"/>
  <c r="AC9" i="2"/>
  <c r="AD9" i="2"/>
  <c r="AF9" i="2"/>
  <c r="AM9" i="2"/>
  <c r="AN9" i="2"/>
  <c r="AP9" i="2"/>
  <c r="AS9" i="2"/>
  <c r="AT9" i="2"/>
  <c r="AU9" i="2"/>
  <c r="AV9" i="2"/>
  <c r="AX9" i="2"/>
  <c r="C10" i="2"/>
  <c r="E10" i="2"/>
  <c r="F10" i="2"/>
  <c r="G10" i="2"/>
  <c r="J10" i="2"/>
  <c r="L10" i="2"/>
  <c r="M10" i="2"/>
  <c r="N10" i="2"/>
  <c r="O10" i="2"/>
  <c r="R10" i="2"/>
  <c r="U10" i="2"/>
  <c r="V10" i="2"/>
  <c r="W10" i="2"/>
  <c r="X10" i="2"/>
  <c r="Y10" i="2"/>
  <c r="Z10" i="2"/>
  <c r="AB10" i="2"/>
  <c r="AC10" i="2"/>
  <c r="AD10" i="2"/>
  <c r="AF10" i="2"/>
  <c r="AM10" i="2"/>
  <c r="AN10" i="2"/>
  <c r="AP10" i="2"/>
  <c r="AS10" i="2"/>
  <c r="AT10" i="2"/>
  <c r="AU10" i="2"/>
  <c r="AV10" i="2"/>
  <c r="AX10" i="2"/>
  <c r="C11" i="2"/>
  <c r="E11" i="2"/>
  <c r="F11" i="2"/>
  <c r="G11" i="2"/>
  <c r="J11" i="2"/>
  <c r="L11" i="2"/>
  <c r="M11" i="2"/>
  <c r="N11" i="2"/>
  <c r="O11" i="2"/>
  <c r="R11" i="2"/>
  <c r="U11" i="2"/>
  <c r="V11" i="2"/>
  <c r="W11" i="2"/>
  <c r="X11" i="2"/>
  <c r="Y11" i="2"/>
  <c r="Z11" i="2"/>
  <c r="AB11" i="2"/>
  <c r="AC11" i="2"/>
  <c r="AD11" i="2"/>
  <c r="AF11" i="2"/>
  <c r="AM11" i="2"/>
  <c r="AN11" i="2"/>
  <c r="AP11" i="2"/>
  <c r="AS11" i="2"/>
  <c r="AT11" i="2"/>
  <c r="AU11" i="2"/>
  <c r="AV11" i="2"/>
  <c r="AX11" i="2"/>
  <c r="C12" i="2"/>
  <c r="E12" i="2"/>
  <c r="F12" i="2"/>
  <c r="G12" i="2"/>
  <c r="J12" i="2"/>
  <c r="L12" i="2"/>
  <c r="M12" i="2"/>
  <c r="N12" i="2"/>
  <c r="O12" i="2"/>
  <c r="R12" i="2"/>
  <c r="U12" i="2"/>
  <c r="V12" i="2"/>
  <c r="W12" i="2"/>
  <c r="X12" i="2"/>
  <c r="Y12" i="2"/>
  <c r="Z12" i="2"/>
  <c r="AB12" i="2"/>
  <c r="AC12" i="2"/>
  <c r="AD12" i="2"/>
  <c r="AF12" i="2"/>
  <c r="AM12" i="2"/>
  <c r="AN12" i="2"/>
  <c r="AP12" i="2"/>
  <c r="AS12" i="2"/>
  <c r="AT12" i="2"/>
  <c r="AU12" i="2"/>
  <c r="AV12" i="2"/>
  <c r="AX12" i="2"/>
  <c r="C13" i="2"/>
  <c r="E13" i="2"/>
  <c r="F13" i="2"/>
  <c r="G13" i="2"/>
  <c r="J13" i="2"/>
  <c r="L13" i="2"/>
  <c r="M13" i="2"/>
  <c r="N13" i="2"/>
  <c r="O13" i="2"/>
  <c r="R13" i="2"/>
  <c r="U13" i="2"/>
  <c r="V13" i="2"/>
  <c r="W13" i="2"/>
  <c r="X13" i="2"/>
  <c r="Y13" i="2"/>
  <c r="Z13" i="2"/>
  <c r="AB13" i="2"/>
  <c r="AC13" i="2"/>
  <c r="AD13" i="2"/>
  <c r="AF13" i="2"/>
  <c r="AM13" i="2"/>
  <c r="AN13" i="2"/>
  <c r="AP13" i="2"/>
  <c r="AS13" i="2"/>
  <c r="AT13" i="2"/>
  <c r="AU13" i="2"/>
  <c r="AV13" i="2"/>
  <c r="AX13" i="2"/>
  <c r="C14" i="2"/>
  <c r="E14" i="2"/>
  <c r="F14" i="2"/>
  <c r="G14" i="2"/>
  <c r="J14" i="2"/>
  <c r="L14" i="2"/>
  <c r="M14" i="2"/>
  <c r="N14" i="2"/>
  <c r="O14" i="2"/>
  <c r="R14" i="2"/>
  <c r="U14" i="2"/>
  <c r="V14" i="2"/>
  <c r="W14" i="2"/>
  <c r="X14" i="2"/>
  <c r="Y14" i="2"/>
  <c r="Z14" i="2"/>
  <c r="AB14" i="2"/>
  <c r="AC14" i="2"/>
  <c r="AD14" i="2"/>
  <c r="AF14" i="2"/>
  <c r="AM14" i="2"/>
  <c r="AN14" i="2"/>
  <c r="AP14" i="2"/>
  <c r="AS14" i="2"/>
  <c r="AT14" i="2"/>
  <c r="AU14" i="2"/>
  <c r="AV14" i="2"/>
  <c r="AX14" i="2"/>
  <c r="C15" i="2"/>
  <c r="E15" i="2"/>
  <c r="F15" i="2"/>
  <c r="G15" i="2"/>
  <c r="J15" i="2"/>
  <c r="L15" i="2"/>
  <c r="M15" i="2"/>
  <c r="N15" i="2"/>
  <c r="O15" i="2"/>
  <c r="R15" i="2"/>
  <c r="U15" i="2"/>
  <c r="V15" i="2"/>
  <c r="W15" i="2"/>
  <c r="X15" i="2"/>
  <c r="Y15" i="2"/>
  <c r="Z15" i="2"/>
  <c r="AB15" i="2"/>
  <c r="AC15" i="2"/>
  <c r="AD15" i="2"/>
  <c r="AF15" i="2"/>
  <c r="AM15" i="2"/>
  <c r="AN15" i="2"/>
  <c r="AP15" i="2"/>
  <c r="AS15" i="2"/>
  <c r="AT15" i="2"/>
  <c r="AU15" i="2"/>
  <c r="AV15" i="2"/>
  <c r="AX15" i="2"/>
  <c r="C16" i="2"/>
  <c r="E16" i="2"/>
  <c r="F16" i="2"/>
  <c r="G16" i="2"/>
  <c r="J16" i="2"/>
  <c r="L16" i="2"/>
  <c r="M16" i="2"/>
  <c r="N16" i="2"/>
  <c r="O16" i="2"/>
  <c r="R16" i="2"/>
  <c r="U16" i="2"/>
  <c r="V16" i="2"/>
  <c r="W16" i="2"/>
  <c r="X16" i="2"/>
  <c r="Y16" i="2"/>
  <c r="Z16" i="2"/>
  <c r="AB16" i="2"/>
  <c r="AC16" i="2"/>
  <c r="AD16" i="2"/>
  <c r="AF16" i="2"/>
  <c r="AM16" i="2"/>
  <c r="AN16" i="2"/>
  <c r="AP16" i="2"/>
  <c r="AS16" i="2"/>
  <c r="AT16" i="2"/>
  <c r="AU16" i="2"/>
  <c r="AV16" i="2"/>
  <c r="AW16" i="2"/>
  <c r="AX16" i="2"/>
  <c r="C17" i="2"/>
  <c r="E17" i="2"/>
  <c r="F17" i="2"/>
  <c r="G17" i="2"/>
  <c r="J17" i="2"/>
  <c r="L17" i="2"/>
  <c r="M17" i="2"/>
  <c r="N17" i="2"/>
  <c r="O17" i="2"/>
  <c r="R17" i="2"/>
  <c r="U17" i="2"/>
  <c r="V17" i="2"/>
  <c r="W17" i="2"/>
  <c r="X17" i="2"/>
  <c r="Y17" i="2"/>
  <c r="Z17" i="2"/>
  <c r="AB17" i="2"/>
  <c r="AC17" i="2"/>
  <c r="AD17" i="2"/>
  <c r="AF17" i="2"/>
  <c r="AM17" i="2"/>
  <c r="AN17" i="2"/>
  <c r="AP17" i="2"/>
  <c r="AS17" i="2"/>
  <c r="AT17" i="2"/>
  <c r="AU17" i="2"/>
  <c r="AV17" i="2"/>
  <c r="AW17" i="2"/>
  <c r="AX17" i="2"/>
  <c r="C18" i="2"/>
  <c r="E18" i="2"/>
  <c r="F18" i="2"/>
  <c r="G18" i="2"/>
  <c r="H18" i="2"/>
  <c r="I18" i="2"/>
  <c r="J18" i="2"/>
  <c r="L18" i="2"/>
  <c r="M18" i="2"/>
  <c r="N18" i="2"/>
  <c r="O18" i="2"/>
  <c r="P18" i="2"/>
  <c r="Q18" i="2"/>
  <c r="R18" i="2"/>
  <c r="U18" i="2"/>
  <c r="V18" i="2"/>
  <c r="W18" i="2"/>
  <c r="X18" i="2"/>
  <c r="Y18" i="2"/>
  <c r="Z18" i="2"/>
  <c r="AA18" i="2"/>
  <c r="AB18" i="2"/>
  <c r="AC18" i="2"/>
  <c r="AD18" i="2"/>
  <c r="AF18" i="2"/>
  <c r="AM18" i="2"/>
  <c r="AN18" i="2"/>
  <c r="AO18" i="2"/>
  <c r="AP18" i="2"/>
  <c r="AS18" i="2"/>
  <c r="AT18" i="2"/>
  <c r="AU18" i="2"/>
  <c r="AV18" i="2"/>
  <c r="AX18" i="2"/>
  <c r="C19" i="2"/>
  <c r="E19" i="2"/>
  <c r="F19" i="2"/>
  <c r="G19" i="2"/>
  <c r="J19" i="2"/>
  <c r="L19" i="2"/>
  <c r="M19" i="2"/>
  <c r="N19" i="2"/>
  <c r="O19" i="2"/>
  <c r="R19" i="2"/>
  <c r="U19" i="2"/>
  <c r="V19" i="2"/>
  <c r="W19" i="2"/>
  <c r="X19" i="2"/>
  <c r="Y19" i="2"/>
  <c r="Z19" i="2"/>
  <c r="AB19" i="2"/>
  <c r="AC19" i="2"/>
  <c r="AD19" i="2"/>
  <c r="AF19" i="2"/>
  <c r="AM19" i="2"/>
  <c r="AN19" i="2"/>
  <c r="AP19" i="2"/>
  <c r="AS19" i="2"/>
  <c r="AT19" i="2"/>
  <c r="AU19" i="2"/>
  <c r="AV19" i="2"/>
  <c r="AX19" i="2"/>
  <c r="C20" i="2"/>
  <c r="E20" i="2"/>
  <c r="F20" i="2"/>
  <c r="G20" i="2"/>
  <c r="J20" i="2"/>
  <c r="L20" i="2"/>
  <c r="M20" i="2"/>
  <c r="N20" i="2"/>
  <c r="O20" i="2"/>
  <c r="R20" i="2"/>
  <c r="U20" i="2"/>
  <c r="V20" i="2"/>
  <c r="W20" i="2"/>
  <c r="X20" i="2"/>
  <c r="Y20" i="2"/>
  <c r="Z20" i="2"/>
  <c r="AB20" i="2"/>
  <c r="AC20" i="2"/>
  <c r="AD20" i="2"/>
  <c r="AF20" i="2"/>
  <c r="AM20" i="2"/>
  <c r="AN20" i="2"/>
  <c r="AP20" i="2"/>
  <c r="AS20" i="2"/>
  <c r="AT20" i="2"/>
  <c r="AU20" i="2"/>
  <c r="AV20" i="2"/>
  <c r="AX20" i="2"/>
  <c r="C21" i="2"/>
  <c r="E21" i="2"/>
  <c r="F21" i="2"/>
  <c r="G21" i="2"/>
  <c r="J21" i="2"/>
  <c r="L21" i="2"/>
  <c r="M21" i="2"/>
  <c r="N21" i="2"/>
  <c r="O21" i="2"/>
  <c r="R21" i="2"/>
  <c r="U21" i="2"/>
  <c r="V21" i="2"/>
  <c r="W21" i="2"/>
  <c r="X21" i="2"/>
  <c r="Y21" i="2"/>
  <c r="Z21" i="2"/>
  <c r="AB21" i="2"/>
  <c r="AC21" i="2"/>
  <c r="AD21" i="2"/>
  <c r="AF21" i="2"/>
  <c r="AM21" i="2"/>
  <c r="AN21" i="2"/>
  <c r="AP21" i="2"/>
  <c r="AS21" i="2"/>
  <c r="AT21" i="2"/>
  <c r="AU21" i="2"/>
  <c r="AV21" i="2"/>
  <c r="AW21" i="2"/>
  <c r="AX21" i="2"/>
  <c r="C22" i="2"/>
  <c r="E22" i="2"/>
  <c r="F22" i="2"/>
  <c r="G22" i="2"/>
  <c r="H22" i="2"/>
  <c r="I22" i="2"/>
  <c r="J22" i="2"/>
  <c r="L22" i="2"/>
  <c r="M22" i="2"/>
  <c r="N22" i="2"/>
  <c r="O22" i="2"/>
  <c r="P22" i="2"/>
  <c r="Q22" i="2"/>
  <c r="R22" i="2"/>
  <c r="U22" i="2"/>
  <c r="V22" i="2"/>
  <c r="W22" i="2"/>
  <c r="X22" i="2"/>
  <c r="Y22" i="2"/>
  <c r="Z22" i="2"/>
  <c r="AA22" i="2"/>
  <c r="AB22" i="2"/>
  <c r="AC22" i="2"/>
  <c r="AD22" i="2"/>
  <c r="AF22" i="2"/>
  <c r="AM22" i="2"/>
  <c r="AN22" i="2"/>
  <c r="AO22" i="2"/>
  <c r="AP22" i="2"/>
  <c r="AS22" i="2"/>
  <c r="AT22" i="2"/>
  <c r="AU22" i="2"/>
  <c r="AV22" i="2"/>
  <c r="AX22" i="2"/>
  <c r="C23" i="2"/>
  <c r="E23" i="2"/>
  <c r="F23" i="2"/>
  <c r="G23" i="2"/>
  <c r="J23" i="2"/>
  <c r="L23" i="2"/>
  <c r="M23" i="2"/>
  <c r="N23" i="2"/>
  <c r="O23" i="2"/>
  <c r="R23" i="2"/>
  <c r="U23" i="2"/>
  <c r="V23" i="2"/>
  <c r="W23" i="2"/>
  <c r="X23" i="2"/>
  <c r="Y23" i="2"/>
  <c r="Z23" i="2"/>
  <c r="AB23" i="2"/>
  <c r="AC23" i="2"/>
  <c r="AD23" i="2"/>
  <c r="AF23" i="2"/>
  <c r="AM23" i="2"/>
  <c r="AN23" i="2"/>
  <c r="AP23" i="2"/>
  <c r="AS23" i="2"/>
  <c r="AT23" i="2"/>
  <c r="AU23" i="2"/>
  <c r="AV23" i="2"/>
  <c r="AW23" i="2"/>
  <c r="AX23" i="2"/>
  <c r="C24" i="2"/>
  <c r="E24" i="2"/>
  <c r="F24" i="2"/>
  <c r="G24" i="2"/>
  <c r="H24" i="2"/>
  <c r="I24" i="2"/>
  <c r="J24" i="2"/>
  <c r="L24" i="2"/>
  <c r="M24" i="2"/>
  <c r="N24" i="2"/>
  <c r="O24" i="2"/>
  <c r="P24" i="2"/>
  <c r="Q24" i="2"/>
  <c r="R24" i="2"/>
  <c r="U24" i="2"/>
  <c r="V24" i="2"/>
  <c r="W24" i="2"/>
  <c r="X24" i="2"/>
  <c r="Y24" i="2"/>
  <c r="Z24" i="2"/>
  <c r="AA24" i="2"/>
  <c r="AB24" i="2"/>
  <c r="AC24" i="2"/>
  <c r="AD24" i="2"/>
  <c r="AF24" i="2"/>
  <c r="AM24" i="2"/>
  <c r="AN24" i="2"/>
  <c r="AO24" i="2"/>
  <c r="AP24" i="2"/>
  <c r="AS24" i="2"/>
  <c r="AT24" i="2"/>
  <c r="AU24" i="2"/>
  <c r="AV24" i="2"/>
  <c r="AX24" i="2"/>
  <c r="C25" i="2"/>
  <c r="E25" i="2"/>
  <c r="F25" i="2"/>
  <c r="G25" i="2"/>
  <c r="J25" i="2"/>
  <c r="L25" i="2"/>
  <c r="M25" i="2"/>
  <c r="N25" i="2"/>
  <c r="O25" i="2"/>
  <c r="R25" i="2"/>
  <c r="U25" i="2"/>
  <c r="V25" i="2"/>
  <c r="W25" i="2"/>
  <c r="X25" i="2"/>
  <c r="Y25" i="2"/>
  <c r="Z25" i="2"/>
  <c r="AB25" i="2"/>
  <c r="AC25" i="2"/>
  <c r="AD25" i="2"/>
  <c r="AF25" i="2"/>
  <c r="AM25" i="2"/>
  <c r="AN25" i="2"/>
  <c r="AP25" i="2"/>
  <c r="AS25" i="2"/>
  <c r="AT25" i="2"/>
  <c r="AU25" i="2"/>
  <c r="AV25" i="2"/>
  <c r="AX25" i="2"/>
  <c r="C26" i="2"/>
  <c r="E26" i="2"/>
  <c r="F26" i="2"/>
  <c r="G26" i="2"/>
  <c r="J26" i="2"/>
  <c r="L26" i="2"/>
  <c r="M26" i="2"/>
  <c r="N26" i="2"/>
  <c r="O26" i="2"/>
  <c r="R26" i="2"/>
  <c r="U26" i="2"/>
  <c r="V26" i="2"/>
  <c r="W26" i="2"/>
  <c r="X26" i="2"/>
  <c r="Y26" i="2"/>
  <c r="Z26" i="2"/>
  <c r="AB26" i="2"/>
  <c r="AC26" i="2"/>
  <c r="AD26" i="2"/>
  <c r="AF26" i="2"/>
  <c r="AM26" i="2"/>
  <c r="AN26" i="2"/>
  <c r="AP26" i="2"/>
  <c r="AS26" i="2"/>
  <c r="AT26" i="2"/>
  <c r="AU26" i="2"/>
  <c r="AV26" i="2"/>
  <c r="AW26" i="2"/>
  <c r="AX26" i="2"/>
  <c r="C27" i="2"/>
  <c r="E27" i="2"/>
  <c r="F27" i="2"/>
  <c r="G27" i="2"/>
  <c r="J27" i="2"/>
  <c r="L27" i="2"/>
  <c r="M27" i="2"/>
  <c r="N27" i="2"/>
  <c r="O27" i="2"/>
  <c r="R27" i="2"/>
  <c r="U27" i="2"/>
  <c r="V27" i="2"/>
  <c r="W27" i="2"/>
  <c r="X27" i="2"/>
  <c r="Y27" i="2"/>
  <c r="Z27" i="2"/>
  <c r="AB27" i="2"/>
  <c r="AC27" i="2"/>
  <c r="AD27" i="2"/>
  <c r="AF27" i="2"/>
  <c r="AM27" i="2"/>
  <c r="AN27" i="2"/>
  <c r="AP27" i="2"/>
  <c r="AS27" i="2"/>
  <c r="AT27" i="2"/>
  <c r="AU27" i="2"/>
  <c r="AV27" i="2"/>
  <c r="AX27" i="2"/>
  <c r="C28" i="2"/>
  <c r="E28" i="2"/>
  <c r="F28" i="2"/>
  <c r="G28" i="2"/>
  <c r="H28" i="2"/>
  <c r="I28" i="2"/>
  <c r="J28" i="2"/>
  <c r="L28" i="2"/>
  <c r="M28" i="2"/>
  <c r="N28" i="2"/>
  <c r="O28" i="2"/>
  <c r="P28" i="2"/>
  <c r="Q28" i="2"/>
  <c r="R28" i="2"/>
  <c r="U28" i="2"/>
  <c r="V28" i="2"/>
  <c r="W28" i="2"/>
  <c r="X28" i="2"/>
  <c r="Y28" i="2"/>
  <c r="Z28" i="2"/>
  <c r="AA28" i="2"/>
  <c r="AB28" i="2"/>
  <c r="AC28" i="2"/>
  <c r="AD28" i="2"/>
  <c r="AF28" i="2"/>
  <c r="AM28" i="2"/>
  <c r="AN28" i="2"/>
  <c r="AO28" i="2"/>
  <c r="AP28" i="2"/>
  <c r="AS28" i="2"/>
  <c r="AT28" i="2"/>
  <c r="AU28" i="2"/>
  <c r="AV28" i="2"/>
  <c r="AX28" i="2"/>
  <c r="C29" i="2"/>
  <c r="E29" i="2"/>
  <c r="F29" i="2"/>
  <c r="G29" i="2"/>
  <c r="J29" i="2"/>
  <c r="L29" i="2"/>
  <c r="M29" i="2"/>
  <c r="N29" i="2"/>
  <c r="O29" i="2"/>
  <c r="R29" i="2"/>
  <c r="U29" i="2"/>
  <c r="V29" i="2"/>
  <c r="W29" i="2"/>
  <c r="X29" i="2"/>
  <c r="Y29" i="2"/>
  <c r="Z29" i="2"/>
  <c r="AB29" i="2"/>
  <c r="AC29" i="2"/>
  <c r="AD29" i="2"/>
  <c r="AF29" i="2"/>
  <c r="AM29" i="2"/>
  <c r="AN29" i="2"/>
  <c r="AP29" i="2"/>
  <c r="AS29" i="2"/>
  <c r="AT29" i="2"/>
  <c r="AU29" i="2"/>
  <c r="AV29" i="2"/>
  <c r="AW29" i="2"/>
  <c r="AX29" i="2"/>
  <c r="C30" i="2"/>
  <c r="E30" i="2"/>
  <c r="F30" i="2"/>
  <c r="G30" i="2"/>
  <c r="H30" i="2"/>
  <c r="I30" i="2"/>
  <c r="J30" i="2"/>
  <c r="L30" i="2"/>
  <c r="M30" i="2"/>
  <c r="N30" i="2"/>
  <c r="O30" i="2"/>
  <c r="P30" i="2"/>
  <c r="Q30" i="2"/>
  <c r="R30" i="2"/>
  <c r="U30" i="2"/>
  <c r="V30" i="2"/>
  <c r="W30" i="2"/>
  <c r="X30" i="2"/>
  <c r="Y30" i="2"/>
  <c r="Z30" i="2"/>
  <c r="AA30" i="2"/>
  <c r="AB30" i="2"/>
  <c r="AC30" i="2"/>
  <c r="AD30" i="2"/>
  <c r="AF30" i="2"/>
  <c r="AM30" i="2"/>
  <c r="AN30" i="2"/>
  <c r="AO30" i="2"/>
  <c r="AP30" i="2"/>
  <c r="AS30" i="2"/>
  <c r="AT30" i="2"/>
  <c r="AU30" i="2"/>
  <c r="AV30" i="2"/>
  <c r="AX30" i="2"/>
  <c r="C31" i="2"/>
  <c r="E31" i="2"/>
  <c r="F31" i="2"/>
  <c r="G31" i="2"/>
  <c r="J31" i="2"/>
  <c r="L31" i="2"/>
  <c r="M31" i="2"/>
  <c r="N31" i="2"/>
  <c r="O31" i="2"/>
  <c r="R31" i="2"/>
  <c r="U31" i="2"/>
  <c r="V31" i="2"/>
  <c r="W31" i="2"/>
  <c r="X31" i="2"/>
  <c r="Y31" i="2"/>
  <c r="Z31" i="2"/>
  <c r="AB31" i="2"/>
  <c r="AC31" i="2"/>
  <c r="AD31" i="2"/>
  <c r="AF31" i="2"/>
  <c r="AM31" i="2"/>
  <c r="AN31" i="2"/>
  <c r="AP31" i="2"/>
  <c r="AS31" i="2"/>
  <c r="AT31" i="2"/>
  <c r="AU31" i="2"/>
  <c r="AV31" i="2"/>
  <c r="AX31" i="2"/>
  <c r="C32" i="2"/>
  <c r="E32" i="2"/>
  <c r="F32" i="2"/>
  <c r="G32" i="2"/>
  <c r="J32" i="2"/>
  <c r="L32" i="2"/>
  <c r="M32" i="2"/>
  <c r="N32" i="2"/>
  <c r="O32" i="2"/>
  <c r="R32" i="2"/>
  <c r="U32" i="2"/>
  <c r="V32" i="2"/>
  <c r="W32" i="2"/>
  <c r="X32" i="2"/>
  <c r="Y32" i="2"/>
  <c r="Z32" i="2"/>
  <c r="AB32" i="2"/>
  <c r="AC32" i="2"/>
  <c r="AD32" i="2"/>
  <c r="AF32" i="2"/>
  <c r="AM32" i="2"/>
  <c r="AN32" i="2"/>
  <c r="AP32" i="2"/>
  <c r="AS32" i="2"/>
  <c r="AT32" i="2"/>
  <c r="AU32" i="2"/>
  <c r="AV32" i="2"/>
  <c r="AX32" i="2"/>
  <c r="C33" i="2"/>
  <c r="E33" i="2"/>
  <c r="F33" i="2"/>
  <c r="G33" i="2"/>
  <c r="J33" i="2"/>
  <c r="L33" i="2"/>
  <c r="M33" i="2"/>
  <c r="N33" i="2"/>
  <c r="O33" i="2"/>
  <c r="R33" i="2"/>
  <c r="U33" i="2"/>
  <c r="V33" i="2"/>
  <c r="W33" i="2"/>
  <c r="X33" i="2"/>
  <c r="Y33" i="2"/>
  <c r="Z33" i="2"/>
  <c r="AB33" i="2"/>
  <c r="AC33" i="2"/>
  <c r="AD33" i="2"/>
  <c r="AF33" i="2"/>
  <c r="AM33" i="2"/>
  <c r="AN33" i="2"/>
  <c r="AP33" i="2"/>
  <c r="AS33" i="2"/>
  <c r="AT33" i="2"/>
  <c r="AU33" i="2"/>
  <c r="AV33" i="2"/>
  <c r="AX33" i="2"/>
  <c r="C34" i="2"/>
  <c r="E34" i="2"/>
  <c r="F34" i="2"/>
  <c r="G34" i="2"/>
  <c r="J34" i="2"/>
  <c r="L34" i="2"/>
  <c r="M34" i="2"/>
  <c r="N34" i="2"/>
  <c r="O34" i="2"/>
  <c r="R34" i="2"/>
  <c r="U34" i="2"/>
  <c r="V34" i="2"/>
  <c r="W34" i="2"/>
  <c r="X34" i="2"/>
  <c r="Y34" i="2"/>
  <c r="Z34" i="2"/>
  <c r="AB34" i="2"/>
  <c r="AC34" i="2"/>
  <c r="AD34" i="2"/>
  <c r="AF34" i="2"/>
  <c r="AM34" i="2"/>
  <c r="AN34" i="2"/>
  <c r="AP34" i="2"/>
  <c r="AS34" i="2"/>
  <c r="AT34" i="2"/>
  <c r="AU34" i="2"/>
  <c r="AV34" i="2"/>
  <c r="AX34" i="2"/>
  <c r="C35" i="2"/>
  <c r="E35" i="2"/>
  <c r="F35" i="2"/>
  <c r="G35" i="2"/>
  <c r="J35" i="2"/>
  <c r="L35" i="2"/>
  <c r="M35" i="2"/>
  <c r="N35" i="2"/>
  <c r="O35" i="2"/>
  <c r="R35" i="2"/>
  <c r="U35" i="2"/>
  <c r="V35" i="2"/>
  <c r="W35" i="2"/>
  <c r="X35" i="2"/>
  <c r="Y35" i="2"/>
  <c r="Z35" i="2"/>
  <c r="AB35" i="2"/>
  <c r="AC35" i="2"/>
  <c r="AD35" i="2"/>
  <c r="AF35" i="2"/>
  <c r="AM35" i="2"/>
  <c r="AN35" i="2"/>
  <c r="AP35" i="2"/>
  <c r="AS35" i="2"/>
  <c r="AT35" i="2"/>
  <c r="AU35" i="2"/>
  <c r="AV35" i="2"/>
  <c r="AX35" i="2"/>
  <c r="C36" i="2"/>
  <c r="E36" i="2"/>
  <c r="F36" i="2"/>
  <c r="G36" i="2"/>
  <c r="J36" i="2"/>
  <c r="L36" i="2"/>
  <c r="M36" i="2"/>
  <c r="N36" i="2"/>
  <c r="O36" i="2"/>
  <c r="R36" i="2"/>
  <c r="U36" i="2"/>
  <c r="V36" i="2"/>
  <c r="W36" i="2"/>
  <c r="X36" i="2"/>
  <c r="Y36" i="2"/>
  <c r="Z36" i="2"/>
  <c r="AB36" i="2"/>
  <c r="AC36" i="2"/>
  <c r="AD36" i="2"/>
  <c r="AF36" i="2"/>
  <c r="AM36" i="2"/>
  <c r="AN36" i="2"/>
  <c r="AP36" i="2"/>
  <c r="AS36" i="2"/>
  <c r="AT36" i="2"/>
  <c r="AU36" i="2"/>
  <c r="AV36" i="2"/>
  <c r="AW36" i="2"/>
  <c r="AX36" i="2"/>
  <c r="C37" i="2"/>
  <c r="E37" i="2"/>
  <c r="F37" i="2"/>
  <c r="G37" i="2"/>
  <c r="H37" i="2"/>
  <c r="I37" i="2"/>
  <c r="J37" i="2"/>
  <c r="L37" i="2"/>
  <c r="M37" i="2"/>
  <c r="N37" i="2"/>
  <c r="O37" i="2"/>
  <c r="P37" i="2"/>
  <c r="Q37" i="2"/>
  <c r="R37" i="2"/>
  <c r="U37" i="2"/>
  <c r="V37" i="2"/>
  <c r="W37" i="2"/>
  <c r="X37" i="2"/>
  <c r="Y37" i="2"/>
  <c r="Z37" i="2"/>
  <c r="AA37" i="2"/>
  <c r="AB37" i="2"/>
  <c r="AC37" i="2"/>
  <c r="AD37" i="2"/>
  <c r="AF37" i="2"/>
  <c r="AM37" i="2"/>
  <c r="AN37" i="2"/>
  <c r="AO37" i="2"/>
  <c r="AP37" i="2"/>
  <c r="AS37" i="2"/>
  <c r="AT37" i="2"/>
  <c r="AU37" i="2"/>
  <c r="AV37" i="2"/>
  <c r="AX37" i="2"/>
  <c r="C38" i="2"/>
  <c r="E38" i="2"/>
  <c r="F38" i="2"/>
  <c r="G38" i="2"/>
  <c r="J38" i="2"/>
  <c r="L38" i="2"/>
  <c r="M38" i="2"/>
  <c r="N38" i="2"/>
  <c r="O38" i="2"/>
  <c r="R38" i="2"/>
  <c r="U38" i="2"/>
  <c r="V38" i="2"/>
  <c r="W38" i="2"/>
  <c r="X38" i="2"/>
  <c r="Y38" i="2"/>
  <c r="Z38" i="2"/>
  <c r="AB38" i="2"/>
  <c r="AC38" i="2"/>
  <c r="AD38" i="2"/>
  <c r="AF38" i="2"/>
  <c r="AM38" i="2"/>
  <c r="AN38" i="2"/>
  <c r="AP38" i="2"/>
  <c r="AS38" i="2"/>
  <c r="AT38" i="2"/>
  <c r="AU38" i="2"/>
  <c r="AV38" i="2"/>
  <c r="AW38" i="2"/>
  <c r="AX38" i="2"/>
  <c r="C39" i="2"/>
  <c r="E39" i="2"/>
  <c r="F39" i="2"/>
  <c r="G39" i="2"/>
  <c r="H39" i="2"/>
  <c r="I39" i="2"/>
  <c r="J39" i="2"/>
  <c r="L39" i="2"/>
  <c r="M39" i="2"/>
  <c r="N39" i="2"/>
  <c r="O39" i="2"/>
  <c r="P39" i="2"/>
  <c r="Q39" i="2"/>
  <c r="R39" i="2"/>
  <c r="U39" i="2"/>
  <c r="V39" i="2"/>
  <c r="W39" i="2"/>
  <c r="X39" i="2"/>
  <c r="Y39" i="2"/>
  <c r="Z39" i="2"/>
  <c r="AA39" i="2"/>
  <c r="AB39" i="2"/>
  <c r="AC39" i="2"/>
  <c r="AD39" i="2"/>
  <c r="AF39" i="2"/>
  <c r="AM39" i="2"/>
  <c r="AN39" i="2"/>
  <c r="AO39" i="2"/>
  <c r="AP39" i="2"/>
  <c r="AS39" i="2"/>
  <c r="AT39" i="2"/>
  <c r="AU39" i="2"/>
  <c r="AV39" i="2"/>
  <c r="AW39" i="2"/>
  <c r="AX39" i="2"/>
  <c r="C40" i="2"/>
  <c r="E40" i="2"/>
  <c r="F40" i="2"/>
  <c r="G40" i="2"/>
  <c r="J40" i="2"/>
  <c r="L40" i="2"/>
  <c r="M40" i="2"/>
  <c r="N40" i="2"/>
  <c r="O40" i="2"/>
  <c r="R40" i="2"/>
  <c r="U40" i="2"/>
  <c r="V40" i="2"/>
  <c r="W40" i="2"/>
  <c r="X40" i="2"/>
  <c r="Y40" i="2"/>
  <c r="Z40" i="2"/>
  <c r="AB40" i="2"/>
  <c r="AC40" i="2"/>
  <c r="AD40" i="2"/>
  <c r="AF40" i="2"/>
  <c r="AM40" i="2"/>
  <c r="AN40" i="2"/>
  <c r="AP40" i="2"/>
  <c r="AS40" i="2"/>
  <c r="AT40" i="2"/>
  <c r="AU40" i="2"/>
  <c r="AV40" i="2"/>
  <c r="AX40" i="2"/>
  <c r="C41" i="2"/>
  <c r="E41" i="2"/>
  <c r="F41" i="2"/>
  <c r="G41" i="2"/>
  <c r="J41" i="2"/>
  <c r="L41" i="2"/>
  <c r="M41" i="2"/>
  <c r="N41" i="2"/>
  <c r="O41" i="2"/>
  <c r="R41" i="2"/>
  <c r="U41" i="2"/>
  <c r="V41" i="2"/>
  <c r="W41" i="2"/>
  <c r="X41" i="2"/>
  <c r="Y41" i="2"/>
  <c r="Z41" i="2"/>
  <c r="AB41" i="2"/>
  <c r="AC41" i="2"/>
  <c r="AD41" i="2"/>
  <c r="AF41" i="2"/>
  <c r="AM41" i="2"/>
  <c r="AN41" i="2"/>
  <c r="AP41" i="2"/>
  <c r="AS41" i="2"/>
  <c r="AT41" i="2"/>
  <c r="AU41" i="2"/>
  <c r="AV41" i="2"/>
  <c r="AX41" i="2"/>
  <c r="C42" i="2"/>
  <c r="E42" i="2"/>
  <c r="F42" i="2"/>
  <c r="G42" i="2"/>
  <c r="H42" i="2"/>
  <c r="I42" i="2"/>
  <c r="J42" i="2"/>
  <c r="L42" i="2"/>
  <c r="M42" i="2"/>
  <c r="N42" i="2"/>
  <c r="O42" i="2"/>
  <c r="P42" i="2"/>
  <c r="Q42" i="2"/>
  <c r="R42" i="2"/>
  <c r="U42" i="2"/>
  <c r="V42" i="2"/>
  <c r="W42" i="2"/>
  <c r="X42" i="2"/>
  <c r="Y42" i="2"/>
  <c r="Z42" i="2"/>
  <c r="AA42" i="2"/>
  <c r="AB42" i="2"/>
  <c r="AC42" i="2"/>
  <c r="AD42" i="2"/>
  <c r="AF42" i="2"/>
  <c r="AM42" i="2"/>
  <c r="AN42" i="2"/>
  <c r="AO42" i="2"/>
  <c r="AP42" i="2"/>
  <c r="AS42" i="2"/>
  <c r="AT42" i="2"/>
  <c r="AU42" i="2"/>
  <c r="AV42" i="2"/>
  <c r="AW42" i="2"/>
  <c r="AX42" i="2"/>
  <c r="AD43" i="2"/>
  <c r="AX43" i="2"/>
  <c r="AF44" i="2"/>
  <c r="F62" i="3"/>
  <c r="H62" i="3"/>
  <c r="I62" i="3"/>
  <c r="J62" i="3"/>
  <c r="K62" i="3"/>
  <c r="L62" i="3"/>
  <c r="M62" i="3"/>
  <c r="N62" i="3"/>
  <c r="O62" i="3"/>
  <c r="P62" i="3"/>
  <c r="Q62" i="3"/>
  <c r="R62" i="3"/>
  <c r="S62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</calcChain>
</file>

<file path=xl/comments1.xml><?xml version="1.0" encoding="utf-8"?>
<comments xmlns="http://schemas.openxmlformats.org/spreadsheetml/2006/main">
  <authors>
    <author>Christopher D. Herron</author>
  </authors>
  <commentList>
    <comment ref="C8" authorId="0" shapeId="0">
      <text>
        <r>
          <rPr>
            <b/>
            <sz val="10"/>
            <color indexed="81"/>
            <rFont val="Tahoma"/>
            <family val="2"/>
          </rPr>
          <t>Christopher D. Herron:</t>
        </r>
        <r>
          <rPr>
            <sz val="10"/>
            <color indexed="81"/>
            <rFont val="Tahoma"/>
            <family val="2"/>
          </rPr>
          <t xml:space="preserve">
This figure equals the greatest amount drawn down (the BOM amount plus drawdown during the month).</t>
        </r>
      </text>
    </comment>
    <comment ref="U8" authorId="0" shapeId="0">
      <text>
        <r>
          <rPr>
            <b/>
            <sz val="10"/>
            <color indexed="81"/>
            <rFont val="Tahoma"/>
            <family val="2"/>
          </rPr>
          <t>Christopher D. Herron:</t>
        </r>
        <r>
          <rPr>
            <sz val="10"/>
            <color indexed="81"/>
            <rFont val="Tahoma"/>
            <family val="2"/>
          </rPr>
          <t xml:space="preserve">
Bloomberg, SWYC, April 6, 2000.</t>
        </r>
      </text>
    </comment>
    <comment ref="C12" authorId="0" shapeId="0">
      <text>
        <r>
          <rPr>
            <b/>
            <sz val="10"/>
            <color indexed="81"/>
            <rFont val="Tahoma"/>
            <family val="2"/>
          </rPr>
          <t>Christopher D. Herron:</t>
        </r>
        <r>
          <rPr>
            <sz val="10"/>
            <color indexed="81"/>
            <rFont val="Tahoma"/>
            <family val="2"/>
          </rPr>
          <t xml:space="preserve">
Enter 1, 3, 6, or 12 to designate tenor month.</t>
        </r>
      </text>
    </comment>
    <comment ref="I12" authorId="0" shapeId="0">
      <text>
        <r>
          <rPr>
            <b/>
            <sz val="10"/>
            <color indexed="81"/>
            <rFont val="Tahoma"/>
            <family val="2"/>
          </rPr>
          <t>Christopher D. Herron:</t>
        </r>
        <r>
          <rPr>
            <sz val="10"/>
            <color indexed="81"/>
            <rFont val="Tahoma"/>
            <family val="2"/>
          </rPr>
          <t xml:space="preserve">
Enter 1, 3, 6, or 12 to designate tenor month.  Six month LIBOR suggested by Brian Kerrigan.</t>
        </r>
      </text>
    </comment>
    <comment ref="C15" authorId="0" shapeId="0">
      <text>
        <r>
          <rPr>
            <b/>
            <sz val="10"/>
            <color indexed="81"/>
            <rFont val="Tahoma"/>
            <family val="2"/>
          </rPr>
          <t>Christopher D. Herron:</t>
        </r>
        <r>
          <rPr>
            <sz val="10"/>
            <color indexed="81"/>
            <rFont val="Tahoma"/>
            <family val="2"/>
          </rPr>
          <t xml:space="preserve">
1 = "YES", 0 = "NO"</t>
        </r>
      </text>
    </comment>
    <comment ref="B24" authorId="0" shapeId="0">
      <text>
        <r>
          <rPr>
            <b/>
            <sz val="10"/>
            <color indexed="81"/>
            <rFont val="Tahoma"/>
            <family val="2"/>
          </rPr>
          <t>Christopher D. Herron:</t>
        </r>
        <r>
          <rPr>
            <sz val="10"/>
            <color indexed="81"/>
            <rFont val="Tahoma"/>
            <family val="2"/>
          </rPr>
          <t xml:space="preserve">
1 = "YES", 0 = "NO"</t>
        </r>
      </text>
    </comment>
    <comment ref="B104" authorId="0" shapeId="0">
      <text>
        <r>
          <rPr>
            <b/>
            <sz val="10"/>
            <color indexed="81"/>
            <rFont val="Tahoma"/>
            <family val="2"/>
          </rPr>
          <t>Christopher D. Herron:</t>
        </r>
        <r>
          <rPr>
            <sz val="10"/>
            <color indexed="81"/>
            <rFont val="Tahoma"/>
            <family val="2"/>
          </rPr>
          <t xml:space="preserve">
1 = "YES", 0 = "NO"</t>
        </r>
      </text>
    </comment>
    <comment ref="B107" authorId="0" shapeId="0">
      <text>
        <r>
          <rPr>
            <b/>
            <sz val="10"/>
            <color indexed="81"/>
            <rFont val="Tahoma"/>
            <family val="2"/>
          </rPr>
          <t>Christopher D. Herron:</t>
        </r>
        <r>
          <rPr>
            <sz val="10"/>
            <color indexed="81"/>
            <rFont val="Tahoma"/>
            <family val="2"/>
          </rPr>
          <t xml:space="preserve">
Does not include last scheduled payment.</t>
        </r>
      </text>
    </comment>
    <comment ref="A156" authorId="0" shapeId="0">
      <text>
        <r>
          <rPr>
            <b/>
            <sz val="10"/>
            <color indexed="81"/>
            <rFont val="Tahoma"/>
            <family val="2"/>
          </rPr>
          <t>Christopher D. Herron:</t>
        </r>
        <r>
          <rPr>
            <sz val="10"/>
            <color indexed="81"/>
            <rFont val="Tahoma"/>
            <family val="2"/>
          </rPr>
          <t xml:space="preserve">
Mike Miller, April 10, 2000</t>
        </r>
      </text>
    </comment>
  </commentList>
</comments>
</file>

<file path=xl/comments2.xml><?xml version="1.0" encoding="utf-8"?>
<comments xmlns="http://schemas.openxmlformats.org/spreadsheetml/2006/main">
  <authors>
    <author>Christopher D. Herron</author>
  </authors>
  <commentList>
    <comment ref="N4" authorId="0" shapeId="0">
      <text>
        <r>
          <rPr>
            <b/>
            <sz val="10"/>
            <color indexed="81"/>
            <rFont val="Tahoma"/>
            <family val="2"/>
          </rPr>
          <t>Christopher D. Herron:</t>
        </r>
        <r>
          <rPr>
            <sz val="10"/>
            <color indexed="81"/>
            <rFont val="Tahoma"/>
            <family val="2"/>
          </rPr>
          <t xml:space="preserve">
Amount of facility to drawdown during the month indicated.  Does NOT include final payment due on turbine.</t>
        </r>
      </text>
    </comment>
    <comment ref="R4" authorId="0" shapeId="0">
      <text>
        <r>
          <rPr>
            <b/>
            <sz val="10"/>
            <color indexed="81"/>
            <rFont val="Tahoma"/>
            <family val="2"/>
          </rPr>
          <t xml:space="preserve">Christopher D. Herron:
</t>
        </r>
        <r>
          <rPr>
            <sz val="10"/>
            <color indexed="81"/>
            <rFont val="Tahoma"/>
            <family val="2"/>
          </rPr>
          <t>Any principal remaining after the last turbine selected is paid off is the initial drawdown for the installments previously made plus accrued interest.</t>
        </r>
      </text>
    </comment>
  </commentList>
</comments>
</file>

<file path=xl/sharedStrings.xml><?xml version="1.0" encoding="utf-8"?>
<sst xmlns="http://schemas.openxmlformats.org/spreadsheetml/2006/main" count="157" uniqueCount="97">
  <si>
    <t>Delivery Date</t>
  </si>
  <si>
    <t>Month</t>
  </si>
  <si>
    <t>Year</t>
  </si>
  <si>
    <t>Payment Date</t>
  </si>
  <si>
    <t>Total Paid to Date</t>
  </si>
  <si>
    <t>Cumulative Total Paid to Date</t>
  </si>
  <si>
    <t>USD 000</t>
  </si>
  <si>
    <t>SkyGen Energy LLC</t>
  </si>
  <si>
    <t>Gas Turbine Payment Schedule</t>
  </si>
  <si>
    <t>Total Payments</t>
  </si>
  <si>
    <t>Fut Pmt per Turb</t>
  </si>
  <si>
    <t>Principal Payment</t>
  </si>
  <si>
    <t>Total Facility</t>
  </si>
  <si>
    <t>Upfront Fee</t>
  </si>
  <si>
    <t>Upfront Fee (bps)</t>
  </si>
  <si>
    <t>Undrawn Commitment Fee (bps)</t>
  </si>
  <si>
    <t>Spread (bps)</t>
  </si>
  <si>
    <t>LIBOR 3 month</t>
  </si>
  <si>
    <t>LIBOR 1 month</t>
  </si>
  <si>
    <t>LIBOR 6 month</t>
  </si>
  <si>
    <t>LIBOR 12 month</t>
  </si>
  <si>
    <t>Undrawn Commitment Fee</t>
  </si>
  <si>
    <t>LIBOR Tenor</t>
  </si>
  <si>
    <t>LIBOR</t>
  </si>
  <si>
    <t>SkyGen</t>
  </si>
  <si>
    <t>Enron</t>
  </si>
  <si>
    <t>Interest Expense</t>
  </si>
  <si>
    <t>Enron Exposure</t>
  </si>
  <si>
    <t>Profit</t>
  </si>
  <si>
    <t>Total Payment</t>
  </si>
  <si>
    <t>PV</t>
  </si>
  <si>
    <t xml:space="preserve">Include in Facility </t>
  </si>
  <si>
    <t>Interest Carry-Forward</t>
  </si>
  <si>
    <t>Accrued Interest Payment</t>
  </si>
  <si>
    <t>Total Accrued Int</t>
  </si>
  <si>
    <t>Include Paid to Date in Facility</t>
  </si>
  <si>
    <t>BOM Outstanding</t>
  </si>
  <si>
    <t>EOM Outstanding</t>
  </si>
  <si>
    <t>SkyGen: Accrued Interest for Period Drawdown</t>
  </si>
  <si>
    <t>Market Value of Turbine</t>
  </si>
  <si>
    <t>Turbine Option</t>
  </si>
  <si>
    <t>CF Discount Rate</t>
  </si>
  <si>
    <t>Turbine Option Discount Rate</t>
  </si>
  <si>
    <t>Turbine Cost</t>
  </si>
  <si>
    <t>Select Turbine</t>
  </si>
  <si>
    <t>Present Value Factor</t>
  </si>
  <si>
    <t>Enron: Accrued Interest for Period Drawdown</t>
  </si>
  <si>
    <t>Turbine Value Analysis</t>
  </si>
  <si>
    <t>Value of Turbine to Enron</t>
  </si>
  <si>
    <t>Total PV of Selected Turbines</t>
  </si>
  <si>
    <t>SkyGen-Enron Differential</t>
  </si>
  <si>
    <t>Present Value to Enron Analysis</t>
  </si>
  <si>
    <t>Debt Drawdown</t>
  </si>
  <si>
    <t>Required Financing</t>
  </si>
  <si>
    <t>Debt Percentage</t>
  </si>
  <si>
    <t>Equity Percentage</t>
  </si>
  <si>
    <t>Equity Contribution</t>
  </si>
  <si>
    <t>Equity Returned</t>
  </si>
  <si>
    <t>Equity Yield</t>
  </si>
  <si>
    <t>EOM Equity</t>
  </si>
  <si>
    <t>BOM Equity</t>
  </si>
  <si>
    <t>Expected Equity Yield</t>
  </si>
  <si>
    <t>Enron: Equity Contribution</t>
  </si>
  <si>
    <t>Total Accrued Investment</t>
  </si>
  <si>
    <t>BOM Unutilized Facility</t>
  </si>
  <si>
    <t>Amount Owed to GE</t>
  </si>
  <si>
    <t>Cumulative Amount Paid to GE and Interest Carry</t>
  </si>
  <si>
    <t>SkyGen Interest Rate</t>
  </si>
  <si>
    <t>Enron Interest Rate</t>
  </si>
  <si>
    <t>Enron: Accrued Equity Yield</t>
  </si>
  <si>
    <t>Equity Yield Carry-Forward</t>
  </si>
  <si>
    <t>Accrued Equity Yield Payment</t>
  </si>
  <si>
    <t>Present Value Analysis</t>
  </si>
  <si>
    <t>MV of Turbines to Equity Holder</t>
  </si>
  <si>
    <t>SkyGen Total Payment to Capital Markets</t>
  </si>
  <si>
    <t>Cash Flow to SkyGen</t>
  </si>
  <si>
    <t>Net Cash Flow to Capital Market</t>
  </si>
  <si>
    <t>PV of Cash Flows to Capital Market</t>
  </si>
  <si>
    <t>Cash Flow to Equity Holder</t>
  </si>
  <si>
    <t>XIRR</t>
  </si>
  <si>
    <t>Capital Market Discount Rate</t>
  </si>
  <si>
    <t>Spread to LIBOR(bps)</t>
  </si>
  <si>
    <t>XIRR of Cash Flow to Equity Holder</t>
  </si>
  <si>
    <t>Without Turbine Value Included</t>
  </si>
  <si>
    <t>Target Equity XIRR</t>
  </si>
  <si>
    <t>With Turbine Value Included</t>
  </si>
  <si>
    <t>Present Value of Cash Flows to Capital Market</t>
  </si>
  <si>
    <t>Without Turbines</t>
  </si>
  <si>
    <t>Spread over LIBOR</t>
  </si>
  <si>
    <t>With Turbines</t>
  </si>
  <si>
    <t>Target Percentage Equity</t>
  </si>
  <si>
    <t>Equity XIRR</t>
  </si>
  <si>
    <t>"Capital Markets Deal" @ LIBOR + 250</t>
  </si>
  <si>
    <t>NPV</t>
  </si>
  <si>
    <t>Enron Deal"</t>
  </si>
  <si>
    <t>Spread over LIBOR (bps)</t>
  </si>
  <si>
    <t>Enron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</si>
</sst>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_);_(* \(#,##0\);_(* &quot;-&quot;??_);_(@_)"/>
    <numFmt numFmtId="166" formatCode="0.0%"/>
    <numFmt numFmtId="167" formatCode="0.000%"/>
    <numFmt numFmtId="168" formatCode="0.0000%"/>
    <numFmt numFmtId="174" formatCode="0.000"/>
  </numFmts>
  <fonts count="12" x14ac:knownFonts="1">
    <font>
      <sz val="10"/>
      <name val="Times New Roman"/>
    </font>
    <font>
      <sz val="10"/>
      <name val="Times New Roman"/>
    </font>
    <font>
      <u/>
      <sz val="10"/>
      <name val="Times New Roman"/>
      <family val="1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0"/>
      <color indexed="12"/>
      <name val="Times New Roman"/>
      <family val="1"/>
    </font>
    <font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name val="Times New Roman"/>
      <family val="1"/>
    </font>
    <font>
      <sz val="10"/>
      <color indexed="9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2">
    <xf numFmtId="0" fontId="0" fillId="0" borderId="0" xfId="0"/>
    <xf numFmtId="17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164" fontId="0" fillId="0" borderId="0" xfId="1" applyFont="1"/>
    <xf numFmtId="164" fontId="0" fillId="0" borderId="1" xfId="1" applyFont="1" applyBorder="1"/>
    <xf numFmtId="164" fontId="0" fillId="0" borderId="0" xfId="0" applyNumberFormat="1"/>
    <xf numFmtId="0" fontId="2" fillId="0" borderId="0" xfId="0" applyFont="1" applyAlignment="1">
      <alignment horizontal="right"/>
    </xf>
    <xf numFmtId="164" fontId="0" fillId="2" borderId="0" xfId="1" applyFont="1" applyFill="1"/>
    <xf numFmtId="0" fontId="0" fillId="0" borderId="1" xfId="0" applyBorder="1" applyAlignment="1">
      <alignment horizontal="left"/>
    </xf>
    <xf numFmtId="0" fontId="2" fillId="0" borderId="0" xfId="0" applyFont="1"/>
    <xf numFmtId="164" fontId="5" fillId="0" borderId="0" xfId="1" applyFont="1"/>
    <xf numFmtId="0" fontId="5" fillId="0" borderId="0" xfId="0" applyFont="1"/>
    <xf numFmtId="43" fontId="5" fillId="0" borderId="0" xfId="1" applyNumberFormat="1" applyFont="1"/>
    <xf numFmtId="168" fontId="0" fillId="0" borderId="0" xfId="2" applyNumberFormat="1" applyFont="1"/>
    <xf numFmtId="168" fontId="5" fillId="0" borderId="0" xfId="2" applyNumberFormat="1" applyFont="1"/>
    <xf numFmtId="164" fontId="6" fillId="0" borderId="0" xfId="1" applyFont="1"/>
    <xf numFmtId="10" fontId="5" fillId="0" borderId="0" xfId="0" applyNumberFormat="1" applyFont="1"/>
    <xf numFmtId="164" fontId="7" fillId="0" borderId="0" xfId="1" applyFont="1"/>
    <xf numFmtId="43" fontId="0" fillId="0" borderId="0" xfId="1" applyNumberFormat="1" applyFont="1"/>
    <xf numFmtId="0" fontId="5" fillId="0" borderId="0" xfId="0" applyFont="1" applyFill="1"/>
    <xf numFmtId="0" fontId="0" fillId="0" borderId="0" xfId="0" applyBorder="1"/>
    <xf numFmtId="164" fontId="0" fillId="0" borderId="0" xfId="1" applyFont="1" applyBorder="1"/>
    <xf numFmtId="0" fontId="8" fillId="0" borderId="0" xfId="0" applyFont="1" applyBorder="1"/>
    <xf numFmtId="14" fontId="0" fillId="0" borderId="0" xfId="0" applyNumberFormat="1"/>
    <xf numFmtId="174" fontId="0" fillId="0" borderId="0" xfId="0" applyNumberFormat="1"/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43" fontId="0" fillId="0" borderId="0" xfId="0" applyNumberFormat="1"/>
    <xf numFmtId="0" fontId="0" fillId="0" borderId="2" xfId="0" applyBorder="1"/>
    <xf numFmtId="17" fontId="0" fillId="0" borderId="0" xfId="0" applyNumberFormat="1" applyAlignment="1">
      <alignment horizontal="right"/>
    </xf>
    <xf numFmtId="0" fontId="8" fillId="0" borderId="0" xfId="0" applyFont="1"/>
    <xf numFmtId="164" fontId="9" fillId="0" borderId="0" xfId="0" applyNumberFormat="1" applyFont="1"/>
    <xf numFmtId="9" fontId="0" fillId="0" borderId="0" xfId="2" applyFont="1"/>
    <xf numFmtId="9" fontId="5" fillId="0" borderId="0" xfId="0" applyNumberFormat="1" applyFont="1"/>
    <xf numFmtId="10" fontId="0" fillId="0" borderId="0" xfId="2" applyNumberFormat="1" applyFont="1"/>
    <xf numFmtId="168" fontId="0" fillId="0" borderId="0" xfId="0" applyNumberFormat="1"/>
    <xf numFmtId="10" fontId="0" fillId="0" borderId="0" xfId="0" applyNumberFormat="1" applyBorder="1"/>
    <xf numFmtId="167" fontId="5" fillId="0" borderId="0" xfId="0" applyNumberFormat="1" applyFont="1"/>
    <xf numFmtId="10" fontId="0" fillId="0" borderId="3" xfId="2" applyNumberFormat="1" applyFont="1" applyBorder="1"/>
    <xf numFmtId="164" fontId="9" fillId="0" borderId="0" xfId="1" applyFont="1"/>
    <xf numFmtId="164" fontId="0" fillId="0" borderId="0" xfId="2" applyNumberFormat="1" applyFont="1"/>
    <xf numFmtId="164" fontId="7" fillId="0" borderId="0" xfId="2" applyNumberFormat="1" applyFont="1"/>
    <xf numFmtId="164" fontId="0" fillId="0" borderId="0" xfId="0" applyNumberFormat="1" applyBorder="1"/>
    <xf numFmtId="0" fontId="0" fillId="0" borderId="0" xfId="0" applyAlignment="1"/>
    <xf numFmtId="10" fontId="0" fillId="0" borderId="0" xfId="0" applyNumberFormat="1"/>
    <xf numFmtId="0" fontId="0" fillId="0" borderId="4" xfId="0" applyBorder="1" applyAlignment="1">
      <alignment wrapText="1"/>
    </xf>
    <xf numFmtId="9" fontId="0" fillId="0" borderId="4" xfId="0" applyNumberFormat="1" applyBorder="1"/>
    <xf numFmtId="9" fontId="0" fillId="0" borderId="4" xfId="2" applyFont="1" applyBorder="1"/>
    <xf numFmtId="10" fontId="0" fillId="0" borderId="4" xfId="2" applyNumberFormat="1" applyFont="1" applyBorder="1"/>
    <xf numFmtId="164" fontId="0" fillId="0" borderId="4" xfId="1" applyFont="1" applyBorder="1"/>
    <xf numFmtId="164" fontId="0" fillId="0" borderId="4" xfId="0" applyNumberFormat="1" applyBorder="1"/>
    <xf numFmtId="9" fontId="0" fillId="0" borderId="3" xfId="2" applyFont="1" applyBorder="1"/>
    <xf numFmtId="166" fontId="0" fillId="0" borderId="3" xfId="2" applyNumberFormat="1" applyFont="1" applyBorder="1"/>
    <xf numFmtId="166" fontId="0" fillId="0" borderId="2" xfId="0" applyNumberFormat="1" applyBorder="1"/>
    <xf numFmtId="10" fontId="0" fillId="0" borderId="5" xfId="2" applyNumberFormat="1" applyFont="1" applyBorder="1"/>
    <xf numFmtId="164" fontId="0" fillId="0" borderId="2" xfId="1" applyFont="1" applyBorder="1"/>
    <xf numFmtId="164" fontId="0" fillId="0" borderId="2" xfId="2" applyNumberFormat="1" applyFont="1" applyBorder="1"/>
    <xf numFmtId="0" fontId="0" fillId="0" borderId="0" xfId="0" applyAlignment="1">
      <alignment horizontal="left"/>
    </xf>
    <xf numFmtId="164" fontId="0" fillId="0" borderId="0" xfId="2" applyNumberFormat="1" applyFont="1" applyBorder="1"/>
    <xf numFmtId="164" fontId="0" fillId="0" borderId="3" xfId="1" applyFont="1" applyBorder="1"/>
    <xf numFmtId="164" fontId="0" fillId="0" borderId="3" xfId="2" applyNumberFormat="1" applyFont="1" applyBorder="1"/>
    <xf numFmtId="0" fontId="10" fillId="0" borderId="0" xfId="0" applyFont="1"/>
    <xf numFmtId="0" fontId="0" fillId="0" borderId="0" xfId="0" applyAlignment="1">
      <alignment horizontal="left" textRotation="180"/>
    </xf>
    <xf numFmtId="164" fontId="10" fillId="0" borderId="0" xfId="1" applyFont="1"/>
    <xf numFmtId="9" fontId="10" fillId="0" borderId="0" xfId="2" applyFont="1" applyAlignment="1">
      <alignment horizontal="center"/>
    </xf>
    <xf numFmtId="0" fontId="10" fillId="0" borderId="0" xfId="0" applyFont="1" applyAlignment="1">
      <alignment horizontal="center"/>
    </xf>
    <xf numFmtId="164" fontId="11" fillId="0" borderId="0" xfId="2" applyNumberFormat="1" applyFont="1" applyBorder="1"/>
    <xf numFmtId="164" fontId="11" fillId="0" borderId="0" xfId="1" applyFont="1" applyBorder="1"/>
    <xf numFmtId="164" fontId="10" fillId="0" borderId="4" xfId="1" applyFont="1" applyBorder="1"/>
    <xf numFmtId="0" fontId="10" fillId="0" borderId="0" xfId="0" applyFont="1" applyAlignment="1">
      <alignment horizontal="right"/>
    </xf>
    <xf numFmtId="0" fontId="0" fillId="0" borderId="4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141"/>
  <sheetViews>
    <sheetView showGridLines="0" zoomScale="75" workbookViewId="0">
      <selection activeCell="G103" sqref="G103"/>
    </sheetView>
  </sheetViews>
  <sheetFormatPr defaultRowHeight="12.75" x14ac:dyDescent="0.2"/>
  <cols>
    <col min="3" max="3" width="25.33203125" customWidth="1"/>
    <col min="4" max="4" width="6" customWidth="1"/>
    <col min="5" max="5" width="10.1640625" customWidth="1"/>
    <col min="6" max="6" width="14.83203125" customWidth="1"/>
    <col min="7" max="7" width="12.1640625" customWidth="1"/>
    <col min="8" max="8" width="10.5" customWidth="1"/>
    <col min="9" max="9" width="10.6640625" customWidth="1"/>
    <col min="10" max="10" width="15.33203125" customWidth="1"/>
    <col min="11" max="11" width="13.83203125" customWidth="1"/>
    <col min="12" max="12" width="13.33203125" customWidth="1"/>
    <col min="13" max="13" width="11.33203125" customWidth="1"/>
    <col min="14" max="14" width="13.1640625" customWidth="1"/>
    <col min="16" max="16" width="12.33203125" customWidth="1"/>
    <col min="17" max="17" width="11.1640625" customWidth="1"/>
    <col min="18" max="18" width="14.83203125" customWidth="1"/>
  </cols>
  <sheetData>
    <row r="7" spans="4:8" x14ac:dyDescent="0.2">
      <c r="D7" t="s">
        <v>12</v>
      </c>
      <c r="H7" s="4">
        <v>230000</v>
      </c>
    </row>
    <row r="8" spans="4:8" x14ac:dyDescent="0.2">
      <c r="D8" t="s">
        <v>67</v>
      </c>
      <c r="H8" s="36">
        <v>9.0024999999999994E-2</v>
      </c>
    </row>
    <row r="9" spans="4:8" x14ac:dyDescent="0.2">
      <c r="D9" t="s">
        <v>81</v>
      </c>
      <c r="H9">
        <v>250</v>
      </c>
    </row>
    <row r="10" spans="4:8" x14ac:dyDescent="0.2">
      <c r="D10" t="s">
        <v>61</v>
      </c>
      <c r="H10" s="33">
        <v>0.2</v>
      </c>
    </row>
    <row r="11" spans="4:8" x14ac:dyDescent="0.2">
      <c r="D11" t="s">
        <v>14</v>
      </c>
      <c r="H11">
        <v>300</v>
      </c>
    </row>
    <row r="12" spans="4:8" x14ac:dyDescent="0.2">
      <c r="D12" t="s">
        <v>15</v>
      </c>
      <c r="H12">
        <v>81.25</v>
      </c>
    </row>
    <row r="13" spans="4:8" x14ac:dyDescent="0.2">
      <c r="D13" t="s">
        <v>54</v>
      </c>
      <c r="H13" s="33">
        <v>0.65</v>
      </c>
    </row>
    <row r="14" spans="4:8" x14ac:dyDescent="0.2">
      <c r="D14" t="s">
        <v>55</v>
      </c>
      <c r="H14" s="33">
        <v>0.35</v>
      </c>
    </row>
    <row r="15" spans="4:8" x14ac:dyDescent="0.2">
      <c r="D15" t="s">
        <v>80</v>
      </c>
      <c r="H15" s="33">
        <v>0.1</v>
      </c>
    </row>
    <row r="17" spans="4:18" x14ac:dyDescent="0.2">
      <c r="D17" s="44" t="s">
        <v>77</v>
      </c>
      <c r="H17" s="4">
        <v>25074.248655548225</v>
      </c>
    </row>
    <row r="18" spans="4:18" x14ac:dyDescent="0.2">
      <c r="D18" s="44" t="s">
        <v>82</v>
      </c>
      <c r="H18" s="45">
        <v>0.24937710165977475</v>
      </c>
    </row>
    <row r="21" spans="4:18" x14ac:dyDescent="0.2">
      <c r="D21" s="71" t="s">
        <v>83</v>
      </c>
      <c r="E21" s="71"/>
      <c r="F21" s="71"/>
      <c r="H21" s="71" t="s">
        <v>85</v>
      </c>
      <c r="I21" s="71"/>
      <c r="J21" s="71"/>
      <c r="L21" s="71" t="s">
        <v>83</v>
      </c>
      <c r="M21" s="71"/>
      <c r="N21" s="71"/>
      <c r="P21" s="71" t="s">
        <v>85</v>
      </c>
      <c r="Q21" s="71"/>
      <c r="R21" s="71"/>
    </row>
    <row r="22" spans="4:18" ht="63.75" x14ac:dyDescent="0.2">
      <c r="D22" s="46" t="s">
        <v>84</v>
      </c>
      <c r="E22" s="46" t="s">
        <v>61</v>
      </c>
      <c r="F22" s="46" t="s">
        <v>77</v>
      </c>
      <c r="H22" s="46" t="s">
        <v>84</v>
      </c>
      <c r="I22" s="46" t="s">
        <v>61</v>
      </c>
      <c r="J22" s="46" t="s">
        <v>77</v>
      </c>
      <c r="L22" s="46" t="s">
        <v>90</v>
      </c>
      <c r="M22" s="46" t="s">
        <v>91</v>
      </c>
      <c r="N22" s="46" t="s">
        <v>77</v>
      </c>
      <c r="P22" s="46" t="s">
        <v>90</v>
      </c>
      <c r="Q22" s="46" t="s">
        <v>91</v>
      </c>
      <c r="R22" s="46" t="s">
        <v>77</v>
      </c>
    </row>
    <row r="23" spans="4:18" x14ac:dyDescent="0.2">
      <c r="D23" s="47">
        <v>0.15</v>
      </c>
      <c r="E23" s="49">
        <v>0.12510761944267673</v>
      </c>
      <c r="F23" s="50">
        <v>14309.891880328891</v>
      </c>
      <c r="H23" s="47">
        <v>0.15</v>
      </c>
      <c r="I23" s="49">
        <v>-0.54467880873852792</v>
      </c>
      <c r="J23" s="51">
        <v>13016.098993792853</v>
      </c>
      <c r="L23" s="48">
        <v>0.15</v>
      </c>
      <c r="M23" s="55">
        <v>0.24937710165977475</v>
      </c>
      <c r="N23" s="50">
        <v>15657.477691133296</v>
      </c>
      <c r="P23" s="48">
        <v>0.15</v>
      </c>
      <c r="Q23" s="49">
        <v>2.4805078744888323</v>
      </c>
      <c r="R23" s="50">
        <v>81653.58897255284</v>
      </c>
    </row>
    <row r="24" spans="4:18" x14ac:dyDescent="0.2">
      <c r="D24" s="47">
        <v>0.2</v>
      </c>
      <c r="E24" s="49">
        <v>0.16372216861991223</v>
      </c>
      <c r="F24" s="50">
        <v>19751.533861303655</v>
      </c>
      <c r="H24" s="47">
        <v>0.2</v>
      </c>
      <c r="I24" s="49">
        <v>-0.49019674852868772</v>
      </c>
      <c r="J24" s="51">
        <v>17036.278596940356</v>
      </c>
      <c r="L24" s="48">
        <v>0.2</v>
      </c>
      <c r="M24" s="55">
        <v>0.24937710165977475</v>
      </c>
      <c r="N24" s="50">
        <v>18011.670432236991</v>
      </c>
      <c r="P24" s="48">
        <v>0.2</v>
      </c>
      <c r="Q24" s="49">
        <v>1.8107958674430844</v>
      </c>
      <c r="R24" s="50">
        <v>84007.781713656543</v>
      </c>
    </row>
    <row r="25" spans="4:18" x14ac:dyDescent="0.2">
      <c r="D25" s="47">
        <v>0.25</v>
      </c>
      <c r="E25" s="49">
        <v>0.20076702614900666</v>
      </c>
      <c r="F25" s="50">
        <v>25189.064556927166</v>
      </c>
      <c r="H25" s="47">
        <v>0.25</v>
      </c>
      <c r="I25" s="49">
        <v>-0.43792181601550939</v>
      </c>
      <c r="J25" s="50">
        <v>21083.071602692879</v>
      </c>
      <c r="L25" s="48">
        <v>0.25</v>
      </c>
      <c r="M25" s="55">
        <v>0.24937710165977475</v>
      </c>
      <c r="N25" s="50">
        <v>20365.863173340709</v>
      </c>
      <c r="P25" s="48">
        <v>0.25</v>
      </c>
      <c r="Q25" s="49">
        <v>1.4376782298088078</v>
      </c>
      <c r="R25" s="50">
        <v>86361.97445476026</v>
      </c>
    </row>
    <row r="26" spans="4:18" x14ac:dyDescent="0.2">
      <c r="D26" s="47">
        <v>0.3</v>
      </c>
      <c r="E26" s="49">
        <v>0.23657817432671183</v>
      </c>
      <c r="F26" s="50">
        <v>30658.182608397299</v>
      </c>
      <c r="H26" s="47">
        <v>0.3</v>
      </c>
      <c r="I26" s="49">
        <v>-0.38829676740062935</v>
      </c>
      <c r="J26" s="50">
        <v>25107.221538398218</v>
      </c>
      <c r="L26" s="48">
        <v>0.3</v>
      </c>
      <c r="M26" s="55">
        <v>0.24937710165977475</v>
      </c>
      <c r="N26" s="50">
        <v>22720.055914444427</v>
      </c>
      <c r="P26" s="48">
        <v>0.3</v>
      </c>
      <c r="Q26" s="49">
        <v>1.2033455252647405</v>
      </c>
      <c r="R26" s="50">
        <v>88716.167195863993</v>
      </c>
    </row>
    <row r="27" spans="4:18" x14ac:dyDescent="0.2">
      <c r="L27" s="48">
        <v>0.35</v>
      </c>
      <c r="M27" s="35">
        <v>0.24937710165977475</v>
      </c>
      <c r="N27" s="50">
        <v>25074.248655548225</v>
      </c>
      <c r="P27" s="48">
        <v>0.35</v>
      </c>
      <c r="Q27" s="49">
        <v>1.0438662648200989</v>
      </c>
      <c r="R27" s="50">
        <v>91070.359936967798</v>
      </c>
    </row>
    <row r="28" spans="4:18" x14ac:dyDescent="0.2">
      <c r="L28" s="48">
        <v>0.4</v>
      </c>
      <c r="M28" s="49">
        <v>0.24937710165977475</v>
      </c>
      <c r="N28" s="50">
        <v>27428.441396651975</v>
      </c>
      <c r="P28" s="48">
        <v>0.4</v>
      </c>
      <c r="Q28" s="49">
        <v>0.92890003919601449</v>
      </c>
      <c r="R28" s="50">
        <v>93424.552678071486</v>
      </c>
    </row>
    <row r="29" spans="4:18" x14ac:dyDescent="0.2">
      <c r="L29" s="48">
        <v>0.45</v>
      </c>
      <c r="M29" s="49">
        <v>0.24937710165977475</v>
      </c>
      <c r="N29" s="50">
        <v>29782.634137755711</v>
      </c>
      <c r="P29" s="48">
        <v>0.45</v>
      </c>
      <c r="Q29" s="49">
        <v>0.84236885309219356</v>
      </c>
      <c r="R29" s="50">
        <v>95778.745419175219</v>
      </c>
    </row>
    <row r="30" spans="4:18" x14ac:dyDescent="0.2">
      <c r="L30" s="48">
        <v>0.5</v>
      </c>
      <c r="M30" s="49">
        <v>0.24937710165977475</v>
      </c>
      <c r="N30" s="50">
        <v>32136.826878859443</v>
      </c>
      <c r="P30" s="48">
        <v>0.5</v>
      </c>
      <c r="Q30" s="49">
        <v>0.77502437829971305</v>
      </c>
      <c r="R30" s="50">
        <v>98132.938160278951</v>
      </c>
    </row>
    <row r="33" spans="4:19" x14ac:dyDescent="0.2">
      <c r="D33" t="s">
        <v>86</v>
      </c>
    </row>
    <row r="34" spans="4:19" x14ac:dyDescent="0.2">
      <c r="D34" t="s">
        <v>87</v>
      </c>
    </row>
    <row r="36" spans="4:19" x14ac:dyDescent="0.2">
      <c r="G36" t="s">
        <v>61</v>
      </c>
    </row>
    <row r="37" spans="4:19" x14ac:dyDescent="0.2">
      <c r="G37" s="52">
        <v>0.15</v>
      </c>
      <c r="H37" s="52">
        <v>0.16</v>
      </c>
      <c r="I37" s="52">
        <v>0.17</v>
      </c>
      <c r="J37" s="52">
        <v>0.18</v>
      </c>
      <c r="K37" s="52">
        <v>0.19</v>
      </c>
      <c r="L37" s="52">
        <v>0.2</v>
      </c>
      <c r="M37" s="52">
        <v>0.21</v>
      </c>
      <c r="N37" s="52">
        <v>0.22</v>
      </c>
      <c r="O37" s="52">
        <v>0.23</v>
      </c>
      <c r="P37" s="52">
        <v>0.24</v>
      </c>
      <c r="Q37" s="52">
        <v>0.25</v>
      </c>
      <c r="R37" s="52">
        <v>0.26</v>
      </c>
      <c r="S37" s="52">
        <v>0.27</v>
      </c>
    </row>
    <row r="38" spans="4:19" x14ac:dyDescent="0.2">
      <c r="E38" s="2" t="s">
        <v>88</v>
      </c>
      <c r="F38" s="29">
        <v>200</v>
      </c>
      <c r="G38" s="4">
        <v>16574.10819478472</v>
      </c>
      <c r="H38" s="4">
        <v>17999.304007719773</v>
      </c>
      <c r="I38" s="4">
        <v>19439.919583016766</v>
      </c>
      <c r="J38" s="4">
        <v>20896.167413615054</v>
      </c>
      <c r="K38" s="4">
        <v>22368.263487003271</v>
      </c>
      <c r="L38" s="4">
        <v>23856.427350824692</v>
      </c>
      <c r="M38" s="4">
        <v>25360.882179821856</v>
      </c>
      <c r="N38" s="4">
        <v>26881.854844134286</v>
      </c>
      <c r="O38" s="4">
        <v>28419.575978992405</v>
      </c>
      <c r="P38" s="4">
        <v>29974.280055825475</v>
      </c>
      <c r="Q38" s="4">
        <v>31546.205454821407</v>
      </c>
      <c r="R38" s="4">
        <v>33135.594538964513</v>
      </c>
      <c r="S38" s="4">
        <v>34742.693729580918</v>
      </c>
    </row>
    <row r="39" spans="4:19" x14ac:dyDescent="0.2">
      <c r="F39" s="29">
        <v>225</v>
      </c>
      <c r="G39" s="4">
        <v>17182.221180137232</v>
      </c>
      <c r="H39" s="4">
        <v>18607.416993072322</v>
      </c>
      <c r="I39" s="4">
        <v>20048.032568369232</v>
      </c>
      <c r="J39" s="4">
        <v>21504.280398967607</v>
      </c>
      <c r="K39" s="4">
        <v>22976.37647235574</v>
      </c>
      <c r="L39" s="4">
        <v>24464.54033617719</v>
      </c>
      <c r="M39" s="4">
        <v>25968.995165174376</v>
      </c>
      <c r="N39" s="4">
        <v>27489.967829486755</v>
      </c>
      <c r="O39" s="4">
        <v>29027.688964344918</v>
      </c>
      <c r="P39" s="4">
        <v>30582.393041178009</v>
      </c>
      <c r="Q39" s="4">
        <v>32154.318440173876</v>
      </c>
      <c r="R39" s="4">
        <v>33743.707524317018</v>
      </c>
      <c r="S39" s="4">
        <v>35350.806714933329</v>
      </c>
    </row>
    <row r="40" spans="4:19" x14ac:dyDescent="0.2">
      <c r="F40" s="29">
        <v>250</v>
      </c>
      <c r="G40" s="4">
        <v>17791.929499508406</v>
      </c>
      <c r="H40" s="4">
        <v>19217.125312443462</v>
      </c>
      <c r="I40" s="4">
        <v>20657.740887740347</v>
      </c>
      <c r="J40" s="4">
        <v>22113.988718338722</v>
      </c>
      <c r="K40" s="4">
        <v>23586.084791726847</v>
      </c>
      <c r="L40" s="4">
        <v>25074.248655548225</v>
      </c>
      <c r="M40" s="4">
        <v>26578.703484545433</v>
      </c>
      <c r="N40" s="4">
        <v>28099.676148857863</v>
      </c>
      <c r="O40" s="4">
        <v>29637.39728371604</v>
      </c>
      <c r="P40" s="4">
        <v>31192.101360549088</v>
      </c>
      <c r="Q40" s="4">
        <v>32764.02675954497</v>
      </c>
      <c r="R40" s="4">
        <v>34353.415843688068</v>
      </c>
      <c r="S40" s="4">
        <v>35960.515034304466</v>
      </c>
    </row>
    <row r="41" spans="4:19" x14ac:dyDescent="0.2">
      <c r="F41" s="29">
        <v>275</v>
      </c>
      <c r="G41" s="4">
        <v>18403.238471505363</v>
      </c>
      <c r="H41" s="4">
        <v>19828.434284440402</v>
      </c>
      <c r="I41" s="4">
        <v>21269.049859737308</v>
      </c>
      <c r="J41" s="4">
        <v>22725.297690335683</v>
      </c>
      <c r="K41" s="4">
        <v>24197.393763723812</v>
      </c>
      <c r="L41" s="4">
        <v>25685.557627545189</v>
      </c>
      <c r="M41" s="4">
        <v>27190.012456542441</v>
      </c>
      <c r="N41" s="4">
        <v>28710.985120854828</v>
      </c>
      <c r="O41" s="4">
        <v>30248.706255713034</v>
      </c>
      <c r="P41" s="4">
        <v>31803.410332546038</v>
      </c>
      <c r="Q41" s="4">
        <v>33375.335731541978</v>
      </c>
      <c r="R41" s="4">
        <v>34964.724815685098</v>
      </c>
      <c r="S41" s="4">
        <v>36571.824006301431</v>
      </c>
    </row>
    <row r="42" spans="4:19" x14ac:dyDescent="0.2">
      <c r="F42" s="29">
        <v>300</v>
      </c>
      <c r="G42" s="4">
        <v>19016.15343588834</v>
      </c>
      <c r="H42" s="4">
        <v>20441.349248823328</v>
      </c>
      <c r="I42" s="4">
        <v>21881.964824120241</v>
      </c>
      <c r="J42" s="4">
        <v>23338.212654718602</v>
      </c>
      <c r="K42" s="4">
        <v>24810.308728106716</v>
      </c>
      <c r="L42" s="4">
        <v>26298.472591928137</v>
      </c>
      <c r="M42" s="4">
        <v>27802.927420925389</v>
      </c>
      <c r="N42" s="4">
        <v>29323.900085237732</v>
      </c>
      <c r="O42" s="4">
        <v>30861.621220095923</v>
      </c>
      <c r="P42" s="4">
        <v>32416.325296928957</v>
      </c>
      <c r="Q42" s="4">
        <v>33988.250695924915</v>
      </c>
      <c r="R42" s="4">
        <v>35577.639780067984</v>
      </c>
      <c r="S42" s="4">
        <v>37184.738970684397</v>
      </c>
    </row>
    <row r="43" spans="4:19" x14ac:dyDescent="0.2">
      <c r="F43" s="29">
        <v>325</v>
      </c>
      <c r="G43" s="4">
        <v>19630.679753666958</v>
      </c>
      <c r="H43" s="4">
        <v>21055.875566602026</v>
      </c>
      <c r="I43" s="4">
        <v>22496.491141898947</v>
      </c>
      <c r="J43" s="4">
        <v>23952.738972497304</v>
      </c>
      <c r="K43" s="4">
        <v>25424.835045885469</v>
      </c>
      <c r="L43" s="4">
        <v>26912.998909706839</v>
      </c>
      <c r="M43" s="4">
        <v>28417.453738704091</v>
      </c>
      <c r="N43" s="4">
        <v>29938.426403016478</v>
      </c>
      <c r="O43" s="4">
        <v>31476.147537874596</v>
      </c>
      <c r="P43" s="4">
        <v>33030.851614707666</v>
      </c>
      <c r="Q43" s="4">
        <v>34602.777013703584</v>
      </c>
      <c r="R43" s="4">
        <v>36192.166097846661</v>
      </c>
      <c r="S43" s="4">
        <v>37799.26528846311</v>
      </c>
    </row>
    <row r="44" spans="4:19" x14ac:dyDescent="0.2">
      <c r="F44" s="29">
        <v>350</v>
      </c>
      <c r="G44" s="4">
        <v>20246.822807199569</v>
      </c>
      <c r="H44" s="4">
        <v>21672.01862013463</v>
      </c>
      <c r="I44" s="4">
        <v>23112.634195431572</v>
      </c>
      <c r="J44" s="4">
        <v>24568.882026029845</v>
      </c>
      <c r="K44" s="4">
        <v>26040.978099418047</v>
      </c>
      <c r="L44" s="4">
        <v>27529.141963239439</v>
      </c>
      <c r="M44" s="4">
        <v>29033.596792236618</v>
      </c>
      <c r="N44" s="4">
        <v>30554.569456549063</v>
      </c>
      <c r="O44" s="4">
        <v>32092.29059140724</v>
      </c>
      <c r="P44" s="4">
        <v>33646.994668240317</v>
      </c>
      <c r="Q44" s="4">
        <v>35218.920067236155</v>
      </c>
      <c r="R44" s="4">
        <v>36808.309151379384</v>
      </c>
      <c r="S44" s="4">
        <v>38415.408341995637</v>
      </c>
    </row>
    <row r="45" spans="4:19" x14ac:dyDescent="0.2">
      <c r="F45" s="29">
        <v>375</v>
      </c>
      <c r="G45" s="4">
        <v>20864.588000289074</v>
      </c>
      <c r="H45" s="4">
        <v>22289.78381322412</v>
      </c>
      <c r="I45" s="4">
        <v>23730.39938852108</v>
      </c>
      <c r="J45" s="4">
        <v>25186.647219119382</v>
      </c>
      <c r="K45" s="4">
        <v>26658.743292507541</v>
      </c>
      <c r="L45" s="4">
        <v>28146.907156329013</v>
      </c>
      <c r="M45" s="4">
        <v>29651.361985326177</v>
      </c>
      <c r="N45" s="4">
        <v>31172.334649638557</v>
      </c>
      <c r="O45" s="4">
        <v>32710.055784496762</v>
      </c>
      <c r="P45" s="4">
        <v>34264.759861329752</v>
      </c>
      <c r="Q45" s="4">
        <v>35836.685260325692</v>
      </c>
      <c r="R45" s="4">
        <v>37426.074344468769</v>
      </c>
      <c r="S45" s="4">
        <v>39033.173535085196</v>
      </c>
    </row>
    <row r="46" spans="4:19" x14ac:dyDescent="0.2">
      <c r="F46" s="29">
        <v>400</v>
      </c>
      <c r="G46" s="4">
        <v>21483.980758280592</v>
      </c>
      <c r="H46" s="4">
        <v>22909.176571215612</v>
      </c>
      <c r="I46" s="4">
        <v>24349.792146512547</v>
      </c>
      <c r="J46" s="4">
        <v>25806.03997711085</v>
      </c>
      <c r="K46" s="4">
        <v>27278.136050499037</v>
      </c>
      <c r="L46" s="4">
        <v>28766.299914320443</v>
      </c>
      <c r="M46" s="4">
        <v>30270.754743317637</v>
      </c>
      <c r="N46" s="4">
        <v>31791.727407630038</v>
      </c>
      <c r="O46" s="4">
        <v>33329.44854248823</v>
      </c>
      <c r="P46" s="4">
        <v>34884.152619321183</v>
      </c>
      <c r="Q46" s="4">
        <v>36456.078018317159</v>
      </c>
      <c r="R46" s="4">
        <v>38045.467102460236</v>
      </c>
      <c r="S46" s="4">
        <v>39652.566293076641</v>
      </c>
    </row>
    <row r="47" spans="4:19" x14ac:dyDescent="0.2">
      <c r="F47" s="29">
        <v>425</v>
      </c>
      <c r="G47" s="4">
        <v>22105.006528161059</v>
      </c>
      <c r="H47" s="4">
        <v>23530.202341096112</v>
      </c>
      <c r="I47" s="4">
        <v>24970.817916393047</v>
      </c>
      <c r="J47" s="4">
        <v>26427.065746991379</v>
      </c>
      <c r="K47" s="4">
        <v>27899.161820379537</v>
      </c>
      <c r="L47" s="4">
        <v>29387.325684200958</v>
      </c>
      <c r="M47" s="4">
        <v>30891.780513198166</v>
      </c>
      <c r="N47" s="4">
        <v>32412.753177510553</v>
      </c>
      <c r="O47" s="4">
        <v>33950.474312368759</v>
      </c>
      <c r="P47" s="4">
        <v>35505.17838920177</v>
      </c>
      <c r="Q47" s="4">
        <v>37077.103788197717</v>
      </c>
      <c r="R47" s="4">
        <v>38666.492872340823</v>
      </c>
      <c r="S47" s="4">
        <v>40273.592062957185</v>
      </c>
    </row>
    <row r="48" spans="4:19" x14ac:dyDescent="0.2">
      <c r="F48" s="29">
        <v>450</v>
      </c>
      <c r="G48" s="4">
        <v>22727.670778659514</v>
      </c>
      <c r="H48" s="4">
        <v>24152.866591594538</v>
      </c>
      <c r="I48" s="4">
        <v>25593.482166891488</v>
      </c>
      <c r="J48" s="4">
        <v>27049.72999748982</v>
      </c>
      <c r="K48" s="4">
        <v>28521.826070877956</v>
      </c>
      <c r="L48" s="4">
        <v>30009.989934699428</v>
      </c>
      <c r="M48" s="4">
        <v>31514.444763696607</v>
      </c>
      <c r="N48" s="4">
        <v>33035.417428008965</v>
      </c>
      <c r="O48" s="4">
        <v>34573.138562867156</v>
      </c>
      <c r="P48" s="4">
        <v>36127.842639700226</v>
      </c>
      <c r="Q48" s="4">
        <v>37699.768038696129</v>
      </c>
      <c r="R48" s="4">
        <v>39289.157122839235</v>
      </c>
      <c r="S48" s="4">
        <v>40896.256313455626</v>
      </c>
    </row>
    <row r="49" spans="4:19" x14ac:dyDescent="0.2">
      <c r="F49" s="29">
        <v>475</v>
      </c>
      <c r="G49" s="4">
        <v>23351.979000344174</v>
      </c>
      <c r="H49" s="4">
        <v>24777.174813279191</v>
      </c>
      <c r="I49" s="4">
        <v>26217.790388576075</v>
      </c>
      <c r="J49" s="4">
        <v>27674.038219174465</v>
      </c>
      <c r="K49" s="4">
        <v>29146.134292562652</v>
      </c>
      <c r="L49" s="4">
        <v>30634.298156384015</v>
      </c>
      <c r="M49" s="4">
        <v>32138.752985381281</v>
      </c>
      <c r="N49" s="4">
        <v>33659.725649693624</v>
      </c>
      <c r="O49" s="4">
        <v>35197.446784551874</v>
      </c>
      <c r="P49" s="4">
        <v>36752.15086138482</v>
      </c>
      <c r="Q49" s="4">
        <v>38324.076260380774</v>
      </c>
      <c r="R49" s="4">
        <v>39913.465344523909</v>
      </c>
      <c r="S49" s="4">
        <v>41520.564535140256</v>
      </c>
    </row>
    <row r="50" spans="4:19" x14ac:dyDescent="0.2">
      <c r="F50" s="29">
        <v>500</v>
      </c>
      <c r="G50" s="4">
        <v>23977.936705722306</v>
      </c>
      <c r="H50" s="4">
        <v>25403.132518657359</v>
      </c>
      <c r="I50" s="4">
        <v>26843.748093954295</v>
      </c>
      <c r="J50" s="4">
        <v>28299.995924552626</v>
      </c>
      <c r="K50" s="4">
        <v>29772.09199794077</v>
      </c>
      <c r="L50" s="4">
        <v>31260.255861762249</v>
      </c>
      <c r="M50" s="4">
        <v>32764.710690759388</v>
      </c>
      <c r="N50" s="4">
        <v>34285.683355071815</v>
      </c>
      <c r="O50" s="4">
        <v>35823.404489930006</v>
      </c>
      <c r="P50" s="4">
        <v>37378.108566762981</v>
      </c>
      <c r="Q50" s="4">
        <v>38950.033965758936</v>
      </c>
      <c r="R50" s="4">
        <v>40539.423049902034</v>
      </c>
      <c r="S50" s="4">
        <v>42146.522240518418</v>
      </c>
    </row>
    <row r="51" spans="4:19" x14ac:dyDescent="0.2">
      <c r="F51" s="29">
        <v>525</v>
      </c>
      <c r="G51" s="4">
        <v>24605.54942934322</v>
      </c>
      <c r="H51" s="4">
        <v>26030.74524227831</v>
      </c>
      <c r="I51" s="4">
        <v>27471.360817575223</v>
      </c>
      <c r="J51" s="4">
        <v>28927.608648173613</v>
      </c>
      <c r="K51" s="4">
        <v>30399.704721561699</v>
      </c>
      <c r="L51" s="4">
        <v>31887.868585383119</v>
      </c>
      <c r="M51" s="4">
        <v>33392.32341438032</v>
      </c>
      <c r="N51" s="4">
        <v>34913.296078692772</v>
      </c>
      <c r="O51" s="4">
        <v>36451.017213550891</v>
      </c>
      <c r="P51" s="4">
        <v>38005.721290383924</v>
      </c>
      <c r="Q51" s="4">
        <v>39577.646689379922</v>
      </c>
      <c r="R51" s="4">
        <v>41167.035773522948</v>
      </c>
      <c r="S51" s="4">
        <v>42774.134964139339</v>
      </c>
    </row>
    <row r="52" spans="4:19" x14ac:dyDescent="0.2">
      <c r="F52" s="29">
        <v>550</v>
      </c>
      <c r="G52" s="4">
        <v>25234.822727898121</v>
      </c>
      <c r="H52" s="4">
        <v>26660.018540833153</v>
      </c>
      <c r="I52" s="4">
        <v>28100.634116130139</v>
      </c>
      <c r="J52" s="4">
        <v>29556.881946728441</v>
      </c>
      <c r="K52" s="4">
        <v>31028.978020116629</v>
      </c>
      <c r="L52" s="4">
        <v>32517.141883938042</v>
      </c>
      <c r="M52" s="4">
        <v>34021.59671293525</v>
      </c>
      <c r="N52" s="4">
        <v>35542.569377247644</v>
      </c>
      <c r="O52" s="4">
        <v>37080.29051210585</v>
      </c>
      <c r="P52" s="4">
        <v>38634.994588938869</v>
      </c>
      <c r="Q52" s="4">
        <v>40206.919987934794</v>
      </c>
      <c r="R52" s="4">
        <v>41796.309072077936</v>
      </c>
      <c r="S52" s="4">
        <v>43403.408262694211</v>
      </c>
    </row>
    <row r="53" spans="4:19" x14ac:dyDescent="0.2">
      <c r="F53" s="29">
        <v>575</v>
      </c>
      <c r="G53" s="4">
        <v>25865.762180320962</v>
      </c>
      <c r="H53" s="4">
        <v>27290.957993255979</v>
      </c>
      <c r="I53" s="4">
        <v>28731.573568552922</v>
      </c>
      <c r="J53" s="4">
        <v>30187.821399151282</v>
      </c>
      <c r="K53" s="4">
        <v>31659.917472539426</v>
      </c>
      <c r="L53" s="4">
        <v>33148.081336360847</v>
      </c>
      <c r="M53" s="4">
        <v>34652.536165358091</v>
      </c>
      <c r="N53" s="4">
        <v>36173.508829670471</v>
      </c>
      <c r="O53" s="4">
        <v>37711.229964528691</v>
      </c>
      <c r="P53" s="4">
        <v>39265.934041361637</v>
      </c>
      <c r="Q53" s="4">
        <v>40837.859440357592</v>
      </c>
      <c r="R53" s="4">
        <v>42427.24852450069</v>
      </c>
      <c r="S53" s="4">
        <v>44034.347715117045</v>
      </c>
    </row>
    <row r="54" spans="4:19" x14ac:dyDescent="0.2">
      <c r="F54" s="29">
        <v>600</v>
      </c>
      <c r="G54" s="4">
        <v>26498.373387890882</v>
      </c>
      <c r="H54" s="4">
        <v>27923.569200825979</v>
      </c>
      <c r="I54" s="4">
        <v>29364.184776122944</v>
      </c>
      <c r="J54" s="4">
        <v>30820.432606721275</v>
      </c>
      <c r="K54" s="4">
        <v>32292.528680109433</v>
      </c>
      <c r="L54" s="4">
        <v>33780.692543930869</v>
      </c>
      <c r="M54" s="4">
        <v>35285.147372928091</v>
      </c>
      <c r="N54" s="4">
        <v>36806.120037240442</v>
      </c>
      <c r="O54" s="4">
        <v>38343.841172098611</v>
      </c>
      <c r="P54" s="4">
        <v>39898.545248931689</v>
      </c>
      <c r="Q54" s="4">
        <v>41470.470647927614</v>
      </c>
      <c r="R54" s="4">
        <v>43059.85973207069</v>
      </c>
      <c r="S54" s="4">
        <v>44666.958922687067</v>
      </c>
    </row>
    <row r="57" spans="4:19" x14ac:dyDescent="0.2">
      <c r="D57" t="s">
        <v>86</v>
      </c>
    </row>
    <row r="58" spans="4:19" x14ac:dyDescent="0.2">
      <c r="D58" t="s">
        <v>89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4:19" x14ac:dyDescent="0.2">
      <c r="D59" s="1"/>
      <c r="Q59" s="19"/>
      <c r="R59" s="19"/>
    </row>
    <row r="60" spans="4:19" x14ac:dyDescent="0.2">
      <c r="Q60" s="19"/>
      <c r="R60" s="19"/>
    </row>
    <row r="61" spans="4:19" x14ac:dyDescent="0.2">
      <c r="E61" s="1"/>
      <c r="G61" t="s">
        <v>61</v>
      </c>
      <c r="Q61" s="19"/>
      <c r="R61" s="19"/>
      <c r="S61" s="19"/>
    </row>
    <row r="62" spans="4:19" x14ac:dyDescent="0.2">
      <c r="E62" s="1"/>
      <c r="F62" s="32" t="e">
        <f>Sheet2!#REF!</f>
        <v>#REF!</v>
      </c>
      <c r="G62" s="53">
        <v>0.15</v>
      </c>
      <c r="H62" s="53">
        <f>0.01+G62</f>
        <v>0.16</v>
      </c>
      <c r="I62" s="53">
        <f t="shared" ref="I62:S62" si="0">0.01+H62</f>
        <v>0.17</v>
      </c>
      <c r="J62" s="53">
        <f t="shared" si="0"/>
        <v>0.18000000000000002</v>
      </c>
      <c r="K62" s="53">
        <f t="shared" si="0"/>
        <v>0.19000000000000003</v>
      </c>
      <c r="L62" s="53">
        <f t="shared" si="0"/>
        <v>0.20000000000000004</v>
      </c>
      <c r="M62" s="53">
        <f t="shared" si="0"/>
        <v>0.21000000000000005</v>
      </c>
      <c r="N62" s="53">
        <f t="shared" si="0"/>
        <v>0.22000000000000006</v>
      </c>
      <c r="O62" s="53">
        <f t="shared" si="0"/>
        <v>0.23000000000000007</v>
      </c>
      <c r="P62" s="53">
        <f t="shared" si="0"/>
        <v>0.24000000000000007</v>
      </c>
      <c r="Q62" s="53">
        <f>0.01+P62</f>
        <v>0.25000000000000006</v>
      </c>
      <c r="R62" s="53">
        <f t="shared" si="0"/>
        <v>0.26000000000000006</v>
      </c>
      <c r="S62" s="53">
        <f t="shared" si="0"/>
        <v>0.27000000000000007</v>
      </c>
    </row>
    <row r="63" spans="4:19" x14ac:dyDescent="0.2">
      <c r="E63" s="30" t="s">
        <v>88</v>
      </c>
      <c r="F63" s="29">
        <v>200</v>
      </c>
      <c r="G63" s="4">
        <v>82570.219476204278</v>
      </c>
      <c r="H63" s="4">
        <v>83995.415289139331</v>
      </c>
      <c r="I63" s="4">
        <v>85436.030864436238</v>
      </c>
      <c r="J63" s="4">
        <v>86892.278695034533</v>
      </c>
      <c r="K63" s="4">
        <v>88364.374768422727</v>
      </c>
      <c r="L63" s="4">
        <v>89852.538632244134</v>
      </c>
      <c r="M63" s="4">
        <v>91356.993461241349</v>
      </c>
      <c r="N63" s="4">
        <v>92877.966125553765</v>
      </c>
      <c r="O63" s="4">
        <v>94415.687260411913</v>
      </c>
      <c r="P63" s="4">
        <v>95970.391337244975</v>
      </c>
      <c r="Q63" s="4">
        <v>97542.316736240842</v>
      </c>
      <c r="R63" s="4">
        <v>99131.705820383999</v>
      </c>
      <c r="S63" s="4">
        <v>100738.80501100038</v>
      </c>
    </row>
    <row r="64" spans="4:19" x14ac:dyDescent="0.2">
      <c r="E64" s="1"/>
      <c r="F64" s="29">
        <f t="shared" ref="F64:F79" si="1">+F63+25</f>
        <v>225</v>
      </c>
      <c r="G64" s="4">
        <v>83178.332461556725</v>
      </c>
      <c r="H64" s="4">
        <v>84603.528274491808</v>
      </c>
      <c r="I64" s="4">
        <v>86044.143849788728</v>
      </c>
      <c r="J64" s="4">
        <v>87500.391680387096</v>
      </c>
      <c r="K64" s="4">
        <v>88972.487753775233</v>
      </c>
      <c r="L64" s="4">
        <v>90460.651617596683</v>
      </c>
      <c r="M64" s="4">
        <v>91965.106446593811</v>
      </c>
      <c r="N64" s="4">
        <v>93486.079110906299</v>
      </c>
      <c r="O64" s="4">
        <v>95023.800245764462</v>
      </c>
      <c r="P64" s="4">
        <v>96578.50432259748</v>
      </c>
      <c r="Q64" s="4">
        <v>98150.429721593391</v>
      </c>
      <c r="R64" s="4">
        <v>99739.81880573649</v>
      </c>
      <c r="S64" s="4">
        <v>101346.91799635286</v>
      </c>
    </row>
    <row r="65" spans="5:19" x14ac:dyDescent="0.2">
      <c r="E65" s="1"/>
      <c r="F65" s="29">
        <f t="shared" si="1"/>
        <v>250</v>
      </c>
      <c r="G65" s="4">
        <v>83788.040780927884</v>
      </c>
      <c r="H65" s="4">
        <v>85213.236593862952</v>
      </c>
      <c r="I65" s="4">
        <v>86653.852169159873</v>
      </c>
      <c r="J65" s="4">
        <v>88110.099999758269</v>
      </c>
      <c r="K65" s="4">
        <v>89582.196073146333</v>
      </c>
      <c r="L65" s="4">
        <v>91070.359936967798</v>
      </c>
      <c r="M65" s="4">
        <v>92574.814765965013</v>
      </c>
      <c r="N65" s="4">
        <v>94095.787430277385</v>
      </c>
      <c r="O65" s="4">
        <v>95633.508565135591</v>
      </c>
      <c r="P65" s="4">
        <v>97188.212641968596</v>
      </c>
      <c r="Q65" s="4">
        <v>98760.13804096455</v>
      </c>
      <c r="R65" s="4">
        <v>100349.52712510765</v>
      </c>
      <c r="S65" s="4">
        <v>101956.62631572399</v>
      </c>
    </row>
    <row r="66" spans="5:19" x14ac:dyDescent="0.2">
      <c r="E66" s="1"/>
      <c r="F66" s="29">
        <f t="shared" si="1"/>
        <v>275</v>
      </c>
      <c r="G66" s="4">
        <v>84399.349752924943</v>
      </c>
      <c r="H66" s="4">
        <v>85824.545565859997</v>
      </c>
      <c r="I66" s="4">
        <v>87265.161141156917</v>
      </c>
      <c r="J66" s="4">
        <v>88721.408971755227</v>
      </c>
      <c r="K66" s="4">
        <v>90193.505045143393</v>
      </c>
      <c r="L66" s="4">
        <v>91681.668908964755</v>
      </c>
      <c r="M66" s="4">
        <v>93186.123737961985</v>
      </c>
      <c r="N66" s="4">
        <v>94707.096402274445</v>
      </c>
      <c r="O66" s="4">
        <v>96244.817537132651</v>
      </c>
      <c r="P66" s="4">
        <v>97799.521613965568</v>
      </c>
      <c r="Q66" s="4">
        <v>99371.447012961537</v>
      </c>
      <c r="R66" s="4">
        <v>100960.83609710462</v>
      </c>
      <c r="S66" s="4">
        <v>102567.93528772102</v>
      </c>
    </row>
    <row r="67" spans="5:19" x14ac:dyDescent="0.2">
      <c r="E67" s="1"/>
      <c r="F67" s="29">
        <f t="shared" si="1"/>
        <v>300</v>
      </c>
      <c r="G67" s="4">
        <v>85012.264717307786</v>
      </c>
      <c r="H67" s="4">
        <v>86437.460530242854</v>
      </c>
      <c r="I67" s="4">
        <v>87878.076105539774</v>
      </c>
      <c r="J67" s="4">
        <v>89334.323936138098</v>
      </c>
      <c r="K67" s="4">
        <v>90806.420009526264</v>
      </c>
      <c r="L67" s="4">
        <v>92294.583873347627</v>
      </c>
      <c r="M67" s="4">
        <v>93799.0387023449</v>
      </c>
      <c r="N67" s="4">
        <v>95320.011366657272</v>
      </c>
      <c r="O67" s="4">
        <v>96857.73250151542</v>
      </c>
      <c r="P67" s="4">
        <v>98412.436578348512</v>
      </c>
      <c r="Q67" s="4">
        <v>99984.361977344466</v>
      </c>
      <c r="R67" s="4">
        <v>101573.75106148755</v>
      </c>
      <c r="S67" s="4">
        <v>103180.85025210388</v>
      </c>
    </row>
    <row r="68" spans="5:19" x14ac:dyDescent="0.2">
      <c r="E68" s="1"/>
      <c r="F68" s="29">
        <f t="shared" si="1"/>
        <v>325</v>
      </c>
      <c r="G68" s="4">
        <v>85626.791035086513</v>
      </c>
      <c r="H68" s="4">
        <v>87051.986848021566</v>
      </c>
      <c r="I68" s="4">
        <v>88492.602423318531</v>
      </c>
      <c r="J68" s="4">
        <v>89948.850253916869</v>
      </c>
      <c r="K68" s="4">
        <v>91420.946327305021</v>
      </c>
      <c r="L68" s="4">
        <v>92909.110191126441</v>
      </c>
      <c r="M68" s="4">
        <v>94413.565020123657</v>
      </c>
      <c r="N68" s="4">
        <v>95934.537684436014</v>
      </c>
      <c r="O68" s="4">
        <v>97472.258819294191</v>
      </c>
      <c r="P68" s="4">
        <v>99026.962896127283</v>
      </c>
      <c r="Q68" s="4">
        <v>100598.88829512318</v>
      </c>
      <c r="R68" s="4">
        <v>102188.27737926628</v>
      </c>
      <c r="S68" s="4">
        <v>103795.37656988263</v>
      </c>
    </row>
    <row r="69" spans="5:19" x14ac:dyDescent="0.2">
      <c r="E69" s="1"/>
      <c r="F69" s="29">
        <f t="shared" si="1"/>
        <v>350</v>
      </c>
      <c r="G69" s="4">
        <v>86242.934088619106</v>
      </c>
      <c r="H69" s="4">
        <v>87668.129901554217</v>
      </c>
      <c r="I69" s="4">
        <v>89108.745476851109</v>
      </c>
      <c r="J69" s="4">
        <v>90564.993307449477</v>
      </c>
      <c r="K69" s="4">
        <v>92037.089380837599</v>
      </c>
      <c r="L69" s="4">
        <v>93525.253244659005</v>
      </c>
      <c r="M69" s="4">
        <v>95029.708073656206</v>
      </c>
      <c r="N69" s="4">
        <v>96550.680737968622</v>
      </c>
      <c r="O69" s="4">
        <v>98088.401872826784</v>
      </c>
      <c r="P69" s="4">
        <v>99643.105949659832</v>
      </c>
      <c r="Q69" s="4">
        <v>101215.03134865576</v>
      </c>
      <c r="R69" s="4">
        <v>102804.42043279883</v>
      </c>
      <c r="S69" s="4">
        <v>104411.51962341525</v>
      </c>
    </row>
    <row r="70" spans="5:19" x14ac:dyDescent="0.2">
      <c r="E70" s="1"/>
      <c r="F70" s="29">
        <f t="shared" si="1"/>
        <v>375</v>
      </c>
      <c r="G70" s="4">
        <v>86860.699281708585</v>
      </c>
      <c r="H70" s="4">
        <v>88285.895094643667</v>
      </c>
      <c r="I70" s="4">
        <v>89726.510669940602</v>
      </c>
      <c r="J70" s="4">
        <v>91182.75850053897</v>
      </c>
      <c r="K70" s="4">
        <v>92654.854573927063</v>
      </c>
      <c r="L70" s="4">
        <v>94143.018437748513</v>
      </c>
      <c r="M70" s="4">
        <v>95647.473266745685</v>
      </c>
      <c r="N70" s="4">
        <v>97168.445931058115</v>
      </c>
      <c r="O70" s="4">
        <v>98706.167065916292</v>
      </c>
      <c r="P70" s="4">
        <v>100260.87114274935</v>
      </c>
      <c r="Q70" s="4">
        <v>101832.79654174522</v>
      </c>
      <c r="R70" s="4">
        <v>103422.18562588832</v>
      </c>
      <c r="S70" s="4">
        <v>105029.28481650473</v>
      </c>
    </row>
    <row r="71" spans="5:19" x14ac:dyDescent="0.2">
      <c r="E71" s="1"/>
      <c r="F71" s="29">
        <f t="shared" si="1"/>
        <v>400</v>
      </c>
      <c r="G71" s="4">
        <v>87480.092039700045</v>
      </c>
      <c r="H71" s="4">
        <v>88905.287852635098</v>
      </c>
      <c r="I71" s="4">
        <v>90345.903427932048</v>
      </c>
      <c r="J71" s="4">
        <v>91802.151258530357</v>
      </c>
      <c r="K71" s="4">
        <v>93274.247331918508</v>
      </c>
      <c r="L71" s="4">
        <v>94762.411195739944</v>
      </c>
      <c r="M71" s="4">
        <v>96266.86602473713</v>
      </c>
      <c r="N71" s="4">
        <v>97787.838689049531</v>
      </c>
      <c r="O71" s="4">
        <v>99325.559823907737</v>
      </c>
      <c r="P71" s="4">
        <v>100880.26390074074</v>
      </c>
      <c r="Q71" s="4">
        <v>102452.1892997367</v>
      </c>
      <c r="R71" s="4">
        <v>104041.57838387977</v>
      </c>
      <c r="S71" s="4">
        <v>105648.67757449616</v>
      </c>
    </row>
    <row r="72" spans="5:19" x14ac:dyDescent="0.2">
      <c r="E72" s="1"/>
      <c r="F72" s="29">
        <f t="shared" si="1"/>
        <v>425</v>
      </c>
      <c r="G72" s="4">
        <v>88101.117809580595</v>
      </c>
      <c r="H72" s="4">
        <v>89526.313622515619</v>
      </c>
      <c r="I72" s="4">
        <v>90966.929197812569</v>
      </c>
      <c r="J72" s="4">
        <v>92423.177028410923</v>
      </c>
      <c r="K72" s="4">
        <v>93895.273101799059</v>
      </c>
      <c r="L72" s="4">
        <v>95383.43696562048</v>
      </c>
      <c r="M72" s="4">
        <v>96887.891794617695</v>
      </c>
      <c r="N72" s="4">
        <v>98408.864458930067</v>
      </c>
      <c r="O72" s="4">
        <v>99946.585593788273</v>
      </c>
      <c r="P72" s="4">
        <v>101501.28967062126</v>
      </c>
      <c r="Q72" s="4">
        <v>103073.21506961723</v>
      </c>
      <c r="R72" s="4">
        <v>104662.60415376033</v>
      </c>
      <c r="S72" s="4">
        <v>106269.7033443767</v>
      </c>
    </row>
    <row r="73" spans="5:19" x14ac:dyDescent="0.2">
      <c r="E73" s="1"/>
      <c r="F73" s="29">
        <f t="shared" si="1"/>
        <v>450</v>
      </c>
      <c r="G73" s="4">
        <v>88723.782060079102</v>
      </c>
      <c r="H73" s="4">
        <v>90148.977873014082</v>
      </c>
      <c r="I73" s="4">
        <v>91589.593448310989</v>
      </c>
      <c r="J73" s="4">
        <v>93045.841278909385</v>
      </c>
      <c r="K73" s="4">
        <v>94517.937352297493</v>
      </c>
      <c r="L73" s="4">
        <v>96006.101216118899</v>
      </c>
      <c r="M73" s="4">
        <v>97510.556045116129</v>
      </c>
      <c r="N73" s="4">
        <v>99031.52870942856</v>
      </c>
      <c r="O73" s="4">
        <v>100569.24984428671</v>
      </c>
      <c r="P73" s="4">
        <v>102123.95392111974</v>
      </c>
      <c r="Q73" s="4">
        <v>103695.87932011567</v>
      </c>
      <c r="R73" s="4">
        <v>105285.26840425876</v>
      </c>
      <c r="S73" s="4">
        <v>106892.36759487513</v>
      </c>
    </row>
    <row r="74" spans="5:19" x14ac:dyDescent="0.2">
      <c r="E74" s="1"/>
      <c r="F74" s="29">
        <f t="shared" si="1"/>
        <v>475</v>
      </c>
      <c r="G74" s="4">
        <v>89348.090281763696</v>
      </c>
      <c r="H74" s="4">
        <v>90773.286094698749</v>
      </c>
      <c r="I74" s="4">
        <v>92213.90166999567</v>
      </c>
      <c r="J74" s="4">
        <v>93670.14950059398</v>
      </c>
      <c r="K74" s="4">
        <v>95142.24557398216</v>
      </c>
      <c r="L74" s="4">
        <v>96630.409437803552</v>
      </c>
      <c r="M74" s="4">
        <v>98134.864266800781</v>
      </c>
      <c r="N74" s="4">
        <v>99655.836931113183</v>
      </c>
      <c r="O74" s="4">
        <v>101193.55806597139</v>
      </c>
      <c r="P74" s="4">
        <v>102748.26214280436</v>
      </c>
      <c r="Q74" s="4">
        <v>104320.18754180029</v>
      </c>
      <c r="R74" s="4">
        <v>105909.57662594347</v>
      </c>
      <c r="S74" s="4">
        <v>107516.67581655979</v>
      </c>
    </row>
    <row r="75" spans="5:19" x14ac:dyDescent="0.2">
      <c r="E75" s="1"/>
      <c r="F75" s="29">
        <f t="shared" si="1"/>
        <v>500</v>
      </c>
      <c r="G75" s="4">
        <v>89974.047987141821</v>
      </c>
      <c r="H75" s="4">
        <v>91399.243800076903</v>
      </c>
      <c r="I75" s="4">
        <v>92839.85937537381</v>
      </c>
      <c r="J75" s="4">
        <v>94296.107205972163</v>
      </c>
      <c r="K75" s="4">
        <v>95768.203279360285</v>
      </c>
      <c r="L75" s="4">
        <v>97256.36714318172</v>
      </c>
      <c r="M75" s="4">
        <v>98760.821972178906</v>
      </c>
      <c r="N75" s="4">
        <v>100281.79463649134</v>
      </c>
      <c r="O75" s="4">
        <v>101819.51577134948</v>
      </c>
      <c r="P75" s="4">
        <v>103374.21984818256</v>
      </c>
      <c r="Q75" s="4">
        <v>104946.14524717844</v>
      </c>
      <c r="R75" s="4">
        <v>106535.53433132159</v>
      </c>
      <c r="S75" s="4">
        <v>108142.63352193794</v>
      </c>
    </row>
    <row r="76" spans="5:19" x14ac:dyDescent="0.2">
      <c r="E76" s="1"/>
      <c r="F76" s="29">
        <f t="shared" si="1"/>
        <v>525</v>
      </c>
      <c r="G76" s="4">
        <v>90601.660710762808</v>
      </c>
      <c r="H76" s="4">
        <v>92026.856523697905</v>
      </c>
      <c r="I76" s="4">
        <v>93467.472098994796</v>
      </c>
      <c r="J76" s="4">
        <v>94923.719929593164</v>
      </c>
      <c r="K76" s="4">
        <v>96395.816002981301</v>
      </c>
      <c r="L76" s="4">
        <v>97883.979866802692</v>
      </c>
      <c r="M76" s="4">
        <v>99388.434695799937</v>
      </c>
      <c r="N76" s="4">
        <v>100909.40736011235</v>
      </c>
      <c r="O76" s="4">
        <v>102447.12849497052</v>
      </c>
      <c r="P76" s="4">
        <v>104001.8325718035</v>
      </c>
      <c r="Q76" s="4">
        <v>105573.75797079946</v>
      </c>
      <c r="R76" s="4">
        <v>107163.14705494256</v>
      </c>
      <c r="S76" s="4">
        <v>108770.24624555896</v>
      </c>
    </row>
    <row r="77" spans="5:19" x14ac:dyDescent="0.2">
      <c r="E77" s="1"/>
      <c r="F77" s="29">
        <f t="shared" si="1"/>
        <v>550</v>
      </c>
      <c r="G77" s="4">
        <v>91230.9340093176</v>
      </c>
      <c r="H77" s="4">
        <v>92656.129822252668</v>
      </c>
      <c r="I77" s="4">
        <v>94096.745397549617</v>
      </c>
      <c r="J77" s="4">
        <v>95552.993228147941</v>
      </c>
      <c r="K77" s="4">
        <v>97025.089301536093</v>
      </c>
      <c r="L77" s="4">
        <v>98513.253165357484</v>
      </c>
      <c r="M77" s="4">
        <v>100017.70799435471</v>
      </c>
      <c r="N77" s="4">
        <v>101538.68065866712</v>
      </c>
      <c r="O77" s="4">
        <v>103076.40179352529</v>
      </c>
      <c r="P77" s="4">
        <v>104631.10587035835</v>
      </c>
      <c r="Q77" s="4">
        <v>106203.03126935428</v>
      </c>
      <c r="R77" s="4">
        <v>107792.42035349738</v>
      </c>
      <c r="S77" s="4">
        <v>109399.51954411375</v>
      </c>
    </row>
    <row r="78" spans="5:19" x14ac:dyDescent="0.2">
      <c r="E78" s="1"/>
      <c r="F78" s="29">
        <f t="shared" si="1"/>
        <v>575</v>
      </c>
      <c r="G78" s="4">
        <v>91861.873461740528</v>
      </c>
      <c r="H78" s="4">
        <v>93287.069274675508</v>
      </c>
      <c r="I78" s="4">
        <v>94727.684849972487</v>
      </c>
      <c r="J78" s="4">
        <v>96183.932680570811</v>
      </c>
      <c r="K78" s="4">
        <v>97656.028753958963</v>
      </c>
      <c r="L78" s="4">
        <v>99144.192617780413</v>
      </c>
      <c r="M78" s="4">
        <v>100648.64744677761</v>
      </c>
      <c r="N78" s="4">
        <v>102169.62011108996</v>
      </c>
      <c r="O78" s="4">
        <v>103707.34124594816</v>
      </c>
      <c r="P78" s="4">
        <v>105262.04532278117</v>
      </c>
      <c r="Q78" s="4">
        <v>106833.97072177711</v>
      </c>
      <c r="R78" s="4">
        <v>108423.35980592026</v>
      </c>
      <c r="S78" s="4">
        <v>110030.45899653659</v>
      </c>
    </row>
    <row r="79" spans="5:19" x14ac:dyDescent="0.2">
      <c r="E79" s="1"/>
      <c r="F79" s="29">
        <f t="shared" si="1"/>
        <v>600</v>
      </c>
      <c r="G79" s="4">
        <v>92494.484669310448</v>
      </c>
      <c r="H79" s="4">
        <v>93919.680482245516</v>
      </c>
      <c r="I79" s="4">
        <v>95360.296057542466</v>
      </c>
      <c r="J79" s="4">
        <v>96816.54388814079</v>
      </c>
      <c r="K79" s="4">
        <v>98288.63996152897</v>
      </c>
      <c r="L79" s="4">
        <v>99776.803825350376</v>
      </c>
      <c r="M79" s="4">
        <v>101281.25865434761</v>
      </c>
      <c r="N79" s="4">
        <v>102802.23131865999</v>
      </c>
      <c r="O79" s="4">
        <v>104339.95245351817</v>
      </c>
      <c r="P79" s="4">
        <v>105894.65653035122</v>
      </c>
      <c r="Q79" s="4">
        <v>107466.58192934713</v>
      </c>
      <c r="R79" s="4">
        <v>109055.9710134902</v>
      </c>
      <c r="S79" s="4">
        <v>110663.07020410657</v>
      </c>
    </row>
    <row r="88" spans="1:8" ht="15.75" x14ac:dyDescent="0.25">
      <c r="A88" s="62" t="s">
        <v>92</v>
      </c>
    </row>
    <row r="90" spans="1:8" ht="15.75" x14ac:dyDescent="0.25">
      <c r="C90" s="66" t="s">
        <v>61</v>
      </c>
      <c r="D90" s="66"/>
      <c r="E90" s="66" t="s">
        <v>93</v>
      </c>
      <c r="G90" s="63"/>
    </row>
    <row r="92" spans="1:8" ht="15.75" x14ac:dyDescent="0.25">
      <c r="C92" s="65">
        <v>0.15</v>
      </c>
      <c r="E92" s="64">
        <v>65619.567110052303</v>
      </c>
      <c r="H92">
        <v>0.15</v>
      </c>
    </row>
    <row r="93" spans="1:8" ht="15.75" x14ac:dyDescent="0.25">
      <c r="C93" s="65">
        <v>0.16</v>
      </c>
      <c r="E93" s="64">
        <v>67044.762922987356</v>
      </c>
      <c r="H93">
        <v>0.16</v>
      </c>
    </row>
    <row r="94" spans="1:8" ht="15.75" x14ac:dyDescent="0.25">
      <c r="C94" s="65">
        <v>0.17</v>
      </c>
      <c r="E94" s="64">
        <v>68485.378498284248</v>
      </c>
      <c r="H94">
        <v>0.17</v>
      </c>
    </row>
    <row r="95" spans="1:8" ht="15.75" x14ac:dyDescent="0.25">
      <c r="C95" s="65">
        <v>0.18</v>
      </c>
      <c r="E95" s="64">
        <v>69941.626328882601</v>
      </c>
      <c r="H95">
        <v>0.18</v>
      </c>
    </row>
    <row r="96" spans="1:8" ht="15.75" x14ac:dyDescent="0.25">
      <c r="C96" s="65">
        <v>0.19</v>
      </c>
      <c r="E96" s="64">
        <v>71413.722402270767</v>
      </c>
      <c r="H96">
        <v>0.19</v>
      </c>
    </row>
    <row r="97" spans="3:8" ht="15.75" x14ac:dyDescent="0.25">
      <c r="C97" s="65">
        <v>0.2</v>
      </c>
      <c r="E97" s="64">
        <v>72901.886266092159</v>
      </c>
      <c r="H97">
        <v>0.2</v>
      </c>
    </row>
    <row r="98" spans="3:8" ht="15.75" x14ac:dyDescent="0.25">
      <c r="C98" s="65">
        <v>0.21</v>
      </c>
      <c r="E98" s="64">
        <v>74406.341095089374</v>
      </c>
      <c r="H98">
        <v>0.21</v>
      </c>
    </row>
    <row r="99" spans="3:8" ht="15.75" x14ac:dyDescent="0.25">
      <c r="C99" s="65">
        <v>0.22</v>
      </c>
      <c r="E99" s="64">
        <v>75927.313759401819</v>
      </c>
      <c r="H99">
        <v>0.22</v>
      </c>
    </row>
    <row r="100" spans="3:8" ht="15.75" x14ac:dyDescent="0.25">
      <c r="C100" s="65">
        <v>0.23</v>
      </c>
      <c r="E100" s="64">
        <v>77465.034894259967</v>
      </c>
      <c r="H100">
        <v>0.23</v>
      </c>
    </row>
    <row r="101" spans="3:8" ht="15.75" x14ac:dyDescent="0.25">
      <c r="C101" s="65">
        <v>0.24</v>
      </c>
      <c r="E101" s="64">
        <v>79019.738971092971</v>
      </c>
      <c r="H101">
        <v>0.24</v>
      </c>
    </row>
    <row r="102" spans="3:8" ht="15.75" x14ac:dyDescent="0.25">
      <c r="C102" s="65">
        <v>0.25</v>
      </c>
      <c r="E102" s="64">
        <v>80591.664370088954</v>
      </c>
      <c r="H102">
        <v>0.25</v>
      </c>
    </row>
    <row r="103" spans="3:8" ht="15.75" x14ac:dyDescent="0.25">
      <c r="C103" s="65">
        <v>0.26</v>
      </c>
      <c r="E103" s="64">
        <v>82181.053454231995</v>
      </c>
      <c r="H103">
        <v>0.26</v>
      </c>
    </row>
    <row r="104" spans="3:8" ht="15.75" x14ac:dyDescent="0.25">
      <c r="C104" s="65">
        <v>0.27</v>
      </c>
      <c r="E104" s="64">
        <v>83788.152644848393</v>
      </c>
      <c r="H104">
        <v>0.27</v>
      </c>
    </row>
    <row r="105" spans="3:8" ht="15.75" x14ac:dyDescent="0.25">
      <c r="C105" s="65">
        <v>0.28000000000000003</v>
      </c>
      <c r="E105" s="64">
        <v>85413.212498698995</v>
      </c>
      <c r="H105">
        <v>0.28000000000000003</v>
      </c>
    </row>
    <row r="106" spans="3:8" ht="15.75" x14ac:dyDescent="0.25">
      <c r="C106" s="65">
        <v>0.28999999999999998</v>
      </c>
      <c r="E106" s="64">
        <v>87056.487786639074</v>
      </c>
      <c r="H106">
        <v>0.28999999999999998</v>
      </c>
    </row>
    <row r="107" spans="3:8" ht="15.75" x14ac:dyDescent="0.25">
      <c r="C107" s="65">
        <v>0.3</v>
      </c>
      <c r="E107" s="64">
        <v>88718.237573892344</v>
      </c>
      <c r="H107">
        <v>0.3</v>
      </c>
    </row>
    <row r="108" spans="3:8" ht="15.75" x14ac:dyDescent="0.25">
      <c r="C108" s="65">
        <v>0.31</v>
      </c>
      <c r="E108" s="64">
        <v>90398.725301961153</v>
      </c>
      <c r="H108">
        <v>0.31</v>
      </c>
    </row>
    <row r="109" spans="3:8" ht="15.75" x14ac:dyDescent="0.25">
      <c r="C109" s="65">
        <v>0.32</v>
      </c>
      <c r="E109" s="64">
        <v>92098.218872212223</v>
      </c>
      <c r="H109">
        <v>0.32</v>
      </c>
    </row>
    <row r="110" spans="3:8" ht="15.75" x14ac:dyDescent="0.25">
      <c r="C110" s="65">
        <v>0.33</v>
      </c>
      <c r="E110" s="64">
        <v>93816.990731177619</v>
      </c>
      <c r="H110">
        <v>0.33</v>
      </c>
    </row>
    <row r="111" spans="3:8" ht="15.75" x14ac:dyDescent="0.25">
      <c r="C111" s="65">
        <v>0.34</v>
      </c>
      <c r="E111" s="64">
        <v>95555.317957594933</v>
      </c>
      <c r="H111">
        <v>0.34</v>
      </c>
    </row>
    <row r="112" spans="3:8" ht="15.75" x14ac:dyDescent="0.25">
      <c r="C112" s="65">
        <v>0.35</v>
      </c>
      <c r="E112" s="64">
        <v>97313.48235123785</v>
      </c>
      <c r="H112">
        <v>0.35</v>
      </c>
    </row>
    <row r="115" spans="1:12" ht="15.75" x14ac:dyDescent="0.25">
      <c r="A115" s="62" t="s">
        <v>94</v>
      </c>
    </row>
    <row r="118" spans="1:12" ht="15.75" x14ac:dyDescent="0.25">
      <c r="F118" s="62" t="s">
        <v>14</v>
      </c>
    </row>
    <row r="120" spans="1:12" ht="15.75" x14ac:dyDescent="0.25">
      <c r="E120" s="62"/>
      <c r="F120" s="67">
        <v>200</v>
      </c>
      <c r="G120" s="67">
        <v>300</v>
      </c>
      <c r="H120" s="67">
        <v>400</v>
      </c>
      <c r="I120" s="67">
        <v>500</v>
      </c>
      <c r="J120" s="67">
        <v>600</v>
      </c>
      <c r="K120" s="67">
        <v>700</v>
      </c>
      <c r="L120" s="67">
        <v>800</v>
      </c>
    </row>
    <row r="121" spans="1:12" ht="15.75" x14ac:dyDescent="0.25">
      <c r="C121" s="2"/>
      <c r="D121" s="70" t="s">
        <v>95</v>
      </c>
      <c r="E121" s="68">
        <v>200</v>
      </c>
      <c r="F121" s="69">
        <v>64480.241520725554</v>
      </c>
      <c r="G121" s="69">
        <v>67405.86135543634</v>
      </c>
      <c r="H121" s="69">
        <v>70331.481190147097</v>
      </c>
      <c r="I121" s="69">
        <v>73257.101024857824</v>
      </c>
      <c r="J121" s="69">
        <v>76182.72085956861</v>
      </c>
      <c r="K121" s="69">
        <v>79108.340694279337</v>
      </c>
      <c r="L121" s="69">
        <v>82033.960528990065</v>
      </c>
    </row>
    <row r="122" spans="1:12" ht="15.75" x14ac:dyDescent="0.25">
      <c r="E122" s="67">
        <f>+E121+25</f>
        <v>225</v>
      </c>
      <c r="F122" s="69">
        <v>65653.853894729502</v>
      </c>
      <c r="G122" s="69">
        <v>68579.473729440288</v>
      </c>
      <c r="H122" s="69">
        <v>71505.093564151015</v>
      </c>
      <c r="I122" s="69">
        <v>74430.713398861742</v>
      </c>
      <c r="J122" s="69">
        <v>77356.333233572499</v>
      </c>
      <c r="K122" s="69">
        <v>80281.953068283256</v>
      </c>
      <c r="L122" s="69">
        <v>83207.572902993983</v>
      </c>
    </row>
    <row r="123" spans="1:12" ht="15.75" x14ac:dyDescent="0.25">
      <c r="E123" s="67">
        <f t="shared" ref="E123:E141" si="2">+E122+25</f>
        <v>250</v>
      </c>
      <c r="F123" s="69">
        <v>66831.260116770849</v>
      </c>
      <c r="G123" s="69">
        <v>69756.879951481576</v>
      </c>
      <c r="H123" s="69">
        <v>72682.499786192318</v>
      </c>
      <c r="I123" s="69">
        <v>75608.119620903075</v>
      </c>
      <c r="J123" s="69">
        <v>78533.739455613802</v>
      </c>
      <c r="K123" s="69">
        <v>81459.359290324559</v>
      </c>
      <c r="L123" s="69">
        <v>84384.979125035286</v>
      </c>
    </row>
    <row r="124" spans="1:12" ht="15.75" x14ac:dyDescent="0.25">
      <c r="E124" s="67">
        <f t="shared" si="2"/>
        <v>275</v>
      </c>
      <c r="F124" s="69">
        <v>68012.476191596128</v>
      </c>
      <c r="G124" s="69">
        <v>70938.096026306885</v>
      </c>
      <c r="H124" s="69">
        <v>73863.715861017641</v>
      </c>
      <c r="I124" s="69">
        <v>76789.335695728369</v>
      </c>
      <c r="J124" s="69">
        <v>79714.955530439125</v>
      </c>
      <c r="K124" s="69">
        <v>82640.575365149882</v>
      </c>
      <c r="L124" s="69">
        <v>85566.195199860609</v>
      </c>
    </row>
    <row r="125" spans="1:12" ht="15.75" x14ac:dyDescent="0.25">
      <c r="E125" s="67">
        <f t="shared" si="2"/>
        <v>300</v>
      </c>
      <c r="F125" s="69">
        <v>69197.518203170373</v>
      </c>
      <c r="G125" s="69">
        <v>72123.138037881174</v>
      </c>
      <c r="H125" s="69">
        <v>75048.757872591901</v>
      </c>
      <c r="I125" s="69">
        <v>77974.377707302629</v>
      </c>
      <c r="J125" s="69">
        <v>80899.997542013414</v>
      </c>
      <c r="K125" s="69">
        <v>83825.617376724142</v>
      </c>
      <c r="L125" s="69">
        <v>86751.237211434869</v>
      </c>
    </row>
    <row r="126" spans="1:12" ht="15.75" x14ac:dyDescent="0.25">
      <c r="E126" s="67">
        <f t="shared" si="2"/>
        <v>325</v>
      </c>
      <c r="F126" s="69">
        <v>70386.402315107931</v>
      </c>
      <c r="G126" s="69">
        <v>73312.022149818687</v>
      </c>
      <c r="H126" s="69">
        <v>76237.641984529415</v>
      </c>
      <c r="I126" s="69">
        <v>79163.261819240171</v>
      </c>
      <c r="J126" s="69">
        <v>82088.881653950899</v>
      </c>
      <c r="K126" s="69">
        <v>85014.501488661655</v>
      </c>
      <c r="L126" s="69">
        <v>87940.121323372383</v>
      </c>
    </row>
    <row r="127" spans="1:12" ht="15.75" x14ac:dyDescent="0.25">
      <c r="E127" s="67">
        <f t="shared" si="2"/>
        <v>350</v>
      </c>
      <c r="F127" s="69">
        <v>71579.144771106075</v>
      </c>
      <c r="G127" s="69">
        <v>74504.764605816803</v>
      </c>
      <c r="H127" s="69">
        <v>77430.38444052753</v>
      </c>
      <c r="I127" s="69">
        <v>80356.004275238316</v>
      </c>
      <c r="J127" s="69">
        <v>83281.624109949043</v>
      </c>
      <c r="K127" s="69">
        <v>86207.2439446598</v>
      </c>
      <c r="L127" s="69">
        <v>89132.863779370557</v>
      </c>
    </row>
    <row r="128" spans="1:12" ht="15.75" x14ac:dyDescent="0.25">
      <c r="E128" s="67">
        <f t="shared" si="2"/>
        <v>375</v>
      </c>
      <c r="F128" s="69">
        <v>72775.761895378033</v>
      </c>
      <c r="G128" s="69">
        <v>75701.38173008876</v>
      </c>
      <c r="H128" s="69">
        <v>78627.001564799488</v>
      </c>
      <c r="I128" s="69">
        <v>81552.621399510273</v>
      </c>
      <c r="J128" s="69">
        <v>84478.241234221001</v>
      </c>
      <c r="K128" s="69">
        <v>87403.861068931699</v>
      </c>
      <c r="L128" s="69">
        <v>90329.480903642485</v>
      </c>
    </row>
    <row r="129" spans="5:12" ht="15.75" x14ac:dyDescent="0.25">
      <c r="E129" s="67">
        <f t="shared" si="2"/>
        <v>400</v>
      </c>
      <c r="F129" s="69">
        <v>73976.270093087689</v>
      </c>
      <c r="G129" s="69">
        <v>76901.889927798373</v>
      </c>
      <c r="H129" s="69">
        <v>79827.509762509158</v>
      </c>
      <c r="I129" s="69">
        <v>82753.129597219886</v>
      </c>
      <c r="J129" s="69">
        <v>85678.749431930613</v>
      </c>
      <c r="K129" s="69">
        <v>88604.369266641399</v>
      </c>
      <c r="L129" s="69">
        <v>91529.989101352141</v>
      </c>
    </row>
    <row r="130" spans="5:12" ht="15.75" x14ac:dyDescent="0.25">
      <c r="E130" s="67">
        <f t="shared" si="2"/>
        <v>425</v>
      </c>
      <c r="F130" s="69">
        <v>75180.685850791619</v>
      </c>
      <c r="G130" s="69">
        <v>78106.305685502361</v>
      </c>
      <c r="H130" s="69">
        <v>81031.925520213146</v>
      </c>
      <c r="I130" s="69">
        <v>83957.545354923815</v>
      </c>
      <c r="J130" s="69">
        <v>86883.165189634601</v>
      </c>
      <c r="K130" s="69">
        <v>89808.785024345329</v>
      </c>
      <c r="L130" s="69">
        <v>92734.404859056056</v>
      </c>
    </row>
    <row r="131" spans="5:12" ht="15.75" x14ac:dyDescent="0.25">
      <c r="E131" s="67">
        <f t="shared" si="2"/>
        <v>450</v>
      </c>
      <c r="F131" s="69">
        <v>76389.025736881405</v>
      </c>
      <c r="G131" s="69">
        <v>79314.645571592133</v>
      </c>
      <c r="H131" s="69">
        <v>82240.265406302919</v>
      </c>
      <c r="I131" s="69">
        <v>85165.885241013646</v>
      </c>
      <c r="J131" s="69">
        <v>88091.505075724388</v>
      </c>
      <c r="K131" s="69">
        <v>91017.124910435174</v>
      </c>
      <c r="L131" s="69">
        <v>93942.744745145901</v>
      </c>
    </row>
    <row r="132" spans="5:12" ht="15.75" x14ac:dyDescent="0.25">
      <c r="E132" s="67">
        <f t="shared" si="2"/>
        <v>475</v>
      </c>
      <c r="F132" s="69">
        <v>77601.306402025381</v>
      </c>
      <c r="G132" s="69">
        <v>80526.926236736108</v>
      </c>
      <c r="H132" s="69">
        <v>83452.546071446835</v>
      </c>
      <c r="I132" s="69">
        <v>86378.165906157592</v>
      </c>
      <c r="J132" s="69">
        <v>89303.785740868363</v>
      </c>
      <c r="K132" s="69">
        <v>92229.405575579091</v>
      </c>
      <c r="L132" s="69">
        <v>95155.025410289847</v>
      </c>
    </row>
    <row r="133" spans="5:12" ht="15.75" x14ac:dyDescent="0.25">
      <c r="E133" s="67">
        <f t="shared" si="2"/>
        <v>500</v>
      </c>
      <c r="F133" s="69">
        <v>78817.544579612921</v>
      </c>
      <c r="G133" s="69">
        <v>81743.164414323648</v>
      </c>
      <c r="H133" s="69">
        <v>84668.784249034434</v>
      </c>
      <c r="I133" s="69">
        <v>87594.404083745161</v>
      </c>
      <c r="J133" s="69">
        <v>90520.023918455918</v>
      </c>
      <c r="K133" s="69">
        <v>93445.643753166674</v>
      </c>
      <c r="L133" s="69">
        <v>96371.263587877402</v>
      </c>
    </row>
    <row r="134" spans="5:12" ht="15.75" x14ac:dyDescent="0.25">
      <c r="E134" s="67">
        <f t="shared" si="2"/>
        <v>525</v>
      </c>
      <c r="F134" s="69">
        <v>80037.757086209313</v>
      </c>
      <c r="G134" s="69">
        <v>82963.376920920069</v>
      </c>
      <c r="H134" s="69">
        <v>85888.996755630826</v>
      </c>
      <c r="I134" s="69">
        <v>88814.616590341553</v>
      </c>
      <c r="J134" s="69">
        <v>91740.23642505231</v>
      </c>
      <c r="K134" s="69">
        <v>94665.856259763037</v>
      </c>
      <c r="L134" s="69">
        <v>97591.476094473794</v>
      </c>
    </row>
    <row r="135" spans="5:12" ht="15.75" x14ac:dyDescent="0.25">
      <c r="E135" s="67">
        <f t="shared" si="2"/>
        <v>550</v>
      </c>
      <c r="F135" s="69">
        <v>81261.960822004796</v>
      </c>
      <c r="G135" s="69">
        <v>84187.580656715523</v>
      </c>
      <c r="H135" s="69">
        <v>87113.200491426251</v>
      </c>
      <c r="I135" s="69">
        <v>90038.820326137036</v>
      </c>
      <c r="J135" s="69">
        <v>92964.440160847764</v>
      </c>
      <c r="K135" s="69">
        <v>95890.059995558549</v>
      </c>
      <c r="L135" s="69">
        <v>98815.679830269277</v>
      </c>
    </row>
    <row r="136" spans="5:12" ht="15.75" x14ac:dyDescent="0.25">
      <c r="E136" s="67">
        <f t="shared" si="2"/>
        <v>575</v>
      </c>
      <c r="F136" s="69">
        <v>82490.172771268059</v>
      </c>
      <c r="G136" s="69">
        <v>85415.792605978786</v>
      </c>
      <c r="H136" s="69">
        <v>88341.412440689513</v>
      </c>
      <c r="I136" s="69">
        <v>91267.03227540027</v>
      </c>
      <c r="J136" s="69">
        <v>94192.652110111027</v>
      </c>
      <c r="K136" s="69">
        <v>97118.271944821754</v>
      </c>
      <c r="L136" s="69">
        <v>100043.89177953251</v>
      </c>
    </row>
    <row r="137" spans="5:12" ht="15.75" x14ac:dyDescent="0.25">
      <c r="E137" s="67">
        <f t="shared" si="2"/>
        <v>600</v>
      </c>
      <c r="F137" s="69">
        <v>83722.410002802848</v>
      </c>
      <c r="G137" s="69">
        <v>86648.029837513604</v>
      </c>
      <c r="H137" s="69">
        <v>89573.649672224361</v>
      </c>
      <c r="I137" s="69">
        <v>92499.269506935088</v>
      </c>
      <c r="J137" s="69">
        <v>95424.889341645845</v>
      </c>
      <c r="K137" s="69">
        <v>98350.509176356572</v>
      </c>
      <c r="L137" s="69">
        <v>101276.12901106733</v>
      </c>
    </row>
    <row r="138" spans="5:12" ht="15.75" x14ac:dyDescent="0.25">
      <c r="E138" s="67">
        <f t="shared" si="2"/>
        <v>625</v>
      </c>
      <c r="F138" s="69">
        <v>84958.689670410648</v>
      </c>
      <c r="G138" s="69">
        <v>87884.309505121375</v>
      </c>
      <c r="H138" s="69">
        <v>90809.929339832161</v>
      </c>
      <c r="I138" s="69">
        <v>93735.549174542888</v>
      </c>
      <c r="J138" s="69">
        <v>96661.169009253616</v>
      </c>
      <c r="K138" s="69">
        <v>99586.788843964401</v>
      </c>
      <c r="L138" s="69">
        <v>102512.40867867513</v>
      </c>
    </row>
    <row r="139" spans="5:12" ht="15.75" x14ac:dyDescent="0.25">
      <c r="E139" s="67">
        <f t="shared" si="2"/>
        <v>650</v>
      </c>
      <c r="F139" s="69">
        <v>86199.029013349093</v>
      </c>
      <c r="G139" s="69">
        <v>89124.64884805982</v>
      </c>
      <c r="H139" s="69">
        <v>92050.268682770547</v>
      </c>
      <c r="I139" s="69">
        <v>94975.888517481333</v>
      </c>
      <c r="J139" s="69">
        <v>97901.508352192061</v>
      </c>
      <c r="K139" s="69">
        <v>100827.12818690279</v>
      </c>
      <c r="L139" s="69">
        <v>103752.74802161354</v>
      </c>
    </row>
    <row r="140" spans="5:12" ht="15.75" x14ac:dyDescent="0.25">
      <c r="E140" s="67">
        <f t="shared" si="2"/>
        <v>675</v>
      </c>
      <c r="F140" s="69">
        <v>87443.445356796306</v>
      </c>
      <c r="G140" s="69">
        <v>90369.065191507063</v>
      </c>
      <c r="H140" s="69">
        <v>93294.68502621782</v>
      </c>
      <c r="I140" s="69">
        <v>96220.304860928547</v>
      </c>
      <c r="J140" s="69">
        <v>99145.924695639274</v>
      </c>
      <c r="K140" s="69">
        <v>102071.54453035003</v>
      </c>
      <c r="L140" s="69">
        <v>104997.16436506079</v>
      </c>
    </row>
    <row r="141" spans="5:12" ht="15.75" x14ac:dyDescent="0.25">
      <c r="E141" s="67">
        <f t="shared" si="2"/>
        <v>700</v>
      </c>
      <c r="F141" s="69">
        <v>88691.956112321379</v>
      </c>
      <c r="G141" s="69">
        <v>91617.575947032165</v>
      </c>
      <c r="H141" s="69">
        <v>94543.195781742892</v>
      </c>
      <c r="I141" s="69">
        <v>97468.815616453649</v>
      </c>
      <c r="J141" s="69">
        <v>100394.43545116438</v>
      </c>
      <c r="K141" s="69">
        <v>103320.05528587516</v>
      </c>
      <c r="L141" s="69">
        <v>106245.67512058589</v>
      </c>
    </row>
  </sheetData>
  <mergeCells count="4">
    <mergeCell ref="D21:F21"/>
    <mergeCell ref="H21:J21"/>
    <mergeCell ref="L21:N21"/>
    <mergeCell ref="P21:R21"/>
  </mergeCells>
  <pageMargins left="0.75" right="0.75" top="1" bottom="1" header="0.5" footer="0.5"/>
  <pageSetup paperSize="5" scale="47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83"/>
  <sheetViews>
    <sheetView zoomScale="75" workbookViewId="0">
      <selection activeCell="AH194" sqref="AH194:AH215"/>
    </sheetView>
  </sheetViews>
  <sheetFormatPr defaultRowHeight="12.75" x14ac:dyDescent="0.2"/>
  <cols>
    <col min="1" max="1" width="11.6640625" customWidth="1"/>
    <col min="2" max="2" width="22.1640625" customWidth="1"/>
    <col min="3" max="3" width="13.83203125" customWidth="1"/>
    <col min="4" max="4" width="16" customWidth="1"/>
    <col min="5" max="5" width="14.6640625" customWidth="1"/>
    <col min="6" max="6" width="12.1640625" customWidth="1"/>
    <col min="7" max="7" width="12.6640625" bestFit="1" customWidth="1"/>
    <col min="8" max="9" width="12.33203125" customWidth="1"/>
    <col min="10" max="10" width="13" customWidth="1"/>
    <col min="11" max="11" width="12.83203125" customWidth="1"/>
    <col min="12" max="12" width="12.6640625" customWidth="1"/>
    <col min="13" max="13" width="11.83203125" customWidth="1"/>
    <col min="14" max="14" width="13.1640625" customWidth="1"/>
    <col min="15" max="15" width="12.6640625" customWidth="1"/>
    <col min="16" max="17" width="12" customWidth="1"/>
    <col min="18" max="18" width="12.33203125" customWidth="1"/>
    <col min="19" max="19" width="12.1640625" customWidth="1"/>
    <col min="20" max="20" width="13" customWidth="1"/>
    <col min="21" max="21" width="11.83203125" customWidth="1"/>
    <col min="22" max="22" width="12.1640625" customWidth="1"/>
    <col min="23" max="23" width="12" bestFit="1" customWidth="1"/>
    <col min="24" max="24" width="11.1640625" customWidth="1"/>
    <col min="25" max="25" width="10.83203125" bestFit="1" customWidth="1"/>
    <col min="26" max="26" width="10.6640625" customWidth="1"/>
    <col min="27" max="40" width="11" bestFit="1" customWidth="1"/>
    <col min="41" max="41" width="18.1640625" bestFit="1" customWidth="1"/>
    <col min="42" max="42" width="16.6640625" customWidth="1"/>
    <col min="44" max="44" width="16.5" customWidth="1"/>
    <col min="45" max="45" width="28" bestFit="1" customWidth="1"/>
    <col min="46" max="46" width="18" customWidth="1"/>
    <col min="47" max="47" width="16" bestFit="1" customWidth="1"/>
    <col min="48" max="48" width="16.1640625" bestFit="1" customWidth="1"/>
    <col min="49" max="49" width="14.83203125" customWidth="1"/>
  </cols>
  <sheetData>
    <row r="1" spans="1:23" x14ac:dyDescent="0.2">
      <c r="A1" t="s">
        <v>7</v>
      </c>
      <c r="D1" t="s">
        <v>96</v>
      </c>
    </row>
    <row r="2" spans="1:23" x14ac:dyDescent="0.2">
      <c r="A2" t="s">
        <v>8</v>
      </c>
    </row>
    <row r="3" spans="1:23" x14ac:dyDescent="0.2">
      <c r="A3" s="24">
        <f ca="1">TODAY()</f>
        <v>36628</v>
      </c>
    </row>
    <row r="6" spans="1:23" x14ac:dyDescent="0.2">
      <c r="A6" t="s">
        <v>6</v>
      </c>
    </row>
    <row r="7" spans="1:23" x14ac:dyDescent="0.2">
      <c r="C7" s="10" t="s">
        <v>24</v>
      </c>
      <c r="I7" s="10" t="s">
        <v>25</v>
      </c>
      <c r="O7" s="10" t="s">
        <v>50</v>
      </c>
    </row>
    <row r="8" spans="1:23" x14ac:dyDescent="0.2">
      <c r="C8" t="s">
        <v>12</v>
      </c>
      <c r="G8" s="11">
        <v>295000</v>
      </c>
      <c r="I8" t="s">
        <v>12</v>
      </c>
      <c r="M8" s="16">
        <f>G8</f>
        <v>295000</v>
      </c>
      <c r="U8" t="s">
        <v>18</v>
      </c>
      <c r="W8" s="15">
        <v>6.13E-2</v>
      </c>
    </row>
    <row r="9" spans="1:23" x14ac:dyDescent="0.2">
      <c r="C9" t="s">
        <v>14</v>
      </c>
      <c r="G9" s="13">
        <v>300</v>
      </c>
      <c r="I9" t="s">
        <v>14</v>
      </c>
      <c r="M9" s="13">
        <v>50</v>
      </c>
      <c r="O9" t="s">
        <v>14</v>
      </c>
      <c r="S9" s="28">
        <f>G9-M9</f>
        <v>250</v>
      </c>
      <c r="U9" t="s">
        <v>17</v>
      </c>
      <c r="W9" s="15">
        <v>6.2712000000000004E-2</v>
      </c>
    </row>
    <row r="10" spans="1:23" x14ac:dyDescent="0.2">
      <c r="C10" t="s">
        <v>15</v>
      </c>
      <c r="G10" s="13">
        <v>81.25</v>
      </c>
      <c r="I10" t="s">
        <v>15</v>
      </c>
      <c r="M10" s="13">
        <v>15</v>
      </c>
      <c r="O10" t="s">
        <v>15</v>
      </c>
      <c r="S10" s="28">
        <f>G10-M10</f>
        <v>66.25</v>
      </c>
      <c r="U10" t="s">
        <v>19</v>
      </c>
      <c r="W10" s="15">
        <v>6.5024999999999999E-2</v>
      </c>
    </row>
    <row r="11" spans="1:23" x14ac:dyDescent="0.2">
      <c r="C11" t="s">
        <v>16</v>
      </c>
      <c r="G11" s="13">
        <v>250</v>
      </c>
      <c r="I11" t="s">
        <v>16</v>
      </c>
      <c r="M11" s="13">
        <v>65</v>
      </c>
      <c r="O11" t="s">
        <v>16</v>
      </c>
      <c r="S11" s="28">
        <f>G11-M11</f>
        <v>185</v>
      </c>
      <c r="U11" t="s">
        <v>20</v>
      </c>
      <c r="W11" s="15">
        <v>6.8650000000000003E-2</v>
      </c>
    </row>
    <row r="12" spans="1:23" x14ac:dyDescent="0.2">
      <c r="C12" t="s">
        <v>22</v>
      </c>
      <c r="G12" s="11">
        <v>6</v>
      </c>
      <c r="I12" t="s">
        <v>22</v>
      </c>
      <c r="M12" s="11">
        <v>6</v>
      </c>
    </row>
    <row r="13" spans="1:23" x14ac:dyDescent="0.2">
      <c r="C13" t="s">
        <v>23</v>
      </c>
      <c r="G13" s="14">
        <f>IF(G12=1,W8,IF(G12=3,W9,IF(G12=6,W10,W11)))</f>
        <v>6.5024999999999999E-2</v>
      </c>
      <c r="I13" t="s">
        <v>23</v>
      </c>
      <c r="M13" s="14">
        <f>IF(M12=1,W8,IF(M12=3,W9,IF(M12=6,W10,W11)))</f>
        <v>6.5024999999999999E-2</v>
      </c>
    </row>
    <row r="14" spans="1:23" x14ac:dyDescent="0.2">
      <c r="C14" t="s">
        <v>67</v>
      </c>
      <c r="G14" s="36">
        <f>+(G11/10000)+G13</f>
        <v>9.0024999999999994E-2</v>
      </c>
      <c r="I14" t="s">
        <v>68</v>
      </c>
      <c r="M14" s="14">
        <f>M13+M11/10000</f>
        <v>7.1525000000000005E-2</v>
      </c>
    </row>
    <row r="15" spans="1:23" x14ac:dyDescent="0.2">
      <c r="C15" t="s">
        <v>35</v>
      </c>
      <c r="G15" s="20">
        <v>1</v>
      </c>
      <c r="I15" t="s">
        <v>41</v>
      </c>
      <c r="M15" s="17">
        <v>0.08</v>
      </c>
    </row>
    <row r="16" spans="1:23" x14ac:dyDescent="0.2">
      <c r="C16" t="s">
        <v>54</v>
      </c>
      <c r="G16" s="33">
        <f>1-M17</f>
        <v>1</v>
      </c>
      <c r="I16" t="s">
        <v>42</v>
      </c>
      <c r="M16" s="17">
        <v>0.12</v>
      </c>
    </row>
    <row r="17" spans="2:23" x14ac:dyDescent="0.2">
      <c r="I17" t="s">
        <v>55</v>
      </c>
      <c r="M17" s="34">
        <v>0</v>
      </c>
    </row>
    <row r="18" spans="2:23" x14ac:dyDescent="0.2">
      <c r="C18" t="s">
        <v>80</v>
      </c>
      <c r="G18" s="34">
        <v>0.1</v>
      </c>
      <c r="I18" t="s">
        <v>61</v>
      </c>
      <c r="M18" s="38">
        <v>0.2</v>
      </c>
    </row>
    <row r="20" spans="2:23" x14ac:dyDescent="0.2">
      <c r="C20" s="7" t="s">
        <v>0</v>
      </c>
    </row>
    <row r="21" spans="2:23" x14ac:dyDescent="0.2">
      <c r="C21" s="2" t="s">
        <v>2</v>
      </c>
      <c r="D21">
        <v>2001</v>
      </c>
      <c r="E21">
        <v>2001</v>
      </c>
      <c r="F21">
        <v>2001</v>
      </c>
      <c r="G21">
        <v>2001</v>
      </c>
      <c r="H21">
        <v>2001</v>
      </c>
      <c r="I21">
        <v>2001</v>
      </c>
      <c r="J21">
        <v>2002</v>
      </c>
      <c r="K21">
        <v>2002</v>
      </c>
      <c r="L21">
        <v>2002</v>
      </c>
      <c r="M21">
        <v>2002</v>
      </c>
      <c r="N21">
        <v>2002</v>
      </c>
      <c r="O21">
        <v>2002</v>
      </c>
      <c r="P21">
        <v>2002</v>
      </c>
      <c r="Q21">
        <v>2002</v>
      </c>
      <c r="R21">
        <v>2003</v>
      </c>
      <c r="S21">
        <v>2003</v>
      </c>
      <c r="T21">
        <v>2003</v>
      </c>
      <c r="U21">
        <v>2003</v>
      </c>
      <c r="V21">
        <v>2003</v>
      </c>
      <c r="W21">
        <v>2003</v>
      </c>
    </row>
    <row r="22" spans="2:23" x14ac:dyDescent="0.2">
      <c r="C22" s="2" t="s">
        <v>1</v>
      </c>
      <c r="D22">
        <v>4</v>
      </c>
      <c r="E22">
        <v>4</v>
      </c>
      <c r="F22">
        <v>8</v>
      </c>
      <c r="G22">
        <v>8</v>
      </c>
      <c r="H22">
        <v>10</v>
      </c>
      <c r="I22">
        <v>10</v>
      </c>
      <c r="J22">
        <v>1</v>
      </c>
      <c r="K22">
        <v>1</v>
      </c>
      <c r="L22">
        <v>1</v>
      </c>
      <c r="M22">
        <v>1</v>
      </c>
      <c r="N22">
        <v>4</v>
      </c>
      <c r="O22">
        <v>4</v>
      </c>
      <c r="P22">
        <v>11</v>
      </c>
      <c r="Q22">
        <v>11</v>
      </c>
      <c r="R22">
        <v>1</v>
      </c>
      <c r="S22">
        <v>1</v>
      </c>
      <c r="T22">
        <v>2</v>
      </c>
      <c r="U22">
        <v>2</v>
      </c>
      <c r="V22">
        <v>5</v>
      </c>
      <c r="W22">
        <v>5</v>
      </c>
    </row>
    <row r="23" spans="2:23" x14ac:dyDescent="0.2">
      <c r="C23" s="2"/>
      <c r="D23" s="1">
        <v>36982</v>
      </c>
      <c r="E23" s="1">
        <v>36982</v>
      </c>
      <c r="F23" s="1">
        <v>37104</v>
      </c>
      <c r="G23" s="1">
        <v>37104</v>
      </c>
      <c r="H23" s="1">
        <v>37165</v>
      </c>
      <c r="I23" s="1">
        <v>37165</v>
      </c>
      <c r="J23" s="1">
        <v>37288</v>
      </c>
      <c r="K23" s="1">
        <v>37288</v>
      </c>
      <c r="L23" s="1">
        <v>37288</v>
      </c>
      <c r="M23" s="1">
        <v>37288</v>
      </c>
      <c r="N23" s="1">
        <v>37347</v>
      </c>
      <c r="O23" s="1">
        <v>37347</v>
      </c>
      <c r="P23" s="1">
        <v>37561</v>
      </c>
      <c r="Q23" s="1">
        <v>37561</v>
      </c>
      <c r="R23" s="1">
        <v>37622</v>
      </c>
      <c r="S23" s="1">
        <v>37622</v>
      </c>
      <c r="T23" s="1">
        <v>37653</v>
      </c>
      <c r="U23" s="1">
        <v>37653</v>
      </c>
      <c r="V23" s="1">
        <v>37712</v>
      </c>
      <c r="W23" s="1">
        <v>37712</v>
      </c>
    </row>
    <row r="24" spans="2:23" x14ac:dyDescent="0.2">
      <c r="B24" t="s">
        <v>31</v>
      </c>
      <c r="C24" s="2"/>
      <c r="D24" s="12">
        <v>1</v>
      </c>
      <c r="E24" s="12">
        <v>1</v>
      </c>
      <c r="F24" s="12">
        <v>1</v>
      </c>
      <c r="G24" s="12">
        <v>1</v>
      </c>
      <c r="H24" s="12">
        <v>1</v>
      </c>
      <c r="I24" s="12">
        <v>1</v>
      </c>
      <c r="J24" s="12">
        <v>1</v>
      </c>
      <c r="K24" s="12">
        <v>1</v>
      </c>
      <c r="L24" s="12">
        <v>1</v>
      </c>
      <c r="M24" s="12">
        <v>1</v>
      </c>
      <c r="N24" s="12">
        <v>1</v>
      </c>
      <c r="O24" s="12">
        <v>1</v>
      </c>
      <c r="P24" s="12">
        <v>1</v>
      </c>
      <c r="Q24" s="12">
        <v>1</v>
      </c>
      <c r="R24" s="12">
        <v>1</v>
      </c>
      <c r="S24" s="12">
        <v>1</v>
      </c>
      <c r="T24" s="12">
        <v>1</v>
      </c>
      <c r="U24" s="12">
        <v>1</v>
      </c>
      <c r="V24" s="12">
        <v>1</v>
      </c>
      <c r="W24" s="12">
        <v>1</v>
      </c>
    </row>
    <row r="25" spans="2:23" x14ac:dyDescent="0.2">
      <c r="C25" s="2"/>
    </row>
    <row r="26" spans="2:23" x14ac:dyDescent="0.2">
      <c r="B26" s="7" t="s">
        <v>3</v>
      </c>
    </row>
    <row r="27" spans="2:23" x14ac:dyDescent="0.2">
      <c r="B27" s="1">
        <v>36008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</row>
    <row r="28" spans="2:23" x14ac:dyDescent="0.2">
      <c r="B28" s="1">
        <v>36039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</row>
    <row r="29" spans="2:23" x14ac:dyDescent="0.2">
      <c r="B29" s="1">
        <v>36069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</row>
    <row r="30" spans="2:23" x14ac:dyDescent="0.2">
      <c r="B30" s="1">
        <v>36100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</row>
    <row r="31" spans="2:23" x14ac:dyDescent="0.2">
      <c r="B31" s="1">
        <v>36130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</row>
    <row r="32" spans="2:23" x14ac:dyDescent="0.2">
      <c r="B32" s="1">
        <v>36161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</row>
    <row r="33" spans="2:23" x14ac:dyDescent="0.2">
      <c r="B33" s="1">
        <v>36192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</row>
    <row r="34" spans="2:23" x14ac:dyDescent="0.2">
      <c r="B34" s="1">
        <v>36220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</row>
    <row r="35" spans="2:23" x14ac:dyDescent="0.2">
      <c r="B35" s="1">
        <v>36251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</row>
    <row r="36" spans="2:23" x14ac:dyDescent="0.2">
      <c r="B36" s="1">
        <v>36281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</row>
    <row r="37" spans="2:23" x14ac:dyDescent="0.2">
      <c r="B37" s="1">
        <v>36312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</row>
    <row r="38" spans="2:23" x14ac:dyDescent="0.2">
      <c r="B38" s="1">
        <v>36342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</row>
    <row r="39" spans="2:23" x14ac:dyDescent="0.2">
      <c r="B39" s="1">
        <v>36373</v>
      </c>
      <c r="D39" s="4">
        <v>1688</v>
      </c>
      <c r="E39" s="4">
        <v>1688</v>
      </c>
      <c r="F39" s="4">
        <v>1691</v>
      </c>
      <c r="G39" s="4">
        <v>1691</v>
      </c>
      <c r="H39" s="4">
        <v>1691</v>
      </c>
      <c r="I39" s="4">
        <v>1691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</row>
    <row r="40" spans="2:23" x14ac:dyDescent="0.2">
      <c r="B40" s="1">
        <v>36404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</row>
    <row r="41" spans="2:23" x14ac:dyDescent="0.2">
      <c r="B41" s="1">
        <v>36434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</row>
    <row r="42" spans="2:23" x14ac:dyDescent="0.2">
      <c r="B42" s="1">
        <v>36465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1737</v>
      </c>
      <c r="K42" s="4">
        <v>1737</v>
      </c>
      <c r="L42" s="4">
        <v>1737</v>
      </c>
      <c r="M42" s="4">
        <v>1737</v>
      </c>
      <c r="N42" s="4">
        <v>1725</v>
      </c>
      <c r="O42" s="4">
        <v>1725</v>
      </c>
      <c r="P42" s="4">
        <v>1725</v>
      </c>
      <c r="Q42" s="4">
        <v>1725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</row>
    <row r="43" spans="2:23" x14ac:dyDescent="0.2">
      <c r="B43" s="1">
        <v>36495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/>
      <c r="K43" s="4"/>
      <c r="L43" s="4"/>
      <c r="M43" s="4"/>
      <c r="N43" s="4"/>
      <c r="O43" s="4"/>
      <c r="P43" s="4"/>
      <c r="Q43" s="4"/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</row>
    <row r="44" spans="2:23" x14ac:dyDescent="0.2">
      <c r="B44" s="1">
        <v>36526</v>
      </c>
      <c r="D44" s="4">
        <v>1688</v>
      </c>
      <c r="E44" s="4">
        <v>1688</v>
      </c>
      <c r="F44" s="4">
        <v>0</v>
      </c>
      <c r="G44" s="4">
        <v>0</v>
      </c>
      <c r="H44" s="4">
        <v>0</v>
      </c>
      <c r="I44" s="4">
        <v>0</v>
      </c>
      <c r="J44" s="4">
        <v>868</v>
      </c>
      <c r="K44" s="4">
        <v>868</v>
      </c>
      <c r="L44" s="4">
        <v>868</v>
      </c>
      <c r="M44" s="4">
        <v>868</v>
      </c>
      <c r="N44" s="4">
        <v>863</v>
      </c>
      <c r="O44" s="4">
        <v>863</v>
      </c>
      <c r="P44" s="4">
        <v>863</v>
      </c>
      <c r="Q44" s="4">
        <v>863</v>
      </c>
      <c r="R44" s="4">
        <v>1800</v>
      </c>
      <c r="S44" s="4">
        <v>1800</v>
      </c>
      <c r="T44" s="4">
        <v>1800</v>
      </c>
      <c r="U44" s="4">
        <v>1800</v>
      </c>
      <c r="V44" s="4">
        <v>1785</v>
      </c>
      <c r="W44" s="4">
        <v>1785</v>
      </c>
    </row>
    <row r="45" spans="2:23" x14ac:dyDescent="0.2">
      <c r="B45" s="1">
        <v>36557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</row>
    <row r="46" spans="2:23" x14ac:dyDescent="0.2">
      <c r="B46" s="3" t="s">
        <v>4</v>
      </c>
      <c r="C46" s="3"/>
      <c r="D46" s="5">
        <f>SUM(D27:D45)</f>
        <v>3376</v>
      </c>
      <c r="E46" s="5">
        <f t="shared" ref="E46:W46" si="0">SUM(E27:E45)</f>
        <v>3376</v>
      </c>
      <c r="F46" s="5">
        <f t="shared" si="0"/>
        <v>1691</v>
      </c>
      <c r="G46" s="5">
        <f t="shared" si="0"/>
        <v>1691</v>
      </c>
      <c r="H46" s="5">
        <f t="shared" si="0"/>
        <v>1691</v>
      </c>
      <c r="I46" s="5">
        <f t="shared" si="0"/>
        <v>1691</v>
      </c>
      <c r="J46" s="5">
        <f t="shared" si="0"/>
        <v>2605</v>
      </c>
      <c r="K46" s="5">
        <f t="shared" si="0"/>
        <v>2605</v>
      </c>
      <c r="L46" s="5">
        <f t="shared" si="0"/>
        <v>2605</v>
      </c>
      <c r="M46" s="5">
        <f t="shared" si="0"/>
        <v>2605</v>
      </c>
      <c r="N46" s="5">
        <f t="shared" si="0"/>
        <v>2588</v>
      </c>
      <c r="O46" s="5">
        <f t="shared" si="0"/>
        <v>2588</v>
      </c>
      <c r="P46" s="5">
        <f t="shared" si="0"/>
        <v>2588</v>
      </c>
      <c r="Q46" s="5">
        <f t="shared" si="0"/>
        <v>2588</v>
      </c>
      <c r="R46" s="5">
        <f t="shared" si="0"/>
        <v>1800</v>
      </c>
      <c r="S46" s="5">
        <f t="shared" si="0"/>
        <v>1800</v>
      </c>
      <c r="T46" s="5">
        <f t="shared" si="0"/>
        <v>1800</v>
      </c>
      <c r="U46" s="5">
        <f t="shared" si="0"/>
        <v>1800</v>
      </c>
      <c r="V46" s="5">
        <f t="shared" si="0"/>
        <v>1785</v>
      </c>
      <c r="W46" s="5">
        <f t="shared" si="0"/>
        <v>1785</v>
      </c>
    </row>
    <row r="48" spans="2:23" x14ac:dyDescent="0.2">
      <c r="B48" t="s">
        <v>5</v>
      </c>
      <c r="F48" s="6">
        <f>SUM(D46:W46)</f>
        <v>45058</v>
      </c>
    </row>
    <row r="50" spans="1:23" x14ac:dyDescent="0.2">
      <c r="A50" t="s">
        <v>65</v>
      </c>
    </row>
    <row r="51" spans="1:23" x14ac:dyDescent="0.2">
      <c r="A51">
        <v>1</v>
      </c>
      <c r="B51" s="1">
        <v>36586</v>
      </c>
      <c r="D51" s="4">
        <f>1688*$D$24</f>
        <v>1688</v>
      </c>
      <c r="E51" s="4">
        <f>0*$E$24</f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</row>
    <row r="52" spans="1:23" x14ac:dyDescent="0.2">
      <c r="A52">
        <v>2</v>
      </c>
      <c r="B52" s="1">
        <v>36617</v>
      </c>
      <c r="D52" s="4">
        <f>1857*$D$24</f>
        <v>1857</v>
      </c>
      <c r="E52" s="4">
        <f>1383*$E$24</f>
        <v>1383</v>
      </c>
      <c r="F52" s="4">
        <v>0</v>
      </c>
      <c r="G52" s="4">
        <v>0</v>
      </c>
      <c r="H52" s="4">
        <v>0</v>
      </c>
      <c r="I52" s="4">
        <v>0</v>
      </c>
      <c r="J52" s="4">
        <f>868*J$24</f>
        <v>868</v>
      </c>
      <c r="K52" s="4">
        <f>868*K$24</f>
        <v>868</v>
      </c>
      <c r="L52" s="4">
        <f>868*L$24</f>
        <v>868</v>
      </c>
      <c r="M52" s="4">
        <f>868*M$24</f>
        <v>868</v>
      </c>
      <c r="N52" s="4">
        <f>863*N$24</f>
        <v>863</v>
      </c>
      <c r="O52" s="4">
        <f>863*O$24</f>
        <v>863</v>
      </c>
      <c r="P52" s="4">
        <f>863*P$24</f>
        <v>863</v>
      </c>
      <c r="Q52" s="4">
        <f>863*Q$24</f>
        <v>863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</row>
    <row r="53" spans="1:23" x14ac:dyDescent="0.2">
      <c r="A53">
        <v>3</v>
      </c>
      <c r="B53" s="1">
        <v>36647</v>
      </c>
      <c r="D53" s="4">
        <f t="shared" ref="D53:D62" si="1">1857*$D$24</f>
        <v>1857</v>
      </c>
      <c r="E53" s="4">
        <f>1745*$E$24</f>
        <v>1745</v>
      </c>
      <c r="F53" s="4">
        <f>1691*F$24</f>
        <v>1691</v>
      </c>
      <c r="G53" s="4">
        <f>1691*G$24</f>
        <v>1691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f>900*R$24</f>
        <v>900</v>
      </c>
      <c r="S53" s="4">
        <f>900*S$24</f>
        <v>900</v>
      </c>
      <c r="T53" s="4">
        <f>900*T$24</f>
        <v>900</v>
      </c>
      <c r="U53" s="4">
        <f>900*U$24</f>
        <v>900</v>
      </c>
      <c r="V53" s="4">
        <f>893*V$24</f>
        <v>893</v>
      </c>
      <c r="W53" s="4">
        <f>893*W$24</f>
        <v>893</v>
      </c>
    </row>
    <row r="54" spans="1:23" x14ac:dyDescent="0.2">
      <c r="A54">
        <v>4</v>
      </c>
      <c r="B54" s="1">
        <v>36678</v>
      </c>
      <c r="D54" s="4">
        <f t="shared" si="1"/>
        <v>1857</v>
      </c>
      <c r="E54" s="4">
        <f t="shared" ref="E54:E62" si="2">1745*$E$24</f>
        <v>1745</v>
      </c>
      <c r="F54" s="4">
        <v>0</v>
      </c>
      <c r="G54" s="4">
        <v>0</v>
      </c>
      <c r="H54" s="4">
        <f>1691*H$24</f>
        <v>1691</v>
      </c>
      <c r="I54" s="4">
        <f>1691*I$24</f>
        <v>1691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</row>
    <row r="55" spans="1:23" x14ac:dyDescent="0.2">
      <c r="A55">
        <v>5</v>
      </c>
      <c r="B55" s="1">
        <v>36708</v>
      </c>
      <c r="D55" s="4">
        <f t="shared" si="1"/>
        <v>1857</v>
      </c>
      <c r="E55" s="4">
        <f t="shared" si="2"/>
        <v>1745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</row>
    <row r="56" spans="1:23" x14ac:dyDescent="0.2">
      <c r="A56">
        <v>6</v>
      </c>
      <c r="B56" s="1">
        <v>36739</v>
      </c>
      <c r="D56" s="4">
        <f t="shared" si="1"/>
        <v>1857</v>
      </c>
      <c r="E56" s="4">
        <f t="shared" si="2"/>
        <v>1745</v>
      </c>
      <c r="F56" s="4">
        <f>1691*F$24</f>
        <v>1691</v>
      </c>
      <c r="G56" s="4">
        <f>1691*G$24</f>
        <v>1691</v>
      </c>
      <c r="H56" s="4">
        <v>0</v>
      </c>
      <c r="I56" s="4">
        <v>0</v>
      </c>
      <c r="J56" s="4">
        <f>1216*J$24</f>
        <v>1216</v>
      </c>
      <c r="K56" s="4">
        <f t="shared" ref="K56:M71" si="3">1216*K$24</f>
        <v>1216</v>
      </c>
      <c r="L56" s="4">
        <f t="shared" si="3"/>
        <v>1216</v>
      </c>
      <c r="M56" s="4">
        <f t="shared" si="3"/>
        <v>1216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</row>
    <row r="57" spans="1:23" x14ac:dyDescent="0.2">
      <c r="A57">
        <v>7</v>
      </c>
      <c r="B57" s="1">
        <v>36770</v>
      </c>
      <c r="D57" s="4">
        <f t="shared" si="1"/>
        <v>1857</v>
      </c>
      <c r="E57" s="4">
        <f t="shared" si="2"/>
        <v>1745</v>
      </c>
      <c r="F57" s="4">
        <f>1860*F$24</f>
        <v>1860</v>
      </c>
      <c r="G57" s="4">
        <f>1860*G$24</f>
        <v>1860</v>
      </c>
      <c r="H57" s="4">
        <v>0</v>
      </c>
      <c r="I57" s="4">
        <v>0</v>
      </c>
      <c r="J57" s="4">
        <f t="shared" ref="J57:J71" si="4">1216*J$24</f>
        <v>1216</v>
      </c>
      <c r="K57" s="4">
        <f t="shared" si="3"/>
        <v>1216</v>
      </c>
      <c r="L57" s="4">
        <f t="shared" si="3"/>
        <v>1216</v>
      </c>
      <c r="M57" s="4">
        <f t="shared" si="3"/>
        <v>1216</v>
      </c>
      <c r="N57" s="4">
        <v>0</v>
      </c>
      <c r="O57" s="4">
        <v>0</v>
      </c>
      <c r="P57" s="4">
        <v>0</v>
      </c>
      <c r="Q57" s="4">
        <v>0</v>
      </c>
      <c r="R57" s="4">
        <f>900*R$24</f>
        <v>900</v>
      </c>
      <c r="S57" s="4">
        <f>900*S$24</f>
        <v>900</v>
      </c>
      <c r="T57" s="4">
        <f>900*T$24</f>
        <v>900</v>
      </c>
      <c r="U57" s="4">
        <f>900*U$24</f>
        <v>900</v>
      </c>
      <c r="V57" s="4">
        <f>893*V$24</f>
        <v>893</v>
      </c>
      <c r="W57" s="4">
        <f>893*W$24</f>
        <v>893</v>
      </c>
    </row>
    <row r="58" spans="1:23" x14ac:dyDescent="0.2">
      <c r="A58">
        <v>8</v>
      </c>
      <c r="B58" s="1">
        <v>36800</v>
      </c>
      <c r="D58" s="4">
        <f t="shared" si="1"/>
        <v>1857</v>
      </c>
      <c r="E58" s="4">
        <f t="shared" si="2"/>
        <v>1745</v>
      </c>
      <c r="F58" s="4">
        <f t="shared" ref="F58:I68" si="5">1860*F$24</f>
        <v>1860</v>
      </c>
      <c r="G58" s="4">
        <f t="shared" si="5"/>
        <v>1860</v>
      </c>
      <c r="H58" s="4">
        <f>1691*H$24</f>
        <v>1691</v>
      </c>
      <c r="I58" s="4">
        <f>1691*I$24</f>
        <v>1691</v>
      </c>
      <c r="J58" s="4">
        <f t="shared" si="4"/>
        <v>1216</v>
      </c>
      <c r="K58" s="4">
        <f t="shared" si="3"/>
        <v>1216</v>
      </c>
      <c r="L58" s="4">
        <f t="shared" si="3"/>
        <v>1216</v>
      </c>
      <c r="M58" s="4">
        <f t="shared" si="3"/>
        <v>1216</v>
      </c>
      <c r="N58" s="4">
        <f>1208*N$24</f>
        <v>1208</v>
      </c>
      <c r="O58" s="4">
        <f>1208*O$24</f>
        <v>1208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</row>
    <row r="59" spans="1:23" x14ac:dyDescent="0.2">
      <c r="A59">
        <v>9</v>
      </c>
      <c r="B59" s="1">
        <v>36831</v>
      </c>
      <c r="D59" s="4">
        <f t="shared" si="1"/>
        <v>1857</v>
      </c>
      <c r="E59" s="4">
        <f t="shared" si="2"/>
        <v>1745</v>
      </c>
      <c r="F59" s="4">
        <f t="shared" si="5"/>
        <v>1860</v>
      </c>
      <c r="G59" s="4">
        <f t="shared" si="5"/>
        <v>1860</v>
      </c>
      <c r="H59" s="4">
        <f t="shared" si="5"/>
        <v>1860</v>
      </c>
      <c r="I59" s="4">
        <f t="shared" si="5"/>
        <v>1860</v>
      </c>
      <c r="J59" s="4">
        <f t="shared" si="4"/>
        <v>1216</v>
      </c>
      <c r="K59" s="4">
        <f t="shared" si="3"/>
        <v>1216</v>
      </c>
      <c r="L59" s="4">
        <f t="shared" si="3"/>
        <v>1216</v>
      </c>
      <c r="M59" s="4">
        <f t="shared" si="3"/>
        <v>1216</v>
      </c>
      <c r="N59" s="4">
        <f t="shared" ref="N59:Q74" si="6">1208*N$24</f>
        <v>1208</v>
      </c>
      <c r="O59" s="4">
        <f t="shared" si="6"/>
        <v>1208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</row>
    <row r="60" spans="1:23" x14ac:dyDescent="0.2">
      <c r="A60">
        <v>10</v>
      </c>
      <c r="B60" s="1">
        <v>36861</v>
      </c>
      <c r="D60" s="4">
        <f t="shared" si="1"/>
        <v>1857</v>
      </c>
      <c r="E60" s="4">
        <f t="shared" si="2"/>
        <v>1745</v>
      </c>
      <c r="F60" s="4">
        <f t="shared" si="5"/>
        <v>1860</v>
      </c>
      <c r="G60" s="4">
        <f t="shared" si="5"/>
        <v>1860</v>
      </c>
      <c r="H60" s="4">
        <f t="shared" si="5"/>
        <v>1860</v>
      </c>
      <c r="I60" s="4">
        <f t="shared" si="5"/>
        <v>1860</v>
      </c>
      <c r="J60" s="4">
        <f t="shared" si="4"/>
        <v>1216</v>
      </c>
      <c r="K60" s="4">
        <f t="shared" si="3"/>
        <v>1216</v>
      </c>
      <c r="L60" s="4">
        <f t="shared" si="3"/>
        <v>1216</v>
      </c>
      <c r="M60" s="4">
        <f t="shared" si="3"/>
        <v>1216</v>
      </c>
      <c r="N60" s="4">
        <f t="shared" si="6"/>
        <v>1208</v>
      </c>
      <c r="O60" s="4">
        <f t="shared" si="6"/>
        <v>1208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</row>
    <row r="61" spans="1:23" x14ac:dyDescent="0.2">
      <c r="A61">
        <v>11</v>
      </c>
      <c r="B61" s="1">
        <v>36892</v>
      </c>
      <c r="D61" s="4">
        <f t="shared" si="1"/>
        <v>1857</v>
      </c>
      <c r="E61" s="4">
        <f t="shared" si="2"/>
        <v>1745</v>
      </c>
      <c r="F61" s="4">
        <f t="shared" si="5"/>
        <v>1860</v>
      </c>
      <c r="G61" s="4">
        <f t="shared" si="5"/>
        <v>1860</v>
      </c>
      <c r="H61" s="4">
        <f t="shared" si="5"/>
        <v>1860</v>
      </c>
      <c r="I61" s="4">
        <f t="shared" si="5"/>
        <v>1860</v>
      </c>
      <c r="J61" s="4">
        <f t="shared" si="4"/>
        <v>1216</v>
      </c>
      <c r="K61" s="4">
        <f t="shared" si="3"/>
        <v>1216</v>
      </c>
      <c r="L61" s="4">
        <f t="shared" si="3"/>
        <v>1216</v>
      </c>
      <c r="M61" s="4">
        <f t="shared" si="3"/>
        <v>1216</v>
      </c>
      <c r="N61" s="4">
        <f t="shared" si="6"/>
        <v>1208</v>
      </c>
      <c r="O61" s="4">
        <f t="shared" si="6"/>
        <v>1208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</row>
    <row r="62" spans="1:23" x14ac:dyDescent="0.2">
      <c r="A62">
        <v>12</v>
      </c>
      <c r="B62" s="1">
        <v>36923</v>
      </c>
      <c r="D62" s="4">
        <f t="shared" si="1"/>
        <v>1857</v>
      </c>
      <c r="E62" s="4">
        <f t="shared" si="2"/>
        <v>1745</v>
      </c>
      <c r="F62" s="4">
        <f t="shared" si="5"/>
        <v>1860</v>
      </c>
      <c r="G62" s="4">
        <f t="shared" si="5"/>
        <v>1860</v>
      </c>
      <c r="H62" s="4">
        <f t="shared" si="5"/>
        <v>1860</v>
      </c>
      <c r="I62" s="4">
        <f t="shared" si="5"/>
        <v>1860</v>
      </c>
      <c r="J62" s="4">
        <f t="shared" si="4"/>
        <v>1216</v>
      </c>
      <c r="K62" s="4">
        <f t="shared" si="3"/>
        <v>1216</v>
      </c>
      <c r="L62" s="4">
        <f t="shared" si="3"/>
        <v>1216</v>
      </c>
      <c r="M62" s="4">
        <f t="shared" si="3"/>
        <v>1216</v>
      </c>
      <c r="N62" s="4">
        <f t="shared" si="6"/>
        <v>1208</v>
      </c>
      <c r="O62" s="4">
        <f t="shared" si="6"/>
        <v>1208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</row>
    <row r="63" spans="1:23" x14ac:dyDescent="0.2">
      <c r="A63">
        <v>13</v>
      </c>
      <c r="B63" s="1">
        <v>36951</v>
      </c>
      <c r="D63" s="4">
        <f>8440*$D$24</f>
        <v>8440</v>
      </c>
      <c r="E63" s="4">
        <f>7932*$E$24</f>
        <v>7932</v>
      </c>
      <c r="F63" s="4">
        <f t="shared" si="5"/>
        <v>1860</v>
      </c>
      <c r="G63" s="4">
        <f t="shared" si="5"/>
        <v>1860</v>
      </c>
      <c r="H63" s="4">
        <f t="shared" si="5"/>
        <v>1860</v>
      </c>
      <c r="I63" s="4">
        <f t="shared" si="5"/>
        <v>1860</v>
      </c>
      <c r="J63" s="4">
        <f t="shared" si="4"/>
        <v>1216</v>
      </c>
      <c r="K63" s="4">
        <f t="shared" si="3"/>
        <v>1216</v>
      </c>
      <c r="L63" s="4">
        <f t="shared" si="3"/>
        <v>1216</v>
      </c>
      <c r="M63" s="4">
        <f t="shared" si="3"/>
        <v>1216</v>
      </c>
      <c r="N63" s="4">
        <f t="shared" si="6"/>
        <v>1208</v>
      </c>
      <c r="O63" s="4">
        <f t="shared" si="6"/>
        <v>1208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</row>
    <row r="64" spans="1:23" x14ac:dyDescent="0.2">
      <c r="A64">
        <v>14</v>
      </c>
      <c r="B64" s="1">
        <v>36982</v>
      </c>
      <c r="D64" s="8">
        <f>1688*$D$24</f>
        <v>1688</v>
      </c>
      <c r="E64" s="8">
        <f>1586*$E$24</f>
        <v>1586</v>
      </c>
      <c r="F64" s="4">
        <f t="shared" si="5"/>
        <v>1860</v>
      </c>
      <c r="G64" s="4">
        <f t="shared" si="5"/>
        <v>1860</v>
      </c>
      <c r="H64" s="4">
        <f t="shared" si="5"/>
        <v>1860</v>
      </c>
      <c r="I64" s="4">
        <f t="shared" si="5"/>
        <v>1860</v>
      </c>
      <c r="J64" s="4">
        <f t="shared" si="4"/>
        <v>1216</v>
      </c>
      <c r="K64" s="4">
        <f t="shared" si="3"/>
        <v>1216</v>
      </c>
      <c r="L64" s="4">
        <f t="shared" si="3"/>
        <v>1216</v>
      </c>
      <c r="M64" s="4">
        <f t="shared" si="3"/>
        <v>1216</v>
      </c>
      <c r="N64" s="4">
        <f t="shared" si="6"/>
        <v>1208</v>
      </c>
      <c r="O64" s="4">
        <f t="shared" si="6"/>
        <v>1208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</row>
    <row r="65" spans="1:23" x14ac:dyDescent="0.2">
      <c r="A65">
        <v>15</v>
      </c>
      <c r="B65" s="1">
        <v>37012</v>
      </c>
      <c r="D65" s="4">
        <v>0</v>
      </c>
      <c r="E65" s="4">
        <v>0</v>
      </c>
      <c r="F65" s="4">
        <f t="shared" si="5"/>
        <v>1860</v>
      </c>
      <c r="G65" s="4">
        <f t="shared" si="5"/>
        <v>1860</v>
      </c>
      <c r="H65" s="4">
        <f t="shared" si="5"/>
        <v>1860</v>
      </c>
      <c r="I65" s="4">
        <f t="shared" si="5"/>
        <v>1860</v>
      </c>
      <c r="J65" s="4">
        <f t="shared" si="4"/>
        <v>1216</v>
      </c>
      <c r="K65" s="4">
        <f t="shared" si="3"/>
        <v>1216</v>
      </c>
      <c r="L65" s="4">
        <f t="shared" si="3"/>
        <v>1216</v>
      </c>
      <c r="M65" s="4">
        <f t="shared" si="3"/>
        <v>1216</v>
      </c>
      <c r="N65" s="4">
        <f t="shared" si="6"/>
        <v>1208</v>
      </c>
      <c r="O65" s="4">
        <f t="shared" si="6"/>
        <v>1208</v>
      </c>
      <c r="P65" s="4">
        <f t="shared" si="6"/>
        <v>1208</v>
      </c>
      <c r="Q65" s="4">
        <f t="shared" si="6"/>
        <v>1208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</row>
    <row r="66" spans="1:23" x14ac:dyDescent="0.2">
      <c r="A66">
        <v>16</v>
      </c>
      <c r="B66" s="1">
        <v>37043</v>
      </c>
      <c r="D66" s="4">
        <v>0</v>
      </c>
      <c r="E66" s="4">
        <v>0</v>
      </c>
      <c r="F66" s="4">
        <f t="shared" si="5"/>
        <v>1860</v>
      </c>
      <c r="G66" s="4">
        <f t="shared" si="5"/>
        <v>1860</v>
      </c>
      <c r="H66" s="4">
        <f t="shared" si="5"/>
        <v>1860</v>
      </c>
      <c r="I66" s="4">
        <f t="shared" si="5"/>
        <v>1860</v>
      </c>
      <c r="J66" s="4">
        <f t="shared" si="4"/>
        <v>1216</v>
      </c>
      <c r="K66" s="4">
        <f t="shared" si="3"/>
        <v>1216</v>
      </c>
      <c r="L66" s="4">
        <f t="shared" si="3"/>
        <v>1216</v>
      </c>
      <c r="M66" s="4">
        <f t="shared" si="3"/>
        <v>1216</v>
      </c>
      <c r="N66" s="4">
        <f t="shared" si="6"/>
        <v>1208</v>
      </c>
      <c r="O66" s="4">
        <f t="shared" si="6"/>
        <v>1208</v>
      </c>
      <c r="P66" s="4">
        <f t="shared" si="6"/>
        <v>1208</v>
      </c>
      <c r="Q66" s="4">
        <f t="shared" si="6"/>
        <v>1208</v>
      </c>
      <c r="R66" s="4">
        <v>0</v>
      </c>
      <c r="S66" s="4">
        <v>0</v>
      </c>
      <c r="T66" s="4">
        <f>630*T$24</f>
        <v>630</v>
      </c>
      <c r="U66" s="4">
        <f>630*U$24</f>
        <v>630</v>
      </c>
      <c r="V66" s="4">
        <v>0</v>
      </c>
      <c r="W66" s="4">
        <v>0</v>
      </c>
    </row>
    <row r="67" spans="1:23" x14ac:dyDescent="0.2">
      <c r="A67">
        <v>17</v>
      </c>
      <c r="B67" s="1">
        <v>37073</v>
      </c>
      <c r="D67" s="4">
        <v>0</v>
      </c>
      <c r="E67" s="4">
        <v>0</v>
      </c>
      <c r="F67" s="4">
        <f>8454*F$24</f>
        <v>8454</v>
      </c>
      <c r="G67" s="4">
        <f>8454*G$24</f>
        <v>8454</v>
      </c>
      <c r="H67" s="4">
        <f t="shared" si="5"/>
        <v>1860</v>
      </c>
      <c r="I67" s="4">
        <f t="shared" si="5"/>
        <v>1860</v>
      </c>
      <c r="J67" s="4">
        <f t="shared" si="4"/>
        <v>1216</v>
      </c>
      <c r="K67" s="4">
        <f t="shared" si="3"/>
        <v>1216</v>
      </c>
      <c r="L67" s="4">
        <f t="shared" si="3"/>
        <v>1216</v>
      </c>
      <c r="M67" s="4">
        <f t="shared" si="3"/>
        <v>1216</v>
      </c>
      <c r="N67" s="4">
        <f t="shared" si="6"/>
        <v>1208</v>
      </c>
      <c r="O67" s="4">
        <f t="shared" si="6"/>
        <v>1208</v>
      </c>
      <c r="P67" s="4">
        <f t="shared" si="6"/>
        <v>1208</v>
      </c>
      <c r="Q67" s="4">
        <f t="shared" si="6"/>
        <v>1208</v>
      </c>
      <c r="R67" s="4">
        <f>1260*R$24</f>
        <v>1260</v>
      </c>
      <c r="S67" s="4">
        <f t="shared" ref="S67:U82" si="7">1260*S$24</f>
        <v>1260</v>
      </c>
      <c r="T67" s="4">
        <f t="shared" si="7"/>
        <v>1260</v>
      </c>
      <c r="U67" s="4">
        <f t="shared" si="7"/>
        <v>1260</v>
      </c>
      <c r="V67" s="4">
        <v>0</v>
      </c>
      <c r="W67" s="4">
        <v>0</v>
      </c>
    </row>
    <row r="68" spans="1:23" x14ac:dyDescent="0.2">
      <c r="A68">
        <v>18</v>
      </c>
      <c r="B68" s="1">
        <v>37104</v>
      </c>
      <c r="D68" s="4">
        <v>0</v>
      </c>
      <c r="E68" s="4">
        <v>0</v>
      </c>
      <c r="F68" s="8">
        <f>1691*F$24</f>
        <v>1691</v>
      </c>
      <c r="G68" s="8">
        <f>1691*G$24</f>
        <v>1691</v>
      </c>
      <c r="H68" s="4">
        <f t="shared" si="5"/>
        <v>1860</v>
      </c>
      <c r="I68" s="4">
        <f t="shared" si="5"/>
        <v>1860</v>
      </c>
      <c r="J68" s="4">
        <f t="shared" si="4"/>
        <v>1216</v>
      </c>
      <c r="K68" s="4">
        <f t="shared" si="3"/>
        <v>1216</v>
      </c>
      <c r="L68" s="4">
        <f t="shared" si="3"/>
        <v>1216</v>
      </c>
      <c r="M68" s="4">
        <f t="shared" si="3"/>
        <v>1216</v>
      </c>
      <c r="N68" s="4">
        <f t="shared" si="6"/>
        <v>1208</v>
      </c>
      <c r="O68" s="4">
        <f t="shared" si="6"/>
        <v>1208</v>
      </c>
      <c r="P68" s="4">
        <f t="shared" si="6"/>
        <v>1208</v>
      </c>
      <c r="Q68" s="4">
        <f t="shared" si="6"/>
        <v>1208</v>
      </c>
      <c r="R68" s="4">
        <f t="shared" ref="R68:R82" si="8">1260*R$24</f>
        <v>1260</v>
      </c>
      <c r="S68" s="4">
        <f t="shared" si="7"/>
        <v>1260</v>
      </c>
      <c r="T68" s="4">
        <f t="shared" si="7"/>
        <v>1260</v>
      </c>
      <c r="U68" s="4">
        <f t="shared" si="7"/>
        <v>1260</v>
      </c>
      <c r="V68" s="4">
        <v>0</v>
      </c>
      <c r="W68" s="4">
        <v>0</v>
      </c>
    </row>
    <row r="69" spans="1:23" x14ac:dyDescent="0.2">
      <c r="A69">
        <v>19</v>
      </c>
      <c r="B69" s="1">
        <v>37135</v>
      </c>
      <c r="D69" s="4">
        <v>0</v>
      </c>
      <c r="E69" s="4">
        <v>0</v>
      </c>
      <c r="F69" s="4">
        <v>0</v>
      </c>
      <c r="G69" s="4">
        <v>0</v>
      </c>
      <c r="H69" s="4">
        <f>8454*H$24</f>
        <v>8454</v>
      </c>
      <c r="I69" s="4">
        <f>8454*I$24</f>
        <v>8454</v>
      </c>
      <c r="J69" s="4">
        <f t="shared" si="4"/>
        <v>1216</v>
      </c>
      <c r="K69" s="4">
        <f t="shared" si="3"/>
        <v>1216</v>
      </c>
      <c r="L69" s="4">
        <f t="shared" si="3"/>
        <v>1216</v>
      </c>
      <c r="M69" s="4">
        <f t="shared" si="3"/>
        <v>1216</v>
      </c>
      <c r="N69" s="4">
        <f t="shared" si="6"/>
        <v>1208</v>
      </c>
      <c r="O69" s="4">
        <f t="shared" si="6"/>
        <v>1208</v>
      </c>
      <c r="P69" s="4">
        <f t="shared" si="6"/>
        <v>1208</v>
      </c>
      <c r="Q69" s="4">
        <f t="shared" si="6"/>
        <v>1208</v>
      </c>
      <c r="R69" s="4">
        <f t="shared" si="8"/>
        <v>1260</v>
      </c>
      <c r="S69" s="4">
        <f t="shared" si="7"/>
        <v>1260</v>
      </c>
      <c r="T69" s="4">
        <f t="shared" si="7"/>
        <v>1260</v>
      </c>
      <c r="U69" s="4">
        <f t="shared" si="7"/>
        <v>1260</v>
      </c>
      <c r="V69" s="4">
        <v>0</v>
      </c>
      <c r="W69" s="4">
        <v>0</v>
      </c>
    </row>
    <row r="70" spans="1:23" x14ac:dyDescent="0.2">
      <c r="A70">
        <v>20</v>
      </c>
      <c r="B70" s="1">
        <v>37165</v>
      </c>
      <c r="D70" s="4">
        <v>0</v>
      </c>
      <c r="E70" s="4">
        <v>0</v>
      </c>
      <c r="F70" s="4">
        <v>0</v>
      </c>
      <c r="G70" s="4">
        <v>0</v>
      </c>
      <c r="H70" s="8">
        <f>1691*H$24</f>
        <v>1691</v>
      </c>
      <c r="I70" s="8">
        <f>1691*I$24</f>
        <v>1691</v>
      </c>
      <c r="J70" s="4">
        <f t="shared" si="4"/>
        <v>1216</v>
      </c>
      <c r="K70" s="4">
        <f t="shared" si="3"/>
        <v>1216</v>
      </c>
      <c r="L70" s="4">
        <f t="shared" si="3"/>
        <v>1216</v>
      </c>
      <c r="M70" s="4">
        <f t="shared" si="3"/>
        <v>1216</v>
      </c>
      <c r="N70" s="4">
        <f t="shared" si="6"/>
        <v>1208</v>
      </c>
      <c r="O70" s="4">
        <f t="shared" si="6"/>
        <v>1208</v>
      </c>
      <c r="P70" s="4">
        <f t="shared" si="6"/>
        <v>1208</v>
      </c>
      <c r="Q70" s="4">
        <f t="shared" si="6"/>
        <v>1208</v>
      </c>
      <c r="R70" s="4">
        <f t="shared" si="8"/>
        <v>1260</v>
      </c>
      <c r="S70" s="4">
        <f t="shared" si="7"/>
        <v>1260</v>
      </c>
      <c r="T70" s="4">
        <f t="shared" si="7"/>
        <v>1260</v>
      </c>
      <c r="U70" s="4">
        <f t="shared" si="7"/>
        <v>1260</v>
      </c>
      <c r="V70" s="4">
        <f>1250*V$24</f>
        <v>1250</v>
      </c>
      <c r="W70" s="4">
        <f>1250*W$24</f>
        <v>1250</v>
      </c>
    </row>
    <row r="71" spans="1:23" x14ac:dyDescent="0.2">
      <c r="A71">
        <v>21</v>
      </c>
      <c r="B71" s="1">
        <v>37196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f t="shared" si="4"/>
        <v>1216</v>
      </c>
      <c r="K71" s="4">
        <f t="shared" si="3"/>
        <v>1216</v>
      </c>
      <c r="L71" s="4">
        <f t="shared" si="3"/>
        <v>1216</v>
      </c>
      <c r="M71" s="4">
        <f t="shared" si="3"/>
        <v>1216</v>
      </c>
      <c r="N71" s="4">
        <f t="shared" si="6"/>
        <v>1208</v>
      </c>
      <c r="O71" s="4">
        <f t="shared" si="6"/>
        <v>1208</v>
      </c>
      <c r="P71" s="4">
        <f t="shared" si="6"/>
        <v>1208</v>
      </c>
      <c r="Q71" s="4">
        <f t="shared" si="6"/>
        <v>1208</v>
      </c>
      <c r="R71" s="4">
        <f t="shared" si="8"/>
        <v>1260</v>
      </c>
      <c r="S71" s="4">
        <f t="shared" si="7"/>
        <v>1260</v>
      </c>
      <c r="T71" s="4">
        <f t="shared" si="7"/>
        <v>1260</v>
      </c>
      <c r="U71" s="4">
        <f t="shared" si="7"/>
        <v>1260</v>
      </c>
      <c r="V71" s="4">
        <f t="shared" ref="V71:W85" si="9">1250*V$24</f>
        <v>1250</v>
      </c>
      <c r="W71" s="4">
        <f t="shared" si="9"/>
        <v>1250</v>
      </c>
    </row>
    <row r="72" spans="1:23" x14ac:dyDescent="0.2">
      <c r="A72">
        <v>22</v>
      </c>
      <c r="B72" s="1">
        <v>37226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f>1390*J$24</f>
        <v>1390</v>
      </c>
      <c r="K72" s="4">
        <f>1390*K$24</f>
        <v>1390</v>
      </c>
      <c r="L72" s="4">
        <f>1390*L$24</f>
        <v>1390</v>
      </c>
      <c r="M72" s="4">
        <f>1390*M$24</f>
        <v>1390</v>
      </c>
      <c r="N72" s="4">
        <f t="shared" si="6"/>
        <v>1208</v>
      </c>
      <c r="O72" s="4">
        <f t="shared" si="6"/>
        <v>1208</v>
      </c>
      <c r="P72" s="4">
        <f t="shared" si="6"/>
        <v>1208</v>
      </c>
      <c r="Q72" s="4">
        <f t="shared" si="6"/>
        <v>1208</v>
      </c>
      <c r="R72" s="4">
        <f t="shared" si="8"/>
        <v>1260</v>
      </c>
      <c r="S72" s="4">
        <f t="shared" si="7"/>
        <v>1260</v>
      </c>
      <c r="T72" s="4">
        <f t="shared" si="7"/>
        <v>1260</v>
      </c>
      <c r="U72" s="4">
        <f t="shared" si="7"/>
        <v>1260</v>
      </c>
      <c r="V72" s="4">
        <f t="shared" si="9"/>
        <v>1250</v>
      </c>
      <c r="W72" s="4">
        <f t="shared" si="9"/>
        <v>1250</v>
      </c>
    </row>
    <row r="73" spans="1:23" x14ac:dyDescent="0.2">
      <c r="A73">
        <v>23</v>
      </c>
      <c r="B73" s="1">
        <v>37257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f>8685*J$24</f>
        <v>8685</v>
      </c>
      <c r="K73" s="4">
        <f>8685*K$24</f>
        <v>8685</v>
      </c>
      <c r="L73" s="4">
        <f>8685*L$24</f>
        <v>8685</v>
      </c>
      <c r="M73" s="4">
        <f>8685*M$24</f>
        <v>8685</v>
      </c>
      <c r="N73" s="4">
        <f t="shared" si="6"/>
        <v>1208</v>
      </c>
      <c r="O73" s="4">
        <f t="shared" si="6"/>
        <v>1208</v>
      </c>
      <c r="P73" s="4">
        <f t="shared" si="6"/>
        <v>1208</v>
      </c>
      <c r="Q73" s="4">
        <f t="shared" si="6"/>
        <v>1208</v>
      </c>
      <c r="R73" s="4">
        <f t="shared" si="8"/>
        <v>1260</v>
      </c>
      <c r="S73" s="4">
        <f t="shared" si="7"/>
        <v>1260</v>
      </c>
      <c r="T73" s="4">
        <f t="shared" si="7"/>
        <v>1260</v>
      </c>
      <c r="U73" s="4">
        <f t="shared" si="7"/>
        <v>1260</v>
      </c>
      <c r="V73" s="4">
        <f t="shared" si="9"/>
        <v>1250</v>
      </c>
      <c r="W73" s="4">
        <f t="shared" si="9"/>
        <v>1250</v>
      </c>
    </row>
    <row r="74" spans="1:23" x14ac:dyDescent="0.2">
      <c r="A74">
        <v>24</v>
      </c>
      <c r="B74" s="1">
        <v>37288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8">
        <f>1737*J$24</f>
        <v>1737</v>
      </c>
      <c r="K74" s="8">
        <f>1737*K$24</f>
        <v>1737</v>
      </c>
      <c r="L74" s="8">
        <f>1737*L$24</f>
        <v>1737</v>
      </c>
      <c r="M74" s="8">
        <f>1737*M$24</f>
        <v>1737</v>
      </c>
      <c r="N74" s="4">
        <f>1380*N$24</f>
        <v>1380</v>
      </c>
      <c r="O74" s="4">
        <f>1380*O$24</f>
        <v>1380</v>
      </c>
      <c r="P74" s="4">
        <f t="shared" si="6"/>
        <v>1208</v>
      </c>
      <c r="Q74" s="4">
        <f t="shared" si="6"/>
        <v>1208</v>
      </c>
      <c r="R74" s="4">
        <f t="shared" si="8"/>
        <v>1260</v>
      </c>
      <c r="S74" s="4">
        <f t="shared" si="7"/>
        <v>1260</v>
      </c>
      <c r="T74" s="4">
        <f t="shared" si="7"/>
        <v>1260</v>
      </c>
      <c r="U74" s="4">
        <f t="shared" si="7"/>
        <v>1260</v>
      </c>
      <c r="V74" s="4">
        <f t="shared" si="9"/>
        <v>1250</v>
      </c>
      <c r="W74" s="4">
        <f t="shared" si="9"/>
        <v>1250</v>
      </c>
    </row>
    <row r="75" spans="1:23" x14ac:dyDescent="0.2">
      <c r="A75">
        <v>25</v>
      </c>
      <c r="B75" s="1">
        <v>37316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f>8625*N$24</f>
        <v>8625</v>
      </c>
      <c r="O75" s="4">
        <f>8625*O$24</f>
        <v>8625</v>
      </c>
      <c r="P75" s="4">
        <f t="shared" ref="P75:Q80" si="10">1208*P$24</f>
        <v>1208</v>
      </c>
      <c r="Q75" s="4">
        <f t="shared" si="10"/>
        <v>1208</v>
      </c>
      <c r="R75" s="4">
        <f t="shared" si="8"/>
        <v>1260</v>
      </c>
      <c r="S75" s="4">
        <f t="shared" si="7"/>
        <v>1260</v>
      </c>
      <c r="T75" s="4">
        <f t="shared" si="7"/>
        <v>1260</v>
      </c>
      <c r="U75" s="4">
        <f t="shared" si="7"/>
        <v>1260</v>
      </c>
      <c r="V75" s="4">
        <f t="shared" si="9"/>
        <v>1250</v>
      </c>
      <c r="W75" s="4">
        <f t="shared" si="9"/>
        <v>1250</v>
      </c>
    </row>
    <row r="76" spans="1:23" x14ac:dyDescent="0.2">
      <c r="A76">
        <v>26</v>
      </c>
      <c r="B76" s="1">
        <v>37347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8">
        <f>1725*N$24</f>
        <v>1725</v>
      </c>
      <c r="O76" s="8">
        <f>1725*O$24</f>
        <v>1725</v>
      </c>
      <c r="P76" s="4">
        <f t="shared" si="10"/>
        <v>1208</v>
      </c>
      <c r="Q76" s="4">
        <f t="shared" si="10"/>
        <v>1208</v>
      </c>
      <c r="R76" s="4">
        <f t="shared" si="8"/>
        <v>1260</v>
      </c>
      <c r="S76" s="4">
        <f t="shared" si="7"/>
        <v>1260</v>
      </c>
      <c r="T76" s="4">
        <f t="shared" si="7"/>
        <v>1260</v>
      </c>
      <c r="U76" s="4">
        <f t="shared" si="7"/>
        <v>1260</v>
      </c>
      <c r="V76" s="4">
        <f t="shared" si="9"/>
        <v>1250</v>
      </c>
      <c r="W76" s="4">
        <f t="shared" si="9"/>
        <v>1250</v>
      </c>
    </row>
    <row r="77" spans="1:23" x14ac:dyDescent="0.2">
      <c r="A77">
        <v>27</v>
      </c>
      <c r="B77" s="1">
        <v>37377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f t="shared" si="10"/>
        <v>1208</v>
      </c>
      <c r="Q77" s="4">
        <f t="shared" si="10"/>
        <v>1208</v>
      </c>
      <c r="R77" s="4">
        <f t="shared" si="8"/>
        <v>1260</v>
      </c>
      <c r="S77" s="4">
        <f t="shared" si="7"/>
        <v>1260</v>
      </c>
      <c r="T77" s="4">
        <f t="shared" si="7"/>
        <v>1260</v>
      </c>
      <c r="U77" s="4">
        <f t="shared" si="7"/>
        <v>1260</v>
      </c>
      <c r="V77" s="4">
        <f t="shared" si="9"/>
        <v>1250</v>
      </c>
      <c r="W77" s="4">
        <f t="shared" si="9"/>
        <v>1250</v>
      </c>
    </row>
    <row r="78" spans="1:23" x14ac:dyDescent="0.2">
      <c r="A78">
        <v>28</v>
      </c>
      <c r="B78" s="1">
        <v>37408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f t="shared" si="10"/>
        <v>1208</v>
      </c>
      <c r="Q78" s="4">
        <f t="shared" si="10"/>
        <v>1208</v>
      </c>
      <c r="R78" s="4">
        <f t="shared" si="8"/>
        <v>1260</v>
      </c>
      <c r="S78" s="4">
        <f t="shared" si="7"/>
        <v>1260</v>
      </c>
      <c r="T78" s="4">
        <f t="shared" si="7"/>
        <v>1260</v>
      </c>
      <c r="U78" s="4">
        <f t="shared" si="7"/>
        <v>1260</v>
      </c>
      <c r="V78" s="4">
        <f t="shared" si="9"/>
        <v>1250</v>
      </c>
      <c r="W78" s="4">
        <f t="shared" si="9"/>
        <v>1250</v>
      </c>
    </row>
    <row r="79" spans="1:23" x14ac:dyDescent="0.2">
      <c r="A79">
        <v>29</v>
      </c>
      <c r="B79" s="1">
        <v>37438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f t="shared" si="10"/>
        <v>1208</v>
      </c>
      <c r="Q79" s="4">
        <f t="shared" si="10"/>
        <v>1208</v>
      </c>
      <c r="R79" s="4">
        <f t="shared" si="8"/>
        <v>1260</v>
      </c>
      <c r="S79" s="4">
        <f t="shared" si="7"/>
        <v>1260</v>
      </c>
      <c r="T79" s="4">
        <f t="shared" si="7"/>
        <v>1260</v>
      </c>
      <c r="U79" s="4">
        <f t="shared" si="7"/>
        <v>1260</v>
      </c>
      <c r="V79" s="4">
        <f t="shared" si="9"/>
        <v>1250</v>
      </c>
      <c r="W79" s="4">
        <f t="shared" si="9"/>
        <v>1250</v>
      </c>
    </row>
    <row r="80" spans="1:23" x14ac:dyDescent="0.2">
      <c r="A80">
        <v>30</v>
      </c>
      <c r="B80" s="1">
        <v>37469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f t="shared" si="10"/>
        <v>1208</v>
      </c>
      <c r="Q80" s="4">
        <f t="shared" si="10"/>
        <v>1208</v>
      </c>
      <c r="R80" s="4">
        <f t="shared" si="8"/>
        <v>1260</v>
      </c>
      <c r="S80" s="4">
        <f t="shared" si="7"/>
        <v>1260</v>
      </c>
      <c r="T80" s="4">
        <f t="shared" si="7"/>
        <v>1260</v>
      </c>
      <c r="U80" s="4">
        <f t="shared" si="7"/>
        <v>1260</v>
      </c>
      <c r="V80" s="4">
        <f t="shared" si="9"/>
        <v>1250</v>
      </c>
      <c r="W80" s="4">
        <f t="shared" si="9"/>
        <v>1250</v>
      </c>
    </row>
    <row r="81" spans="1:23" x14ac:dyDescent="0.2">
      <c r="A81">
        <v>31</v>
      </c>
      <c r="B81" s="1">
        <v>37500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f>1380*P$24</f>
        <v>1380</v>
      </c>
      <c r="Q81" s="4">
        <f>1380*Q$24</f>
        <v>1380</v>
      </c>
      <c r="R81" s="4">
        <f t="shared" si="8"/>
        <v>1260</v>
      </c>
      <c r="S81" s="4">
        <f t="shared" si="7"/>
        <v>1260</v>
      </c>
      <c r="T81" s="4">
        <f t="shared" si="7"/>
        <v>1260</v>
      </c>
      <c r="U81" s="4">
        <f t="shared" si="7"/>
        <v>1260</v>
      </c>
      <c r="V81" s="4">
        <f t="shared" si="9"/>
        <v>1250</v>
      </c>
      <c r="W81" s="4">
        <f t="shared" si="9"/>
        <v>1250</v>
      </c>
    </row>
    <row r="82" spans="1:23" x14ac:dyDescent="0.2">
      <c r="A82">
        <v>32</v>
      </c>
      <c r="B82" s="1">
        <v>37530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f>8625*P$24</f>
        <v>8625</v>
      </c>
      <c r="Q82" s="4">
        <f>8625*Q$24</f>
        <v>8625</v>
      </c>
      <c r="R82" s="4">
        <f t="shared" si="8"/>
        <v>1260</v>
      </c>
      <c r="S82" s="4">
        <f t="shared" si="7"/>
        <v>1260</v>
      </c>
      <c r="T82" s="4">
        <f>1350*T$24</f>
        <v>1350</v>
      </c>
      <c r="U82" s="4">
        <f>1350*U$24</f>
        <v>1350</v>
      </c>
      <c r="V82" s="4">
        <f t="shared" si="9"/>
        <v>1250</v>
      </c>
      <c r="W82" s="4">
        <f t="shared" si="9"/>
        <v>1250</v>
      </c>
    </row>
    <row r="83" spans="1:23" x14ac:dyDescent="0.2">
      <c r="A83">
        <v>33</v>
      </c>
      <c r="B83" s="1">
        <v>37561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8">
        <f>1725*P$24</f>
        <v>1725</v>
      </c>
      <c r="Q83" s="8">
        <f>1725*Q$24</f>
        <v>1725</v>
      </c>
      <c r="R83" s="4">
        <f>1440*R$24</f>
        <v>1440</v>
      </c>
      <c r="S83" s="4">
        <f>1440*S$24</f>
        <v>1440</v>
      </c>
      <c r="T83" s="4">
        <f>5220*T$24</f>
        <v>5220</v>
      </c>
      <c r="U83" s="4">
        <f>5220*U$24</f>
        <v>5220</v>
      </c>
      <c r="V83" s="4">
        <f t="shared" si="9"/>
        <v>1250</v>
      </c>
      <c r="W83" s="4">
        <f t="shared" si="9"/>
        <v>1250</v>
      </c>
    </row>
    <row r="84" spans="1:23" x14ac:dyDescent="0.2">
      <c r="A84">
        <v>34</v>
      </c>
      <c r="B84" s="1">
        <v>37591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f>9000*R$24</f>
        <v>9000</v>
      </c>
      <c r="S84" s="4">
        <f>9000*S$24</f>
        <v>9000</v>
      </c>
      <c r="T84" s="4">
        <f>5400*T$24</f>
        <v>5400</v>
      </c>
      <c r="U84" s="4">
        <f>5400*U$24</f>
        <v>5400</v>
      </c>
      <c r="V84" s="4">
        <f t="shared" si="9"/>
        <v>1250</v>
      </c>
      <c r="W84" s="4">
        <f t="shared" si="9"/>
        <v>1250</v>
      </c>
    </row>
    <row r="85" spans="1:23" x14ac:dyDescent="0.2">
      <c r="A85">
        <v>35</v>
      </c>
      <c r="B85" s="1">
        <v>37622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8">
        <f>1800*R$24</f>
        <v>1800</v>
      </c>
      <c r="S85" s="8">
        <f>1800*S$24</f>
        <v>1800</v>
      </c>
      <c r="T85" s="8">
        <f>900*T$24</f>
        <v>900</v>
      </c>
      <c r="U85" s="8">
        <f>900*U$24</f>
        <v>900</v>
      </c>
      <c r="V85" s="4">
        <f t="shared" si="9"/>
        <v>1250</v>
      </c>
      <c r="W85" s="4">
        <f t="shared" si="9"/>
        <v>1250</v>
      </c>
    </row>
    <row r="86" spans="1:23" x14ac:dyDescent="0.2">
      <c r="A86">
        <v>36</v>
      </c>
      <c r="B86" s="1">
        <v>37653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f>1428*V$24</f>
        <v>1428</v>
      </c>
      <c r="W86" s="4">
        <f>1428*W$24</f>
        <v>1428</v>
      </c>
    </row>
    <row r="87" spans="1:23" x14ac:dyDescent="0.2">
      <c r="A87">
        <v>37</v>
      </c>
      <c r="B87" s="1">
        <v>37681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f>8925*V$24</f>
        <v>8925</v>
      </c>
      <c r="W87" s="4">
        <f>8925*W$24</f>
        <v>8925</v>
      </c>
    </row>
    <row r="88" spans="1:23" x14ac:dyDescent="0.2">
      <c r="A88">
        <v>38</v>
      </c>
      <c r="B88" s="1">
        <v>37712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8">
        <f>1785*V$24</f>
        <v>1785</v>
      </c>
      <c r="W88" s="8">
        <f>1785*W$24</f>
        <v>1785</v>
      </c>
    </row>
    <row r="89" spans="1:23" x14ac:dyDescent="0.2">
      <c r="A89">
        <v>39</v>
      </c>
      <c r="B89" s="1">
        <v>37742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</row>
    <row r="90" spans="1:23" x14ac:dyDescent="0.2">
      <c r="A90">
        <v>40</v>
      </c>
      <c r="B90" s="1">
        <v>37773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</row>
    <row r="91" spans="1:23" x14ac:dyDescent="0.2">
      <c r="A91">
        <v>41</v>
      </c>
      <c r="B91" s="1">
        <v>37803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</row>
    <row r="92" spans="1:23" x14ac:dyDescent="0.2">
      <c r="A92">
        <v>42</v>
      </c>
      <c r="B92" s="1">
        <v>37834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</row>
    <row r="93" spans="1:23" x14ac:dyDescent="0.2">
      <c r="A93">
        <v>43</v>
      </c>
      <c r="B93" s="1">
        <v>37865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</row>
    <row r="94" spans="1:23" x14ac:dyDescent="0.2">
      <c r="A94">
        <v>44</v>
      </c>
      <c r="B94" s="1">
        <v>37895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</row>
    <row r="95" spans="1:23" x14ac:dyDescent="0.2">
      <c r="A95">
        <v>45</v>
      </c>
      <c r="B95" s="1">
        <v>37926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</row>
    <row r="96" spans="1:23" x14ac:dyDescent="0.2">
      <c r="A96">
        <v>46</v>
      </c>
      <c r="B96" s="1">
        <v>37956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</row>
    <row r="97" spans="1:23" x14ac:dyDescent="0.2">
      <c r="B97" s="9" t="s">
        <v>10</v>
      </c>
      <c r="C97" s="3"/>
      <c r="D97" s="5">
        <f>SUM(D51:D96)</f>
        <v>32243</v>
      </c>
      <c r="E97" s="5">
        <f t="shared" ref="E97:W97" si="11">SUM(E51:E96)</f>
        <v>28351</v>
      </c>
      <c r="F97" s="5">
        <f t="shared" si="11"/>
        <v>32127</v>
      </c>
      <c r="G97" s="5">
        <f t="shared" si="11"/>
        <v>32127</v>
      </c>
      <c r="H97" s="5">
        <f t="shared" si="11"/>
        <v>32127</v>
      </c>
      <c r="I97" s="5">
        <f t="shared" si="11"/>
        <v>32127</v>
      </c>
      <c r="J97" s="5">
        <f t="shared" si="11"/>
        <v>32136</v>
      </c>
      <c r="K97" s="5">
        <f t="shared" si="11"/>
        <v>32136</v>
      </c>
      <c r="L97" s="5">
        <f t="shared" si="11"/>
        <v>32136</v>
      </c>
      <c r="M97" s="5">
        <f t="shared" si="11"/>
        <v>32136</v>
      </c>
      <c r="N97" s="5">
        <f t="shared" si="11"/>
        <v>31921</v>
      </c>
      <c r="O97" s="5">
        <f t="shared" si="11"/>
        <v>31921</v>
      </c>
      <c r="P97" s="5">
        <f t="shared" si="11"/>
        <v>31921</v>
      </c>
      <c r="Q97" s="5">
        <f t="shared" si="11"/>
        <v>31921</v>
      </c>
      <c r="R97" s="5">
        <f t="shared" si="11"/>
        <v>34200</v>
      </c>
      <c r="S97" s="5">
        <f t="shared" si="11"/>
        <v>34200</v>
      </c>
      <c r="T97" s="5">
        <f t="shared" si="11"/>
        <v>34200</v>
      </c>
      <c r="U97" s="5">
        <f t="shared" si="11"/>
        <v>34200</v>
      </c>
      <c r="V97" s="5">
        <f t="shared" si="11"/>
        <v>33924</v>
      </c>
      <c r="W97" s="5">
        <f t="shared" si="11"/>
        <v>33924</v>
      </c>
    </row>
    <row r="99" spans="1:23" x14ac:dyDescent="0.2">
      <c r="B99" s="3" t="s">
        <v>9</v>
      </c>
      <c r="C99" s="3"/>
      <c r="D99" s="5">
        <f>D46+D97</f>
        <v>35619</v>
      </c>
      <c r="E99" s="5">
        <f t="shared" ref="E99:W99" si="12">E46+E97</f>
        <v>31727</v>
      </c>
      <c r="F99" s="5">
        <f t="shared" si="12"/>
        <v>33818</v>
      </c>
      <c r="G99" s="5">
        <f t="shared" si="12"/>
        <v>33818</v>
      </c>
      <c r="H99" s="5">
        <f t="shared" si="12"/>
        <v>33818</v>
      </c>
      <c r="I99" s="5">
        <f t="shared" si="12"/>
        <v>33818</v>
      </c>
      <c r="J99" s="5">
        <f t="shared" si="12"/>
        <v>34741</v>
      </c>
      <c r="K99" s="5">
        <f t="shared" si="12"/>
        <v>34741</v>
      </c>
      <c r="L99" s="5">
        <f t="shared" si="12"/>
        <v>34741</v>
      </c>
      <c r="M99" s="5">
        <f t="shared" si="12"/>
        <v>34741</v>
      </c>
      <c r="N99" s="5">
        <f t="shared" si="12"/>
        <v>34509</v>
      </c>
      <c r="O99" s="5">
        <f t="shared" si="12"/>
        <v>34509</v>
      </c>
      <c r="P99" s="5">
        <f t="shared" si="12"/>
        <v>34509</v>
      </c>
      <c r="Q99" s="5">
        <f t="shared" si="12"/>
        <v>34509</v>
      </c>
      <c r="R99" s="5">
        <f t="shared" si="12"/>
        <v>36000</v>
      </c>
      <c r="S99" s="5">
        <f t="shared" si="12"/>
        <v>36000</v>
      </c>
      <c r="T99" s="5">
        <f t="shared" si="12"/>
        <v>36000</v>
      </c>
      <c r="U99" s="5">
        <f t="shared" si="12"/>
        <v>36000</v>
      </c>
      <c r="V99" s="5">
        <f t="shared" si="12"/>
        <v>35709</v>
      </c>
      <c r="W99" s="5">
        <f t="shared" si="12"/>
        <v>35709</v>
      </c>
    </row>
    <row r="100" spans="1:23" x14ac:dyDescent="0.2">
      <c r="B100" s="21"/>
      <c r="C100" s="21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</row>
    <row r="101" spans="1:23" x14ac:dyDescent="0.2">
      <c r="B101" s="21"/>
      <c r="C101" s="21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</row>
    <row r="102" spans="1:23" x14ac:dyDescent="0.2">
      <c r="B102" s="21"/>
      <c r="C102" s="7" t="s">
        <v>0</v>
      </c>
      <c r="D102" s="1">
        <v>36982</v>
      </c>
      <c r="E102" s="1">
        <v>36982</v>
      </c>
      <c r="F102" s="1">
        <v>37104</v>
      </c>
      <c r="G102" s="1">
        <v>37104</v>
      </c>
      <c r="H102" s="1">
        <v>37165</v>
      </c>
      <c r="I102" s="1">
        <v>37165</v>
      </c>
      <c r="J102" s="1">
        <v>37288</v>
      </c>
      <c r="K102" s="1">
        <v>37288</v>
      </c>
      <c r="L102" s="1">
        <v>37288</v>
      </c>
      <c r="M102" s="1">
        <v>37288</v>
      </c>
      <c r="N102" s="1">
        <v>37347</v>
      </c>
      <c r="O102" s="1">
        <v>37347</v>
      </c>
      <c r="P102" s="1">
        <v>37561</v>
      </c>
      <c r="Q102" s="1">
        <v>37561</v>
      </c>
      <c r="R102" s="1">
        <v>37622</v>
      </c>
      <c r="S102" s="1">
        <v>37622</v>
      </c>
      <c r="T102" s="1">
        <v>37653</v>
      </c>
      <c r="U102" s="1">
        <v>37653</v>
      </c>
      <c r="V102" s="1">
        <v>37712</v>
      </c>
      <c r="W102" s="1">
        <v>37712</v>
      </c>
    </row>
    <row r="103" spans="1:23" x14ac:dyDescent="0.2">
      <c r="B103" s="21"/>
      <c r="C103" s="21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</row>
    <row r="104" spans="1:23" x14ac:dyDescent="0.2">
      <c r="B104" t="s">
        <v>31</v>
      </c>
      <c r="C104" s="21"/>
      <c r="D104" s="22">
        <f>D24</f>
        <v>1</v>
      </c>
      <c r="E104" s="22">
        <f t="shared" ref="E104:W104" si="13">E24</f>
        <v>1</v>
      </c>
      <c r="F104" s="22">
        <f t="shared" si="13"/>
        <v>1</v>
      </c>
      <c r="G104" s="22">
        <f t="shared" si="13"/>
        <v>1</v>
      </c>
      <c r="H104" s="22">
        <f t="shared" si="13"/>
        <v>1</v>
      </c>
      <c r="I104" s="22">
        <f t="shared" si="13"/>
        <v>1</v>
      </c>
      <c r="J104" s="22">
        <f t="shared" si="13"/>
        <v>1</v>
      </c>
      <c r="K104" s="22">
        <f t="shared" si="13"/>
        <v>1</v>
      </c>
      <c r="L104" s="22">
        <f t="shared" si="13"/>
        <v>1</v>
      </c>
      <c r="M104" s="22">
        <f t="shared" si="13"/>
        <v>1</v>
      </c>
      <c r="N104" s="22">
        <f t="shared" si="13"/>
        <v>1</v>
      </c>
      <c r="O104" s="22">
        <f t="shared" si="13"/>
        <v>1</v>
      </c>
      <c r="P104" s="22">
        <f t="shared" si="13"/>
        <v>1</v>
      </c>
      <c r="Q104" s="22">
        <f t="shared" si="13"/>
        <v>1</v>
      </c>
      <c r="R104" s="22">
        <f t="shared" si="13"/>
        <v>1</v>
      </c>
      <c r="S104" s="22">
        <f t="shared" si="13"/>
        <v>1</v>
      </c>
      <c r="T104" s="22">
        <f t="shared" si="13"/>
        <v>1</v>
      </c>
      <c r="U104" s="22">
        <f t="shared" si="13"/>
        <v>1</v>
      </c>
      <c r="V104" s="22">
        <f t="shared" si="13"/>
        <v>1</v>
      </c>
      <c r="W104" s="22">
        <f t="shared" si="13"/>
        <v>1</v>
      </c>
    </row>
    <row r="105" spans="1:23" x14ac:dyDescent="0.2">
      <c r="B105" s="21"/>
      <c r="C105" s="21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</row>
    <row r="106" spans="1:23" x14ac:dyDescent="0.2">
      <c r="B106" s="21"/>
      <c r="C106" s="21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</row>
    <row r="107" spans="1:23" x14ac:dyDescent="0.2">
      <c r="A107" t="s">
        <v>66</v>
      </c>
      <c r="C107" s="21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</row>
    <row r="108" spans="1:23" x14ac:dyDescent="0.2">
      <c r="A108">
        <v>1</v>
      </c>
      <c r="B108" s="1">
        <v>36586</v>
      </c>
      <c r="C108" s="21"/>
      <c r="D108" s="22">
        <f t="shared" ref="D108:W108" si="14">(D$46+D51)*(1+$G$14/12)</f>
        <v>5101.9905499999995</v>
      </c>
      <c r="E108" s="22">
        <f t="shared" si="14"/>
        <v>3401.327033333333</v>
      </c>
      <c r="F108" s="22">
        <f t="shared" si="14"/>
        <v>1703.6860229166666</v>
      </c>
      <c r="G108" s="22">
        <f t="shared" si="14"/>
        <v>1703.6860229166666</v>
      </c>
      <c r="H108" s="22">
        <f t="shared" si="14"/>
        <v>1703.6860229166666</v>
      </c>
      <c r="I108" s="22">
        <f t="shared" si="14"/>
        <v>1703.6860229166666</v>
      </c>
      <c r="J108" s="22">
        <f t="shared" si="14"/>
        <v>2624.5429270833329</v>
      </c>
      <c r="K108" s="22">
        <f t="shared" si="14"/>
        <v>2624.5429270833329</v>
      </c>
      <c r="L108" s="22">
        <f t="shared" si="14"/>
        <v>2624.5429270833329</v>
      </c>
      <c r="M108" s="22">
        <f t="shared" si="14"/>
        <v>2624.5429270833329</v>
      </c>
      <c r="N108" s="22">
        <f t="shared" si="14"/>
        <v>2607.4153916666664</v>
      </c>
      <c r="O108" s="22">
        <f t="shared" si="14"/>
        <v>2607.4153916666664</v>
      </c>
      <c r="P108" s="22">
        <f t="shared" si="14"/>
        <v>2607.4153916666664</v>
      </c>
      <c r="Q108" s="22">
        <f t="shared" si="14"/>
        <v>2607.4153916666664</v>
      </c>
      <c r="R108" s="22">
        <f t="shared" si="14"/>
        <v>1813.5037499999999</v>
      </c>
      <c r="S108" s="22">
        <f t="shared" si="14"/>
        <v>1813.5037499999999</v>
      </c>
      <c r="T108" s="22">
        <f t="shared" si="14"/>
        <v>1813.5037499999999</v>
      </c>
      <c r="U108" s="22">
        <f t="shared" si="14"/>
        <v>1813.5037499999999</v>
      </c>
      <c r="V108" s="22">
        <f t="shared" si="14"/>
        <v>1798.3912187499998</v>
      </c>
      <c r="W108" s="22">
        <f t="shared" si="14"/>
        <v>1798.3912187499998</v>
      </c>
    </row>
    <row r="109" spans="1:23" x14ac:dyDescent="0.2">
      <c r="A109">
        <v>2</v>
      </c>
      <c r="B109" s="1">
        <v>36617</v>
      </c>
      <c r="C109" s="21"/>
      <c r="D109" s="22">
        <f t="shared" ref="D109:D120" si="15">(D108+D52)*(1+$G$14/12)</f>
        <v>7011.1974770219776</v>
      </c>
      <c r="E109" s="22">
        <f t="shared" ref="E109:E120" si="16">(E108+E52)*(1+$G$14/12)</f>
        <v>4820.2194534313185</v>
      </c>
      <c r="F109" s="22">
        <f t="shared" ref="F109:F120" si="17">(F108+F52)*(1+$G$14/12)</f>
        <v>1716.4672174344225</v>
      </c>
      <c r="G109" s="22">
        <f t="shared" ref="G109:G120" si="18">(G108+G52)*(1+$G$14/12)</f>
        <v>1716.4672174344225</v>
      </c>
      <c r="H109" s="22">
        <f t="shared" ref="H109:H120" si="19">(H108+H52)*(1+$G$14/12)</f>
        <v>1716.4672174344225</v>
      </c>
      <c r="I109" s="22">
        <f t="shared" ref="I109:I120" si="20">(I108+I52)*(1+$G$14/12)</f>
        <v>1716.4672174344225</v>
      </c>
      <c r="J109" s="22">
        <f t="shared" ref="J109:J120" si="21">(J108+J52)*(1+$G$14/12)</f>
        <v>3518.7442751675558</v>
      </c>
      <c r="K109" s="22">
        <f t="shared" ref="K109:K120" si="22">(K108+K52)*(1+$G$14/12)</f>
        <v>3518.7442751675558</v>
      </c>
      <c r="L109" s="22">
        <f t="shared" ref="L109:L120" si="23">(L108+L52)*(1+$G$14/12)</f>
        <v>3518.7442751675558</v>
      </c>
      <c r="M109" s="22">
        <f t="shared" ref="M109:M120" si="24">(M108+M52)*(1+$G$14/12)</f>
        <v>3518.7442751675558</v>
      </c>
      <c r="N109" s="22">
        <f t="shared" ref="N109:N120" si="25">(N108+N52)*(1+$G$14/12)</f>
        <v>3496.450737136232</v>
      </c>
      <c r="O109" s="22">
        <f t="shared" ref="O109:O120" si="26">(O108+O52)*(1+$G$14/12)</f>
        <v>3496.450737136232</v>
      </c>
      <c r="P109" s="22">
        <f t="shared" ref="P109:P120" si="27">(P108+P52)*(1+$G$14/12)</f>
        <v>3496.450737136232</v>
      </c>
      <c r="Q109" s="22">
        <f t="shared" ref="Q109:Q120" si="28">(Q108+Q52)*(1+$G$14/12)</f>
        <v>3496.450737136232</v>
      </c>
      <c r="R109" s="22">
        <f t="shared" ref="R109:R120" si="29">(R108+R52)*(1+$G$14/12)</f>
        <v>1827.1088062578121</v>
      </c>
      <c r="S109" s="22">
        <f t="shared" ref="S109:S120" si="30">(S108+S52)*(1+$G$14/12)</f>
        <v>1827.1088062578121</v>
      </c>
      <c r="T109" s="22">
        <f t="shared" ref="T109:T120" si="31">(T108+T52)*(1+$G$14/12)</f>
        <v>1827.1088062578121</v>
      </c>
      <c r="U109" s="22">
        <f t="shared" ref="U109:U120" si="32">(U108+U52)*(1+$G$14/12)</f>
        <v>1827.1088062578121</v>
      </c>
      <c r="V109" s="22">
        <f t="shared" ref="V109:V120" si="33">(V108+V52)*(1+$G$14/12)</f>
        <v>1811.882899538997</v>
      </c>
      <c r="W109" s="22">
        <f t="shared" ref="W109:W120" si="34">(W108+W52)*(1+$G$14/12)</f>
        <v>1811.882899538997</v>
      </c>
    </row>
    <row r="110" spans="1:23" x14ac:dyDescent="0.2">
      <c r="A110">
        <v>3</v>
      </c>
      <c r="B110" s="1">
        <v>36647</v>
      </c>
      <c r="C110" s="21"/>
      <c r="D110" s="22">
        <f t="shared" si="15"/>
        <v>8934.7274335110524</v>
      </c>
      <c r="E110" s="22">
        <f t="shared" si="16"/>
        <v>6614.4722768725806</v>
      </c>
      <c r="F110" s="22">
        <f t="shared" si="17"/>
        <v>3433.0303204552165</v>
      </c>
      <c r="G110" s="22">
        <f t="shared" si="18"/>
        <v>3433.0303204552165</v>
      </c>
      <c r="H110" s="22">
        <f t="shared" si="19"/>
        <v>1729.3442975385501</v>
      </c>
      <c r="I110" s="22">
        <f t="shared" si="20"/>
        <v>1729.3442975385501</v>
      </c>
      <c r="J110" s="22">
        <f t="shared" si="21"/>
        <v>3545.142187948552</v>
      </c>
      <c r="K110" s="22">
        <f t="shared" si="22"/>
        <v>3545.142187948552</v>
      </c>
      <c r="L110" s="22">
        <f t="shared" si="23"/>
        <v>3545.142187948552</v>
      </c>
      <c r="M110" s="22">
        <f t="shared" si="24"/>
        <v>3545.142187948552</v>
      </c>
      <c r="N110" s="22">
        <f t="shared" si="25"/>
        <v>3522.6814019371222</v>
      </c>
      <c r="O110" s="22">
        <f t="shared" si="26"/>
        <v>3522.6814019371222</v>
      </c>
      <c r="P110" s="22">
        <f t="shared" si="27"/>
        <v>3522.6814019371222</v>
      </c>
      <c r="Q110" s="22">
        <f t="shared" si="28"/>
        <v>3522.6814019371222</v>
      </c>
      <c r="R110" s="22">
        <f t="shared" si="29"/>
        <v>2747.567803781425</v>
      </c>
      <c r="S110" s="22">
        <f t="shared" si="30"/>
        <v>2747.567803781425</v>
      </c>
      <c r="T110" s="22">
        <f t="shared" si="31"/>
        <v>2747.567803781425</v>
      </c>
      <c r="U110" s="22">
        <f t="shared" si="32"/>
        <v>2747.567803781425</v>
      </c>
      <c r="V110" s="22">
        <f t="shared" si="33"/>
        <v>2725.1751564582464</v>
      </c>
      <c r="W110" s="22">
        <f t="shared" si="34"/>
        <v>2725.1751564582464</v>
      </c>
    </row>
    <row r="111" spans="1:23" x14ac:dyDescent="0.2">
      <c r="A111">
        <v>4</v>
      </c>
      <c r="B111" s="1">
        <v>36678</v>
      </c>
      <c r="C111" s="21"/>
      <c r="D111" s="22">
        <f t="shared" si="15"/>
        <v>10872.687872027871</v>
      </c>
      <c r="E111" s="22">
        <f t="shared" si="16"/>
        <v>8422.185734516368</v>
      </c>
      <c r="F111" s="22">
        <f t="shared" si="17"/>
        <v>3458.7852000051312</v>
      </c>
      <c r="G111" s="22">
        <f t="shared" si="18"/>
        <v>3458.7852000051312</v>
      </c>
      <c r="H111" s="22">
        <f t="shared" si="19"/>
        <v>3446.0040054873753</v>
      </c>
      <c r="I111" s="22">
        <f t="shared" si="20"/>
        <v>3446.0040054873753</v>
      </c>
      <c r="J111" s="22">
        <f t="shared" si="21"/>
        <v>3571.7381400710574</v>
      </c>
      <c r="K111" s="22">
        <f t="shared" si="22"/>
        <v>3571.7381400710574</v>
      </c>
      <c r="L111" s="22">
        <f t="shared" si="23"/>
        <v>3571.7381400710574</v>
      </c>
      <c r="M111" s="22">
        <f t="shared" si="24"/>
        <v>3571.7381400710574</v>
      </c>
      <c r="N111" s="22">
        <f t="shared" si="25"/>
        <v>3549.1088513712375</v>
      </c>
      <c r="O111" s="22">
        <f t="shared" si="26"/>
        <v>3549.1088513712375</v>
      </c>
      <c r="P111" s="22">
        <f t="shared" si="27"/>
        <v>3549.1088513712375</v>
      </c>
      <c r="Q111" s="22">
        <f t="shared" si="28"/>
        <v>3549.1088513712375</v>
      </c>
      <c r="R111" s="22">
        <f t="shared" si="29"/>
        <v>2768.1802864093765</v>
      </c>
      <c r="S111" s="22">
        <f t="shared" si="30"/>
        <v>2768.1802864093765</v>
      </c>
      <c r="T111" s="22">
        <f t="shared" si="31"/>
        <v>2768.1802864093765</v>
      </c>
      <c r="U111" s="22">
        <f t="shared" si="32"/>
        <v>2768.1802864093765</v>
      </c>
      <c r="V111" s="22">
        <f t="shared" si="33"/>
        <v>2745.6196475799256</v>
      </c>
      <c r="W111" s="22">
        <f t="shared" si="34"/>
        <v>2745.6196475799256</v>
      </c>
    </row>
    <row r="112" spans="1:23" x14ac:dyDescent="0.2">
      <c r="A112">
        <v>5</v>
      </c>
      <c r="B112" s="1">
        <v>36708</v>
      </c>
      <c r="C112" s="21"/>
      <c r="D112" s="22">
        <f t="shared" si="15"/>
        <v>12825.187051251145</v>
      </c>
      <c r="E112" s="22">
        <f t="shared" si="16"/>
        <v>10243.460809162187</v>
      </c>
      <c r="F112" s="22">
        <f t="shared" si="17"/>
        <v>3484.7332948076692</v>
      </c>
      <c r="G112" s="22">
        <f t="shared" si="18"/>
        <v>3484.7332948076692</v>
      </c>
      <c r="H112" s="22">
        <f t="shared" si="19"/>
        <v>3471.8562147035418</v>
      </c>
      <c r="I112" s="22">
        <f t="shared" si="20"/>
        <v>3471.8562147035418</v>
      </c>
      <c r="J112" s="22">
        <f t="shared" si="21"/>
        <v>3598.5336172427151</v>
      </c>
      <c r="K112" s="22">
        <f t="shared" si="22"/>
        <v>3598.5336172427151</v>
      </c>
      <c r="L112" s="22">
        <f t="shared" si="23"/>
        <v>3598.5336172427151</v>
      </c>
      <c r="M112" s="22">
        <f t="shared" si="24"/>
        <v>3598.5336172427151</v>
      </c>
      <c r="N112" s="22">
        <f t="shared" si="25"/>
        <v>3575.7345617332953</v>
      </c>
      <c r="O112" s="22">
        <f t="shared" si="26"/>
        <v>3575.7345617332953</v>
      </c>
      <c r="P112" s="22">
        <f t="shared" si="27"/>
        <v>3575.7345617332953</v>
      </c>
      <c r="Q112" s="22">
        <f t="shared" si="28"/>
        <v>3575.7345617332953</v>
      </c>
      <c r="R112" s="22">
        <f t="shared" si="29"/>
        <v>2788.9474055997098</v>
      </c>
      <c r="S112" s="22">
        <f t="shared" si="30"/>
        <v>2788.9474055997098</v>
      </c>
      <c r="T112" s="22">
        <f t="shared" si="31"/>
        <v>2788.9474055997098</v>
      </c>
      <c r="U112" s="22">
        <f t="shared" si="32"/>
        <v>2788.9474055997098</v>
      </c>
      <c r="V112" s="22">
        <f t="shared" si="33"/>
        <v>2766.2175149777072</v>
      </c>
      <c r="W112" s="22">
        <f t="shared" si="34"/>
        <v>2766.2175149777072</v>
      </c>
    </row>
    <row r="113" spans="1:23" x14ac:dyDescent="0.2">
      <c r="A113">
        <v>6</v>
      </c>
      <c r="B113" s="1">
        <v>36739</v>
      </c>
      <c r="C113" s="21"/>
      <c r="D113" s="22">
        <f t="shared" si="15"/>
        <v>14792.334042025217</v>
      </c>
      <c r="E113" s="22">
        <f t="shared" si="16"/>
        <v>12078.39924119092</v>
      </c>
      <c r="F113" s="22">
        <f t="shared" si="17"/>
        <v>5214.5620772964239</v>
      </c>
      <c r="G113" s="22">
        <f t="shared" si="18"/>
        <v>5214.5620772964239</v>
      </c>
      <c r="H113" s="22">
        <f t="shared" si="19"/>
        <v>3497.9023693475988</v>
      </c>
      <c r="I113" s="22">
        <f t="shared" si="20"/>
        <v>3497.9023693475988</v>
      </c>
      <c r="J113" s="22">
        <f t="shared" si="21"/>
        <v>4850.6526496504039</v>
      </c>
      <c r="K113" s="22">
        <f t="shared" si="22"/>
        <v>4850.6526496504039</v>
      </c>
      <c r="L113" s="22">
        <f t="shared" si="23"/>
        <v>4850.6526496504039</v>
      </c>
      <c r="M113" s="22">
        <f t="shared" si="24"/>
        <v>4850.6526496504039</v>
      </c>
      <c r="N113" s="22">
        <f t="shared" si="25"/>
        <v>3602.5600203932981</v>
      </c>
      <c r="O113" s="22">
        <f t="shared" si="26"/>
        <v>3602.5600203932981</v>
      </c>
      <c r="P113" s="22">
        <f t="shared" si="27"/>
        <v>3602.5600203932981</v>
      </c>
      <c r="Q113" s="22">
        <f t="shared" si="28"/>
        <v>3602.5600203932981</v>
      </c>
      <c r="R113" s="22">
        <f t="shared" si="29"/>
        <v>2809.8703214488023</v>
      </c>
      <c r="S113" s="22">
        <f t="shared" si="30"/>
        <v>2809.8703214488023</v>
      </c>
      <c r="T113" s="22">
        <f t="shared" si="31"/>
        <v>2809.8703214488023</v>
      </c>
      <c r="U113" s="22">
        <f t="shared" si="32"/>
        <v>2809.8703214488023</v>
      </c>
      <c r="V113" s="22">
        <f t="shared" si="33"/>
        <v>2786.969909293196</v>
      </c>
      <c r="W113" s="22">
        <f t="shared" si="34"/>
        <v>2786.969909293196</v>
      </c>
    </row>
    <row r="114" spans="1:23" x14ac:dyDescent="0.2">
      <c r="A114">
        <v>7</v>
      </c>
      <c r="B114" s="1">
        <v>36770</v>
      </c>
      <c r="C114" s="21"/>
      <c r="D114" s="22">
        <f t="shared" si="15"/>
        <v>16774.238733452992</v>
      </c>
      <c r="E114" s="22">
        <f t="shared" si="16"/>
        <v>13927.10353424827</v>
      </c>
      <c r="F114" s="22">
        <f t="shared" si="17"/>
        <v>7127.6360315471411</v>
      </c>
      <c r="G114" s="22">
        <f t="shared" si="18"/>
        <v>7127.6360315471411</v>
      </c>
      <c r="H114" s="22">
        <f t="shared" si="19"/>
        <v>3524.1439244143085</v>
      </c>
      <c r="I114" s="22">
        <f t="shared" si="20"/>
        <v>3524.1439244143085</v>
      </c>
      <c r="J114" s="22">
        <f t="shared" si="21"/>
        <v>6112.1651833824681</v>
      </c>
      <c r="K114" s="22">
        <f t="shared" si="22"/>
        <v>6112.1651833824681</v>
      </c>
      <c r="L114" s="22">
        <f t="shared" si="23"/>
        <v>6112.1651833824681</v>
      </c>
      <c r="M114" s="22">
        <f t="shared" si="24"/>
        <v>6112.1651833824681</v>
      </c>
      <c r="N114" s="22">
        <f t="shared" si="25"/>
        <v>3629.5867258796234</v>
      </c>
      <c r="O114" s="22">
        <f t="shared" si="26"/>
        <v>3629.5867258796234</v>
      </c>
      <c r="P114" s="22">
        <f t="shared" si="27"/>
        <v>3629.5867258796234</v>
      </c>
      <c r="Q114" s="22">
        <f t="shared" si="28"/>
        <v>3629.5867258796234</v>
      </c>
      <c r="R114" s="22">
        <f t="shared" si="29"/>
        <v>3737.7020777561711</v>
      </c>
      <c r="S114" s="22">
        <f t="shared" si="30"/>
        <v>3737.7020777561711</v>
      </c>
      <c r="T114" s="22">
        <f t="shared" si="31"/>
        <v>3737.7020777561711</v>
      </c>
      <c r="U114" s="22">
        <f t="shared" si="32"/>
        <v>3737.7020777561711</v>
      </c>
      <c r="V114" s="22">
        <f t="shared" si="33"/>
        <v>3707.5773502168722</v>
      </c>
      <c r="W114" s="22">
        <f t="shared" si="34"/>
        <v>3707.5773502168722</v>
      </c>
    </row>
    <row r="115" spans="1:23" x14ac:dyDescent="0.2">
      <c r="A115">
        <v>8</v>
      </c>
      <c r="B115" s="1">
        <v>36800</v>
      </c>
      <c r="C115" s="21"/>
      <c r="D115" s="22">
        <f t="shared" si="15"/>
        <v>18771.011839034581</v>
      </c>
      <c r="E115" s="22">
        <f t="shared" si="16"/>
        <v>15789.676960970826</v>
      </c>
      <c r="F115" s="22">
        <f t="shared" si="17"/>
        <v>9055.0620260254764</v>
      </c>
      <c r="G115" s="22">
        <f t="shared" si="18"/>
        <v>9055.0620260254764</v>
      </c>
      <c r="H115" s="22">
        <f t="shared" si="19"/>
        <v>5254.2683687305907</v>
      </c>
      <c r="I115" s="22">
        <f t="shared" si="20"/>
        <v>5254.2683687305907</v>
      </c>
      <c r="J115" s="22">
        <f t="shared" si="21"/>
        <v>7383.1416892686348</v>
      </c>
      <c r="K115" s="22">
        <f t="shared" si="22"/>
        <v>7383.1416892686348</v>
      </c>
      <c r="L115" s="22">
        <f t="shared" si="23"/>
        <v>7383.1416892686348</v>
      </c>
      <c r="M115" s="22">
        <f t="shared" si="24"/>
        <v>7383.1416892686348</v>
      </c>
      <c r="N115" s="22">
        <f t="shared" si="25"/>
        <v>4873.8787046293992</v>
      </c>
      <c r="O115" s="22">
        <f t="shared" si="26"/>
        <v>4873.8787046293992</v>
      </c>
      <c r="P115" s="22">
        <f t="shared" si="27"/>
        <v>3656.8161879627323</v>
      </c>
      <c r="Q115" s="22">
        <f t="shared" si="28"/>
        <v>3656.8161879627323</v>
      </c>
      <c r="R115" s="22">
        <f t="shared" si="29"/>
        <v>3765.7426302186709</v>
      </c>
      <c r="S115" s="22">
        <f t="shared" si="30"/>
        <v>3765.7426302186709</v>
      </c>
      <c r="T115" s="22">
        <f t="shared" si="31"/>
        <v>3765.7426302186709</v>
      </c>
      <c r="U115" s="22">
        <f t="shared" si="32"/>
        <v>3765.7426302186709</v>
      </c>
      <c r="V115" s="22">
        <f t="shared" si="33"/>
        <v>3735.3919044629779</v>
      </c>
      <c r="W115" s="22">
        <f t="shared" si="34"/>
        <v>3735.3919044629779</v>
      </c>
    </row>
    <row r="116" spans="1:23" x14ac:dyDescent="0.2">
      <c r="A116">
        <v>9</v>
      </c>
      <c r="B116" s="1">
        <v>36831</v>
      </c>
      <c r="C116" s="21"/>
      <c r="D116" s="22">
        <f t="shared" si="15"/>
        <v>20782.764902852003</v>
      </c>
      <c r="E116" s="22">
        <f t="shared" si="16"/>
        <v>17666.223568755111</v>
      </c>
      <c r="F116" s="22">
        <f t="shared" si="17"/>
        <v>10996.947730933221</v>
      </c>
      <c r="G116" s="22">
        <f t="shared" si="18"/>
        <v>10996.947730933221</v>
      </c>
      <c r="H116" s="22">
        <f t="shared" si="19"/>
        <v>7167.6402028885041</v>
      </c>
      <c r="I116" s="22">
        <f t="shared" si="20"/>
        <v>7167.6402028885041</v>
      </c>
      <c r="J116" s="22">
        <f t="shared" si="21"/>
        <v>8663.6531668166681</v>
      </c>
      <c r="K116" s="22">
        <f t="shared" si="22"/>
        <v>8663.6531668166681</v>
      </c>
      <c r="L116" s="22">
        <f t="shared" si="23"/>
        <v>8663.6531668166681</v>
      </c>
      <c r="M116" s="22">
        <f t="shared" si="24"/>
        <v>8663.6531668166681</v>
      </c>
      <c r="N116" s="22">
        <f t="shared" si="25"/>
        <v>6127.5054654947535</v>
      </c>
      <c r="O116" s="22">
        <f t="shared" si="26"/>
        <v>6127.5054654947535</v>
      </c>
      <c r="P116" s="22">
        <f t="shared" si="27"/>
        <v>3684.2499277395109</v>
      </c>
      <c r="Q116" s="22">
        <f t="shared" si="28"/>
        <v>3684.2499277395109</v>
      </c>
      <c r="R116" s="22">
        <f t="shared" si="29"/>
        <v>3793.993545242457</v>
      </c>
      <c r="S116" s="22">
        <f t="shared" si="30"/>
        <v>3793.993545242457</v>
      </c>
      <c r="T116" s="22">
        <f t="shared" si="31"/>
        <v>3793.993545242457</v>
      </c>
      <c r="U116" s="22">
        <f t="shared" si="32"/>
        <v>3793.993545242457</v>
      </c>
      <c r="V116" s="22">
        <f t="shared" si="33"/>
        <v>3763.4151258129177</v>
      </c>
      <c r="W116" s="22">
        <f t="shared" si="34"/>
        <v>3763.4151258129177</v>
      </c>
    </row>
    <row r="117" spans="1:23" x14ac:dyDescent="0.2">
      <c r="A117">
        <v>10</v>
      </c>
      <c r="B117" s="1">
        <v>36861</v>
      </c>
      <c r="C117" s="21"/>
      <c r="D117" s="22">
        <f t="shared" si="15"/>
        <v>22809.61030580027</v>
      </c>
      <c r="E117" s="22">
        <f t="shared" si="16"/>
        <v>19556.848185569874</v>
      </c>
      <c r="F117" s="22">
        <f t="shared" si="17"/>
        <v>12953.401624222992</v>
      </c>
      <c r="G117" s="22">
        <f t="shared" si="18"/>
        <v>12953.401624222992</v>
      </c>
      <c r="H117" s="22">
        <f t="shared" si="19"/>
        <v>9095.3663119939229</v>
      </c>
      <c r="I117" s="22">
        <f t="shared" si="20"/>
        <v>9095.3663119939229</v>
      </c>
      <c r="J117" s="22">
        <f t="shared" si="21"/>
        <v>9953.7711481785573</v>
      </c>
      <c r="K117" s="22">
        <f t="shared" si="22"/>
        <v>9953.7711481785573</v>
      </c>
      <c r="L117" s="22">
        <f t="shared" si="23"/>
        <v>9953.7711481785573</v>
      </c>
      <c r="M117" s="22">
        <f t="shared" si="24"/>
        <v>9953.7711481785573</v>
      </c>
      <c r="N117" s="22">
        <f t="shared" si="25"/>
        <v>7390.5370387890162</v>
      </c>
      <c r="O117" s="22">
        <f t="shared" si="26"/>
        <v>7390.5370387890162</v>
      </c>
      <c r="P117" s="22">
        <f t="shared" si="27"/>
        <v>3711.8894777182395</v>
      </c>
      <c r="Q117" s="22">
        <f t="shared" si="28"/>
        <v>3711.8894777182395</v>
      </c>
      <c r="R117" s="22">
        <f t="shared" si="29"/>
        <v>3822.4564009849942</v>
      </c>
      <c r="S117" s="22">
        <f t="shared" si="30"/>
        <v>3822.4564009849942</v>
      </c>
      <c r="T117" s="22">
        <f t="shared" si="31"/>
        <v>3822.4564009849942</v>
      </c>
      <c r="U117" s="22">
        <f t="shared" si="32"/>
        <v>3822.4564009849942</v>
      </c>
      <c r="V117" s="22">
        <f t="shared" si="33"/>
        <v>3791.648579704693</v>
      </c>
      <c r="W117" s="22">
        <f t="shared" si="34"/>
        <v>3791.648579704693</v>
      </c>
    </row>
    <row r="118" spans="1:23" x14ac:dyDescent="0.2">
      <c r="A118">
        <v>11</v>
      </c>
      <c r="B118" s="1">
        <v>36892</v>
      </c>
      <c r="C118" s="21"/>
      <c r="D118" s="22">
        <f t="shared" si="15"/>
        <v>24851.66127186524</v>
      </c>
      <c r="E118" s="22">
        <f t="shared" si="16"/>
        <v>21461.656425812034</v>
      </c>
      <c r="F118" s="22">
        <f t="shared" si="17"/>
        <v>14924.532997658047</v>
      </c>
      <c r="G118" s="22">
        <f t="shared" si="18"/>
        <v>14924.532997658047</v>
      </c>
      <c r="H118" s="22">
        <f t="shared" si="19"/>
        <v>11037.554383013692</v>
      </c>
      <c r="I118" s="22">
        <f t="shared" si="20"/>
        <v>11037.554383013692</v>
      </c>
      <c r="J118" s="22">
        <f t="shared" si="21"/>
        <v>11253.567702146454</v>
      </c>
      <c r="K118" s="22">
        <f t="shared" si="22"/>
        <v>11253.567702146454</v>
      </c>
      <c r="L118" s="22">
        <f t="shared" si="23"/>
        <v>11253.567702146454</v>
      </c>
      <c r="M118" s="22">
        <f t="shared" si="24"/>
        <v>11253.567702146454</v>
      </c>
      <c r="N118" s="22">
        <f t="shared" si="25"/>
        <v>8663.0439801987632</v>
      </c>
      <c r="O118" s="22">
        <f t="shared" si="26"/>
        <v>8663.0439801987632</v>
      </c>
      <c r="P118" s="22">
        <f t="shared" si="27"/>
        <v>3739.7363819042043</v>
      </c>
      <c r="Q118" s="22">
        <f t="shared" si="28"/>
        <v>3739.7363819042043</v>
      </c>
      <c r="R118" s="22">
        <f t="shared" si="29"/>
        <v>3851.1327874432168</v>
      </c>
      <c r="S118" s="22">
        <f t="shared" si="30"/>
        <v>3851.1327874432168</v>
      </c>
      <c r="T118" s="22">
        <f t="shared" si="31"/>
        <v>3851.1327874432168</v>
      </c>
      <c r="U118" s="22">
        <f t="shared" si="32"/>
        <v>3851.1327874432168</v>
      </c>
      <c r="V118" s="22">
        <f t="shared" si="33"/>
        <v>3820.0938433203523</v>
      </c>
      <c r="W118" s="22">
        <f t="shared" si="34"/>
        <v>3820.0938433203523</v>
      </c>
    </row>
    <row r="119" spans="1:23" x14ac:dyDescent="0.2">
      <c r="A119">
        <v>12</v>
      </c>
      <c r="B119" s="1">
        <v>36923</v>
      </c>
      <c r="C119" s="21"/>
      <c r="D119" s="22">
        <f t="shared" si="15"/>
        <v>26909.031874448541</v>
      </c>
      <c r="E119" s="22">
        <f t="shared" si="16"/>
        <v>23380.75469620651</v>
      </c>
      <c r="F119" s="22">
        <f t="shared" si="17"/>
        <v>16910.451962917559</v>
      </c>
      <c r="G119" s="22">
        <f t="shared" si="18"/>
        <v>16910.451962917559</v>
      </c>
      <c r="H119" s="22">
        <f t="shared" si="19"/>
        <v>12994.312910791259</v>
      </c>
      <c r="I119" s="22">
        <f t="shared" si="20"/>
        <v>12994.312910791259</v>
      </c>
      <c r="J119" s="22">
        <f t="shared" si="21"/>
        <v>12563.115438178598</v>
      </c>
      <c r="K119" s="22">
        <f t="shared" si="22"/>
        <v>12563.115438178598</v>
      </c>
      <c r="L119" s="22">
        <f t="shared" si="23"/>
        <v>12563.115438178598</v>
      </c>
      <c r="M119" s="22">
        <f t="shared" si="24"/>
        <v>12563.115438178598</v>
      </c>
      <c r="N119" s="22">
        <f t="shared" si="25"/>
        <v>9945.0973747252119</v>
      </c>
      <c r="O119" s="22">
        <f t="shared" si="26"/>
        <v>9945.0973747252119</v>
      </c>
      <c r="P119" s="22">
        <f t="shared" si="27"/>
        <v>3767.7921958859479</v>
      </c>
      <c r="Q119" s="22">
        <f t="shared" si="28"/>
        <v>3767.7921958859479</v>
      </c>
      <c r="R119" s="22">
        <f t="shared" si="29"/>
        <v>3880.0243065423479</v>
      </c>
      <c r="S119" s="22">
        <f t="shared" si="30"/>
        <v>3880.0243065423479</v>
      </c>
      <c r="T119" s="22">
        <f t="shared" si="31"/>
        <v>3880.0243065423479</v>
      </c>
      <c r="U119" s="22">
        <f t="shared" si="32"/>
        <v>3880.0243065423479</v>
      </c>
      <c r="V119" s="22">
        <f t="shared" si="33"/>
        <v>3848.7525056740947</v>
      </c>
      <c r="W119" s="22">
        <f t="shared" si="34"/>
        <v>3848.7525056740947</v>
      </c>
    </row>
    <row r="120" spans="1:23" x14ac:dyDescent="0.2">
      <c r="A120">
        <v>13</v>
      </c>
      <c r="B120" s="1">
        <v>36951</v>
      </c>
      <c r="C120" s="21"/>
      <c r="D120" s="22">
        <f t="shared" si="15"/>
        <v>35614.223257323305</v>
      </c>
      <c r="E120" s="22">
        <f t="shared" si="16"/>
        <v>31547.665591333673</v>
      </c>
      <c r="F120" s="22">
        <f t="shared" si="17"/>
        <v>18911.269457747694</v>
      </c>
      <c r="G120" s="22">
        <f t="shared" si="18"/>
        <v>18911.269457747694</v>
      </c>
      <c r="H120" s="22">
        <f t="shared" si="19"/>
        <v>14965.751204107422</v>
      </c>
      <c r="I120" s="22">
        <f t="shared" si="20"/>
        <v>14965.751204107422</v>
      </c>
      <c r="J120" s="22">
        <f t="shared" si="21"/>
        <v>13882.487510455432</v>
      </c>
      <c r="K120" s="22">
        <f t="shared" si="22"/>
        <v>13882.487510455432</v>
      </c>
      <c r="L120" s="22">
        <f t="shared" si="23"/>
        <v>13882.487510455432</v>
      </c>
      <c r="M120" s="22">
        <f t="shared" si="24"/>
        <v>13882.487510455432</v>
      </c>
      <c r="N120" s="22">
        <f t="shared" si="25"/>
        <v>11236.768840655181</v>
      </c>
      <c r="O120" s="22">
        <f t="shared" si="26"/>
        <v>11236.768840655181</v>
      </c>
      <c r="P120" s="22">
        <f t="shared" si="27"/>
        <v>3796.058486922167</v>
      </c>
      <c r="Q120" s="22">
        <f t="shared" si="28"/>
        <v>3796.058486922167</v>
      </c>
      <c r="R120" s="22">
        <f t="shared" si="29"/>
        <v>3909.1325722253869</v>
      </c>
      <c r="S120" s="22">
        <f t="shared" si="30"/>
        <v>3909.1325722253869</v>
      </c>
      <c r="T120" s="22">
        <f t="shared" si="31"/>
        <v>3909.1325722253869</v>
      </c>
      <c r="U120" s="22">
        <f t="shared" si="32"/>
        <v>3909.1325722253869</v>
      </c>
      <c r="V120" s="22">
        <f t="shared" si="33"/>
        <v>3877.626167701037</v>
      </c>
      <c r="W120" s="22">
        <f t="shared" si="34"/>
        <v>3877.626167701037</v>
      </c>
    </row>
    <row r="121" spans="1:23" x14ac:dyDescent="0.2">
      <c r="A121">
        <v>14</v>
      </c>
      <c r="B121" s="1">
        <v>36982</v>
      </c>
      <c r="C121" s="21"/>
      <c r="D121" s="22">
        <f>(D120)*(1+$G$14/12)</f>
        <v>35881.404128051676</v>
      </c>
      <c r="E121" s="22">
        <f>(E120)*(1+$G$14/12)</f>
        <v>31784.338807571989</v>
      </c>
      <c r="F121" s="22">
        <f t="shared" ref="F121:O124" si="35">(F120+F64)*(1+$G$14/12)</f>
        <v>20927.097252158837</v>
      </c>
      <c r="G121" s="22">
        <f t="shared" si="35"/>
        <v>20927.097252158837</v>
      </c>
      <c r="H121" s="22">
        <f t="shared" si="35"/>
        <v>16951.979391786568</v>
      </c>
      <c r="I121" s="22">
        <f t="shared" si="35"/>
        <v>16951.979391786568</v>
      </c>
      <c r="J121" s="22">
        <f t="shared" si="35"/>
        <v>15211.757621966161</v>
      </c>
      <c r="K121" s="22">
        <f t="shared" si="35"/>
        <v>15211.757621966161</v>
      </c>
      <c r="L121" s="22">
        <f t="shared" si="35"/>
        <v>15211.757621966161</v>
      </c>
      <c r="M121" s="22">
        <f t="shared" si="35"/>
        <v>15211.757621966161</v>
      </c>
      <c r="N121" s="22">
        <f t="shared" si="35"/>
        <v>12538.130533561845</v>
      </c>
      <c r="O121" s="22">
        <f t="shared" si="35"/>
        <v>12538.130533561845</v>
      </c>
      <c r="P121" s="22">
        <f t="shared" ref="P121:W124" si="36">(P120+P64)*(1+$G$14/12)</f>
        <v>3824.5368340292639</v>
      </c>
      <c r="Q121" s="22">
        <f t="shared" si="36"/>
        <v>3824.5368340292639</v>
      </c>
      <c r="R121" s="22">
        <f t="shared" si="36"/>
        <v>3938.4592105432689</v>
      </c>
      <c r="S121" s="22">
        <f t="shared" si="36"/>
        <v>3938.4592105432689</v>
      </c>
      <c r="T121" s="22">
        <f t="shared" si="36"/>
        <v>3938.4592105432689</v>
      </c>
      <c r="U121" s="22">
        <f t="shared" si="36"/>
        <v>3938.4592105432689</v>
      </c>
      <c r="V121" s="22">
        <f t="shared" si="36"/>
        <v>3906.7164423466438</v>
      </c>
      <c r="W121" s="22">
        <f t="shared" si="36"/>
        <v>3906.7164423466438</v>
      </c>
    </row>
    <row r="122" spans="1:23" x14ac:dyDescent="0.2">
      <c r="A122">
        <v>15</v>
      </c>
      <c r="B122" s="1">
        <v>37012</v>
      </c>
      <c r="C122" s="21"/>
      <c r="E122" s="22"/>
      <c r="F122" s="22">
        <f t="shared" si="35"/>
        <v>22958.047954669302</v>
      </c>
      <c r="G122" s="22">
        <f t="shared" si="35"/>
        <v>22958.047954669302</v>
      </c>
      <c r="H122" s="22">
        <f t="shared" si="35"/>
        <v>18953.1084288487</v>
      </c>
      <c r="I122" s="22">
        <f t="shared" si="35"/>
        <v>18953.1084288487</v>
      </c>
      <c r="J122" s="22">
        <f t="shared" si="35"/>
        <v>16551.000028625949</v>
      </c>
      <c r="K122" s="22">
        <f t="shared" si="35"/>
        <v>16551.000028625949</v>
      </c>
      <c r="L122" s="22">
        <f t="shared" si="35"/>
        <v>16551.000028625949</v>
      </c>
      <c r="M122" s="22">
        <f t="shared" si="35"/>
        <v>16551.000028625949</v>
      </c>
      <c r="N122" s="22">
        <f t="shared" si="35"/>
        <v>13849.255150335503</v>
      </c>
      <c r="O122" s="22">
        <f t="shared" si="35"/>
        <v>13849.255150335503</v>
      </c>
      <c r="P122" s="22">
        <f t="shared" si="36"/>
        <v>5070.2913447362207</v>
      </c>
      <c r="Q122" s="22">
        <f t="shared" si="36"/>
        <v>5070.2913447362207</v>
      </c>
      <c r="R122" s="22">
        <f t="shared" si="36"/>
        <v>3968.0058597456982</v>
      </c>
      <c r="S122" s="22">
        <f t="shared" si="36"/>
        <v>3968.0058597456982</v>
      </c>
      <c r="T122" s="22">
        <f t="shared" si="36"/>
        <v>3968.0058597456982</v>
      </c>
      <c r="U122" s="22">
        <f t="shared" si="36"/>
        <v>3968.0058597456982</v>
      </c>
      <c r="V122" s="22">
        <f t="shared" si="36"/>
        <v>3936.0249546568316</v>
      </c>
      <c r="W122" s="22">
        <f t="shared" si="36"/>
        <v>3936.0249546568316</v>
      </c>
    </row>
    <row r="123" spans="1:23" x14ac:dyDescent="0.2">
      <c r="A123">
        <v>16</v>
      </c>
      <c r="B123" s="1">
        <v>37043</v>
      </c>
      <c r="C123" s="21"/>
      <c r="E123" s="22"/>
      <c r="F123" s="22">
        <f t="shared" si="35"/>
        <v>25004.235018595893</v>
      </c>
      <c r="G123" s="22">
        <f t="shared" si="35"/>
        <v>25004.235018595893</v>
      </c>
      <c r="H123" s="22">
        <f t="shared" si="35"/>
        <v>20969.250102707625</v>
      </c>
      <c r="I123" s="22">
        <f t="shared" si="35"/>
        <v>20969.250102707625</v>
      </c>
      <c r="J123" s="22">
        <f t="shared" si="35"/>
        <v>17900.289543424034</v>
      </c>
      <c r="K123" s="22">
        <f t="shared" si="35"/>
        <v>17900.289543424034</v>
      </c>
      <c r="L123" s="22">
        <f t="shared" si="35"/>
        <v>17900.289543424034</v>
      </c>
      <c r="M123" s="22">
        <f t="shared" si="35"/>
        <v>17900.289543424034</v>
      </c>
      <c r="N123" s="22">
        <f t="shared" si="35"/>
        <v>15170.215933244581</v>
      </c>
      <c r="O123" s="22">
        <f t="shared" si="35"/>
        <v>15170.215933244581</v>
      </c>
      <c r="P123" s="22">
        <f t="shared" si="36"/>
        <v>6325.3916095953764</v>
      </c>
      <c r="Q123" s="22">
        <f t="shared" si="36"/>
        <v>6325.3916095953764</v>
      </c>
      <c r="R123" s="22">
        <f t="shared" si="36"/>
        <v>3997.7741703726651</v>
      </c>
      <c r="S123" s="22">
        <f t="shared" si="36"/>
        <v>3997.7741703726651</v>
      </c>
      <c r="T123" s="22">
        <f t="shared" si="36"/>
        <v>4632.5004828726651</v>
      </c>
      <c r="U123" s="22">
        <f t="shared" si="36"/>
        <v>4632.5004828726651</v>
      </c>
      <c r="V123" s="22">
        <f t="shared" si="36"/>
        <v>3965.5533418687464</v>
      </c>
      <c r="W123" s="22">
        <f t="shared" si="36"/>
        <v>3965.5533418687464</v>
      </c>
    </row>
    <row r="124" spans="1:23" x14ac:dyDescent="0.2">
      <c r="A124">
        <v>17</v>
      </c>
      <c r="B124" s="1">
        <v>37073</v>
      </c>
      <c r="C124" s="21"/>
      <c r="E124" s="22"/>
      <c r="F124" s="22">
        <f t="shared" si="35"/>
        <v>33709.241485891645</v>
      </c>
      <c r="G124" s="22">
        <f t="shared" si="35"/>
        <v>33709.241485891645</v>
      </c>
      <c r="H124" s="22">
        <f t="shared" si="35"/>
        <v>23000.517039415645</v>
      </c>
      <c r="I124" s="22">
        <f t="shared" si="35"/>
        <v>23000.517039415645</v>
      </c>
      <c r="J124" s="22">
        <f t="shared" si="35"/>
        <v>19259.701540602928</v>
      </c>
      <c r="K124" s="22">
        <f t="shared" si="35"/>
        <v>19259.701540602928</v>
      </c>
      <c r="L124" s="22">
        <f t="shared" si="35"/>
        <v>19259.701540602928</v>
      </c>
      <c r="M124" s="22">
        <f t="shared" si="35"/>
        <v>19259.701540602928</v>
      </c>
      <c r="N124" s="22">
        <f t="shared" si="35"/>
        <v>16501.086674027109</v>
      </c>
      <c r="O124" s="22">
        <f t="shared" si="35"/>
        <v>16501.086674027109</v>
      </c>
      <c r="P124" s="22">
        <f t="shared" si="36"/>
        <v>7589.9077412331944</v>
      </c>
      <c r="Q124" s="22">
        <f t="shared" si="36"/>
        <v>7589.9077412331944</v>
      </c>
      <c r="R124" s="22">
        <f t="shared" si="36"/>
        <v>5297.2184303466483</v>
      </c>
      <c r="S124" s="22">
        <f t="shared" si="36"/>
        <v>5297.2184303466483</v>
      </c>
      <c r="T124" s="22">
        <f t="shared" si="36"/>
        <v>5936.7065125368817</v>
      </c>
      <c r="U124" s="22">
        <f t="shared" si="36"/>
        <v>5936.7065125368817</v>
      </c>
      <c r="V124" s="22">
        <f t="shared" si="36"/>
        <v>3995.3032535022239</v>
      </c>
      <c r="W124" s="22">
        <f t="shared" si="36"/>
        <v>3995.3032535022239</v>
      </c>
    </row>
    <row r="125" spans="1:23" x14ac:dyDescent="0.2">
      <c r="A125">
        <v>18</v>
      </c>
      <c r="B125" s="1">
        <v>37104</v>
      </c>
      <c r="C125" s="21"/>
      <c r="E125" s="22"/>
      <c r="F125" s="22">
        <f>(F124)*(1+$G$14/12)</f>
        <v>33962.131024622257</v>
      </c>
      <c r="G125" s="22">
        <f>(G124)*(1+$G$14/12)</f>
        <v>33962.131024622257</v>
      </c>
      <c r="H125" s="22">
        <f t="shared" ref="H125:W126" si="37">(H124+H68)*(1+$G$14/12)</f>
        <v>25047.02270995509</v>
      </c>
      <c r="I125" s="22">
        <f t="shared" si="37"/>
        <v>25047.02270995509</v>
      </c>
      <c r="J125" s="22">
        <f t="shared" si="37"/>
        <v>20629.311959868992</v>
      </c>
      <c r="K125" s="22">
        <f t="shared" si="37"/>
        <v>20629.311959868992</v>
      </c>
      <c r="L125" s="22">
        <f t="shared" si="37"/>
        <v>20629.311959868992</v>
      </c>
      <c r="M125" s="22">
        <f t="shared" si="37"/>
        <v>20629.311959868992</v>
      </c>
      <c r="N125" s="22">
        <f t="shared" si="37"/>
        <v>17841.94171801288</v>
      </c>
      <c r="O125" s="22">
        <f t="shared" si="37"/>
        <v>17841.94171801288</v>
      </c>
      <c r="P125" s="22">
        <f t="shared" si="37"/>
        <v>8863.9103782669026</v>
      </c>
      <c r="Q125" s="22">
        <f t="shared" si="37"/>
        <v>8863.9103782669026</v>
      </c>
      <c r="R125" s="22">
        <f t="shared" si="37"/>
        <v>6606.4112294459774</v>
      </c>
      <c r="S125" s="22">
        <f t="shared" si="37"/>
        <v>6606.4112294459774</v>
      </c>
      <c r="T125" s="22">
        <f t="shared" si="37"/>
        <v>7250.6968045194753</v>
      </c>
      <c r="U125" s="22">
        <f t="shared" si="37"/>
        <v>7250.6968045194753</v>
      </c>
      <c r="V125" s="22">
        <f t="shared" si="37"/>
        <v>4025.2763514519352</v>
      </c>
      <c r="W125" s="22">
        <f t="shared" si="37"/>
        <v>4025.2763514519352</v>
      </c>
    </row>
    <row r="126" spans="1:23" x14ac:dyDescent="0.2">
      <c r="A126">
        <v>19</v>
      </c>
      <c r="B126" s="1">
        <v>37135</v>
      </c>
      <c r="C126" s="21"/>
      <c r="E126" s="22"/>
      <c r="H126" s="22">
        <f t="shared" si="37"/>
        <v>33752.350174077066</v>
      </c>
      <c r="I126" s="22">
        <f t="shared" si="37"/>
        <v>33752.350174077066</v>
      </c>
      <c r="J126" s="22">
        <f t="shared" si="37"/>
        <v>22009.19731063459</v>
      </c>
      <c r="K126" s="22">
        <f t="shared" si="37"/>
        <v>22009.19731063459</v>
      </c>
      <c r="L126" s="22">
        <f t="shared" si="37"/>
        <v>22009.19731063459</v>
      </c>
      <c r="M126" s="22">
        <f t="shared" si="37"/>
        <v>22009.19731063459</v>
      </c>
      <c r="N126" s="22">
        <f t="shared" si="37"/>
        <v>19192.855968276555</v>
      </c>
      <c r="O126" s="22">
        <f t="shared" si="37"/>
        <v>19192.855968276555</v>
      </c>
      <c r="P126" s="22">
        <f t="shared" si="37"/>
        <v>10147.470689250526</v>
      </c>
      <c r="Q126" s="22">
        <f t="shared" si="37"/>
        <v>10147.470689250526</v>
      </c>
      <c r="R126" s="22">
        <f t="shared" si="37"/>
        <v>7925.4257020235491</v>
      </c>
      <c r="S126" s="22">
        <f t="shared" si="37"/>
        <v>7925.4257020235491</v>
      </c>
      <c r="T126" s="22">
        <f t="shared" si="37"/>
        <v>8574.5447611717136</v>
      </c>
      <c r="U126" s="22">
        <f t="shared" si="37"/>
        <v>8574.5447611717136</v>
      </c>
      <c r="V126" s="22">
        <f t="shared" si="37"/>
        <v>4055.4743100802234</v>
      </c>
      <c r="W126" s="22">
        <f t="shared" si="37"/>
        <v>4055.4743100802234</v>
      </c>
    </row>
    <row r="127" spans="1:23" x14ac:dyDescent="0.2">
      <c r="A127">
        <v>20</v>
      </c>
      <c r="B127" s="1">
        <v>37165</v>
      </c>
      <c r="C127" s="21"/>
      <c r="E127" s="22"/>
      <c r="H127" s="22">
        <f>(H126)*(1+$G$14/12)</f>
        <v>34005.563117778838</v>
      </c>
      <c r="I127" s="22">
        <f>(I126)*(1+$G$14/12)</f>
        <v>34005.563117778838</v>
      </c>
      <c r="J127" s="22">
        <f t="shared" ref="J127:W130" si="38">(J126+J70)*(1+$G$14/12)</f>
        <v>23399.43467629208</v>
      </c>
      <c r="K127" s="22">
        <f t="shared" si="38"/>
        <v>23399.43467629208</v>
      </c>
      <c r="L127" s="22">
        <f t="shared" si="38"/>
        <v>23399.43467629208</v>
      </c>
      <c r="M127" s="22">
        <f t="shared" si="38"/>
        <v>23399.43467629208</v>
      </c>
      <c r="N127" s="22">
        <f t="shared" si="38"/>
        <v>20553.904889821893</v>
      </c>
      <c r="O127" s="22">
        <f t="shared" si="38"/>
        <v>20553.904889821893</v>
      </c>
      <c r="P127" s="22">
        <f t="shared" si="38"/>
        <v>11440.660376650507</v>
      </c>
      <c r="Q127" s="22">
        <f t="shared" si="38"/>
        <v>11440.660376650507</v>
      </c>
      <c r="R127" s="22">
        <f t="shared" si="38"/>
        <v>9254.3355310922707</v>
      </c>
      <c r="S127" s="22">
        <f t="shared" si="38"/>
        <v>9254.3355310922707</v>
      </c>
      <c r="T127" s="22">
        <f t="shared" si="38"/>
        <v>9908.3243355154191</v>
      </c>
      <c r="U127" s="22">
        <f t="shared" si="38"/>
        <v>9908.3243355154191</v>
      </c>
      <c r="V127" s="22">
        <f t="shared" si="38"/>
        <v>5345.2764204773039</v>
      </c>
      <c r="W127" s="22">
        <f t="shared" si="38"/>
        <v>5345.2764204773039</v>
      </c>
    </row>
    <row r="128" spans="1:23" x14ac:dyDescent="0.2">
      <c r="A128">
        <v>21</v>
      </c>
      <c r="B128" s="1">
        <v>37196</v>
      </c>
      <c r="C128" s="21"/>
      <c r="E128" s="22"/>
      <c r="J128" s="22">
        <f t="shared" si="38"/>
        <v>24800.101718519843</v>
      </c>
      <c r="K128" s="22">
        <f t="shared" si="38"/>
        <v>24800.101718519843</v>
      </c>
      <c r="L128" s="22">
        <f t="shared" si="38"/>
        <v>24800.101718519843</v>
      </c>
      <c r="M128" s="22">
        <f t="shared" si="38"/>
        <v>24800.101718519843</v>
      </c>
      <c r="N128" s="22">
        <f t="shared" si="38"/>
        <v>21925.164513797408</v>
      </c>
      <c r="O128" s="22">
        <f t="shared" si="38"/>
        <v>21925.164513797408</v>
      </c>
      <c r="P128" s="22">
        <f t="shared" si="38"/>
        <v>12743.551680851169</v>
      </c>
      <c r="Q128" s="22">
        <f t="shared" si="38"/>
        <v>12743.551680851169</v>
      </c>
      <c r="R128" s="22">
        <f t="shared" si="38"/>
        <v>10593.214952441151</v>
      </c>
      <c r="S128" s="22">
        <f t="shared" si="38"/>
        <v>10593.214952441151</v>
      </c>
      <c r="T128" s="22">
        <f t="shared" si="38"/>
        <v>11252.110035374149</v>
      </c>
      <c r="U128" s="22">
        <f t="shared" si="38"/>
        <v>11252.110035374149</v>
      </c>
      <c r="V128" s="22">
        <f t="shared" si="38"/>
        <v>6644.7547337900924</v>
      </c>
      <c r="W128" s="22">
        <f t="shared" si="38"/>
        <v>6644.7547337900924</v>
      </c>
    </row>
    <row r="129" spans="1:23" x14ac:dyDescent="0.2">
      <c r="A129">
        <v>22</v>
      </c>
      <c r="B129" s="1">
        <v>37226</v>
      </c>
      <c r="C129" s="21"/>
      <c r="E129" s="22"/>
      <c r="F129" s="22"/>
      <c r="G129" s="22"/>
      <c r="J129" s="22">
        <f t="shared" si="38"/>
        <v>26386.582044120652</v>
      </c>
      <c r="K129" s="22">
        <f t="shared" si="38"/>
        <v>26386.582044120652</v>
      </c>
      <c r="L129" s="22">
        <f t="shared" si="38"/>
        <v>26386.582044120652</v>
      </c>
      <c r="M129" s="22">
        <f t="shared" si="38"/>
        <v>26386.582044120652</v>
      </c>
      <c r="N129" s="22">
        <f t="shared" si="38"/>
        <v>23306.711441743624</v>
      </c>
      <c r="O129" s="22">
        <f t="shared" si="38"/>
        <v>23306.711441743624</v>
      </c>
      <c r="P129" s="22">
        <f t="shared" si="38"/>
        <v>14056.21738419022</v>
      </c>
      <c r="Q129" s="22">
        <f t="shared" si="38"/>
        <v>14056.21738419022</v>
      </c>
      <c r="R129" s="22">
        <f t="shared" si="38"/>
        <v>11942.138758782276</v>
      </c>
      <c r="S129" s="22">
        <f t="shared" si="38"/>
        <v>11942.138758782276</v>
      </c>
      <c r="T129" s="22">
        <f t="shared" si="38"/>
        <v>12605.976927535361</v>
      </c>
      <c r="U129" s="22">
        <f t="shared" si="38"/>
        <v>12605.976927535361</v>
      </c>
      <c r="V129" s="22">
        <f t="shared" si="38"/>
        <v>7953.981841699213</v>
      </c>
      <c r="W129" s="22">
        <f t="shared" si="38"/>
        <v>7953.981841699213</v>
      </c>
    </row>
    <row r="130" spans="1:23" x14ac:dyDescent="0.2">
      <c r="A130">
        <v>23</v>
      </c>
      <c r="B130" s="1">
        <v>37257</v>
      </c>
      <c r="C130" s="21"/>
      <c r="E130" s="22"/>
      <c r="F130" s="22"/>
      <c r="G130" s="22"/>
      <c r="J130" s="22">
        <f t="shared" si="38"/>
        <v>35334.691975247479</v>
      </c>
      <c r="K130" s="22">
        <f t="shared" si="38"/>
        <v>35334.691975247479</v>
      </c>
      <c r="L130" s="22">
        <f t="shared" si="38"/>
        <v>35334.691975247479</v>
      </c>
      <c r="M130" s="22">
        <f t="shared" si="38"/>
        <v>35334.691975247479</v>
      </c>
      <c r="N130" s="22">
        <f t="shared" si="38"/>
        <v>24698.622849872201</v>
      </c>
      <c r="O130" s="22">
        <f t="shared" si="38"/>
        <v>24698.622849872201</v>
      </c>
      <c r="P130" s="22">
        <f t="shared" si="38"/>
        <v>15378.73081502453</v>
      </c>
      <c r="Q130" s="22">
        <f t="shared" si="38"/>
        <v>15378.73081502453</v>
      </c>
      <c r="R130" s="22">
        <f t="shared" si="38"/>
        <v>13301.182303928888</v>
      </c>
      <c r="S130" s="22">
        <f t="shared" si="38"/>
        <v>13301.182303928888</v>
      </c>
      <c r="T130" s="22">
        <f t="shared" si="38"/>
        <v>13970.000641943807</v>
      </c>
      <c r="U130" s="22">
        <f t="shared" si="38"/>
        <v>13970.000641943807</v>
      </c>
      <c r="V130" s="22">
        <f t="shared" si="38"/>
        <v>9273.0308804741271</v>
      </c>
      <c r="W130" s="22">
        <f t="shared" si="38"/>
        <v>9273.0308804741271</v>
      </c>
    </row>
    <row r="131" spans="1:23" x14ac:dyDescent="0.2">
      <c r="A131">
        <v>24</v>
      </c>
      <c r="B131" s="1">
        <v>37288</v>
      </c>
      <c r="C131" s="21"/>
      <c r="E131" s="22"/>
      <c r="F131" s="22"/>
      <c r="G131" s="22"/>
      <c r="J131" s="22">
        <f>(J130)*(1+$G$14/12)</f>
        <v>35599.775779003445</v>
      </c>
      <c r="K131" s="22">
        <f>(K130)*(1+$G$14/12)</f>
        <v>35599.775779003445</v>
      </c>
      <c r="L131" s="22">
        <f>(L130)*(1+$G$14/12)</f>
        <v>35599.775779003445</v>
      </c>
      <c r="M131" s="22">
        <f>(M130)*(1+$G$14/12)</f>
        <v>35599.775779003445</v>
      </c>
      <c r="N131" s="22">
        <f t="shared" ref="N131:W132" si="39">(N130+N74)*(1+$G$14/12)</f>
        <v>26274.266851710512</v>
      </c>
      <c r="O131" s="22">
        <f t="shared" si="39"/>
        <v>26274.266851710512</v>
      </c>
      <c r="P131" s="22">
        <f t="shared" si="39"/>
        <v>16711.165851826412</v>
      </c>
      <c r="Q131" s="22">
        <f t="shared" si="39"/>
        <v>16711.165851826412</v>
      </c>
      <c r="R131" s="22">
        <f t="shared" si="39"/>
        <v>14670.421507004819</v>
      </c>
      <c r="S131" s="22">
        <f t="shared" si="39"/>
        <v>14670.421507004819</v>
      </c>
      <c r="T131" s="22">
        <f t="shared" si="39"/>
        <v>15344.257375926389</v>
      </c>
      <c r="U131" s="22">
        <f t="shared" si="39"/>
        <v>15344.257375926389</v>
      </c>
      <c r="V131" s="22">
        <f t="shared" si="39"/>
        <v>10601.975535058684</v>
      </c>
      <c r="W131" s="22">
        <f t="shared" si="39"/>
        <v>10601.975535058684</v>
      </c>
    </row>
    <row r="132" spans="1:23" x14ac:dyDescent="0.2">
      <c r="A132">
        <v>25</v>
      </c>
      <c r="B132" s="1">
        <v>37316</v>
      </c>
      <c r="C132" s="21"/>
      <c r="E132" s="22"/>
      <c r="F132" s="22"/>
      <c r="G132" s="22"/>
      <c r="H132" s="22"/>
      <c r="I132" s="22"/>
      <c r="N132" s="22">
        <f t="shared" si="39"/>
        <v>35161.084059904279</v>
      </c>
      <c r="O132" s="22">
        <f t="shared" si="39"/>
        <v>35161.084059904279</v>
      </c>
      <c r="P132" s="22">
        <f t="shared" si="39"/>
        <v>18053.596927310635</v>
      </c>
      <c r="Q132" s="22">
        <f t="shared" si="39"/>
        <v>18053.596927310635</v>
      </c>
      <c r="R132" s="22">
        <f t="shared" si="39"/>
        <v>16049.932856685493</v>
      </c>
      <c r="S132" s="22">
        <f t="shared" si="39"/>
        <v>16049.932856685493</v>
      </c>
      <c r="T132" s="22">
        <f t="shared" si="39"/>
        <v>16728.823898448703</v>
      </c>
      <c r="U132" s="22">
        <f t="shared" si="39"/>
        <v>16728.823898448703</v>
      </c>
      <c r="V132" s="22">
        <f t="shared" si="39"/>
        <v>11940.890043187321</v>
      </c>
      <c r="W132" s="22">
        <f t="shared" si="39"/>
        <v>11940.890043187321</v>
      </c>
    </row>
    <row r="133" spans="1:23" x14ac:dyDescent="0.2">
      <c r="A133">
        <v>26</v>
      </c>
      <c r="B133" s="1">
        <v>37347</v>
      </c>
      <c r="C133" s="21"/>
      <c r="E133" s="22"/>
      <c r="F133" s="22"/>
      <c r="G133" s="22"/>
      <c r="H133" s="22"/>
      <c r="I133" s="22"/>
      <c r="N133" s="22">
        <f>(N132)*(1+$G$14/12)</f>
        <v>35424.865442612012</v>
      </c>
      <c r="O133" s="22">
        <f>(O132)*(1+$G$14/12)</f>
        <v>35424.865442612012</v>
      </c>
      <c r="P133" s="22">
        <f t="shared" ref="P133:W139" si="40">(P132+P76)*(1+$G$14/12)</f>
        <v>19406.099032592396</v>
      </c>
      <c r="Q133" s="22">
        <f t="shared" si="40"/>
        <v>19406.099032592396</v>
      </c>
      <c r="R133" s="22">
        <f t="shared" si="40"/>
        <v>17439.793415470751</v>
      </c>
      <c r="S133" s="22">
        <f t="shared" si="40"/>
        <v>17439.793415470751</v>
      </c>
      <c r="T133" s="22">
        <f t="shared" si="40"/>
        <v>18123.777554403521</v>
      </c>
      <c r="U133" s="22">
        <f t="shared" si="40"/>
        <v>18123.777554403521</v>
      </c>
      <c r="V133" s="22">
        <f t="shared" si="40"/>
        <v>13289.849199532147</v>
      </c>
      <c r="W133" s="22">
        <f t="shared" si="40"/>
        <v>13289.849199532147</v>
      </c>
    </row>
    <row r="134" spans="1:23" x14ac:dyDescent="0.2">
      <c r="A134">
        <v>27</v>
      </c>
      <c r="B134" s="1">
        <v>37377</v>
      </c>
      <c r="C134" s="21"/>
      <c r="E134" s="22"/>
      <c r="F134" s="22"/>
      <c r="G134" s="22"/>
      <c r="H134" s="22"/>
      <c r="I134" s="22"/>
      <c r="P134" s="22">
        <f t="shared" si="40"/>
        <v>20768.747721376487</v>
      </c>
      <c r="Q134" s="22">
        <f t="shared" si="40"/>
        <v>20768.747721376487</v>
      </c>
      <c r="R134" s="22">
        <f t="shared" si="40"/>
        <v>18840.080823989731</v>
      </c>
      <c r="S134" s="22">
        <f t="shared" si="40"/>
        <v>18840.080823989731</v>
      </c>
      <c r="T134" s="22">
        <f t="shared" si="40"/>
        <v>19529.19626893145</v>
      </c>
      <c r="U134" s="22">
        <f t="shared" si="40"/>
        <v>19529.19626893145</v>
      </c>
      <c r="V134" s="22">
        <f t="shared" si="40"/>
        <v>14648.928359881136</v>
      </c>
      <c r="W134" s="22">
        <f t="shared" si="40"/>
        <v>14648.928359881136</v>
      </c>
    </row>
    <row r="135" spans="1:23" x14ac:dyDescent="0.2">
      <c r="A135">
        <v>28</v>
      </c>
      <c r="B135" s="1">
        <v>37408</v>
      </c>
      <c r="C135" s="21"/>
      <c r="E135" s="22"/>
      <c r="F135" s="22"/>
      <c r="G135" s="22"/>
      <c r="H135" s="22"/>
      <c r="I135" s="22"/>
      <c r="P135" s="22">
        <f t="shared" si="40"/>
        <v>22141.619114177895</v>
      </c>
      <c r="Q135" s="22">
        <f t="shared" si="40"/>
        <v>22141.619114177895</v>
      </c>
      <c r="R135" s="22">
        <f t="shared" si="40"/>
        <v>20250.873305338035</v>
      </c>
      <c r="S135" s="22">
        <f t="shared" si="40"/>
        <v>20250.873305338035</v>
      </c>
      <c r="T135" s="22">
        <f t="shared" si="40"/>
        <v>20945.158551773995</v>
      </c>
      <c r="U135" s="22">
        <f t="shared" si="40"/>
        <v>20945.158551773995</v>
      </c>
      <c r="V135" s="22">
        <f t="shared" si="40"/>
        <v>16018.203445347659</v>
      </c>
      <c r="W135" s="22">
        <f t="shared" si="40"/>
        <v>16018.203445347659</v>
      </c>
    </row>
    <row r="136" spans="1:23" x14ac:dyDescent="0.2">
      <c r="A136">
        <v>29</v>
      </c>
      <c r="B136" s="1">
        <v>37438</v>
      </c>
      <c r="C136" s="21"/>
      <c r="E136" s="22"/>
      <c r="F136" s="22"/>
      <c r="G136" s="22"/>
      <c r="H136" s="22"/>
      <c r="I136" s="22"/>
      <c r="P136" s="22">
        <f t="shared" si="40"/>
        <v>23524.789902574048</v>
      </c>
      <c r="Q136" s="22">
        <f t="shared" si="40"/>
        <v>23524.789902574048</v>
      </c>
      <c r="R136" s="22">
        <f t="shared" si="40"/>
        <v>21672.249669447454</v>
      </c>
      <c r="S136" s="22">
        <f t="shared" si="40"/>
        <v>21672.249669447454</v>
      </c>
      <c r="T136" s="22">
        <f t="shared" si="40"/>
        <v>22371.743501659279</v>
      </c>
      <c r="U136" s="22">
        <f t="shared" si="40"/>
        <v>22371.743501659279</v>
      </c>
      <c r="V136" s="22">
        <f t="shared" si="40"/>
        <v>17397.75094661161</v>
      </c>
      <c r="W136" s="22">
        <f t="shared" si="40"/>
        <v>17397.75094661161</v>
      </c>
    </row>
    <row r="137" spans="1:23" x14ac:dyDescent="0.2">
      <c r="A137">
        <v>30</v>
      </c>
      <c r="B137" s="1">
        <v>37469</v>
      </c>
      <c r="C137" s="21"/>
      <c r="E137" s="22"/>
      <c r="F137" s="22"/>
      <c r="G137" s="22"/>
      <c r="H137" s="22"/>
      <c r="I137" s="22"/>
      <c r="P137" s="22">
        <f t="shared" si="40"/>
        <v>24918.33735348898</v>
      </c>
      <c r="Q137" s="22">
        <f t="shared" si="40"/>
        <v>24918.33735348898</v>
      </c>
      <c r="R137" s="22">
        <f t="shared" si="40"/>
        <v>23104.289317488452</v>
      </c>
      <c r="S137" s="22">
        <f t="shared" si="40"/>
        <v>23104.289317488452</v>
      </c>
      <c r="T137" s="22">
        <f t="shared" si="40"/>
        <v>23809.030810720684</v>
      </c>
      <c r="U137" s="22">
        <f t="shared" si="40"/>
        <v>23809.030810720684</v>
      </c>
      <c r="V137" s="22">
        <f t="shared" si="40"/>
        <v>18787.647928192335</v>
      </c>
      <c r="W137" s="22">
        <f t="shared" si="40"/>
        <v>18787.647928192335</v>
      </c>
    </row>
    <row r="138" spans="1:23" x14ac:dyDescent="0.2">
      <c r="A138">
        <v>31</v>
      </c>
      <c r="B138" s="1">
        <v>37500</v>
      </c>
      <c r="C138" s="21"/>
      <c r="E138" s="22"/>
      <c r="F138" s="22"/>
      <c r="G138" s="22"/>
      <c r="H138" s="22"/>
      <c r="I138" s="22"/>
      <c r="J138" s="22"/>
      <c r="K138" s="22"/>
      <c r="L138" s="22"/>
      <c r="M138" s="22"/>
      <c r="P138" s="22">
        <f t="shared" si="40"/>
        <v>26495.629671842966</v>
      </c>
      <c r="Q138" s="22">
        <f t="shared" si="40"/>
        <v>26495.629671842966</v>
      </c>
      <c r="R138" s="22">
        <f t="shared" si="40"/>
        <v>24547.072246305692</v>
      </c>
      <c r="S138" s="22">
        <f t="shared" si="40"/>
        <v>24547.072246305692</v>
      </c>
      <c r="T138" s="22">
        <f t="shared" si="40"/>
        <v>25257.10076894861</v>
      </c>
      <c r="U138" s="22">
        <f t="shared" si="40"/>
        <v>25257.10076894861</v>
      </c>
      <c r="V138" s="22">
        <f t="shared" si="40"/>
        <v>20187.972032753627</v>
      </c>
      <c r="W138" s="22">
        <f t="shared" si="40"/>
        <v>20187.972032753627</v>
      </c>
    </row>
    <row r="139" spans="1:23" x14ac:dyDescent="0.2">
      <c r="A139">
        <v>32</v>
      </c>
      <c r="B139" s="1">
        <v>37530</v>
      </c>
      <c r="C139" s="21"/>
      <c r="E139" s="22"/>
      <c r="F139" s="22"/>
      <c r="G139" s="22"/>
      <c r="H139" s="22"/>
      <c r="I139" s="22"/>
      <c r="J139" s="22"/>
      <c r="K139" s="22"/>
      <c r="L139" s="22"/>
      <c r="M139" s="22"/>
      <c r="P139" s="22">
        <f t="shared" si="40"/>
        <v>35384.107562360266</v>
      </c>
      <c r="Q139" s="22">
        <f t="shared" si="40"/>
        <v>35384.107562360266</v>
      </c>
      <c r="R139" s="22">
        <f t="shared" si="40"/>
        <v>26000.67905288683</v>
      </c>
      <c r="S139" s="22">
        <f t="shared" si="40"/>
        <v>26000.67905288683</v>
      </c>
      <c r="T139" s="22">
        <f t="shared" si="40"/>
        <v>26806.709456175657</v>
      </c>
      <c r="U139" s="22">
        <f t="shared" si="40"/>
        <v>26806.709456175657</v>
      </c>
      <c r="V139" s="22">
        <f t="shared" si="40"/>
        <v>21598.801485441014</v>
      </c>
      <c r="W139" s="22">
        <f t="shared" si="40"/>
        <v>21598.801485441014</v>
      </c>
    </row>
    <row r="140" spans="1:23" x14ac:dyDescent="0.2">
      <c r="A140">
        <v>33</v>
      </c>
      <c r="B140" s="1">
        <v>37561</v>
      </c>
      <c r="C140" s="21"/>
      <c r="E140" s="22"/>
      <c r="F140" s="22"/>
      <c r="G140" s="22"/>
      <c r="H140" s="22"/>
      <c r="I140" s="22"/>
      <c r="J140" s="22"/>
      <c r="K140" s="22"/>
      <c r="L140" s="22"/>
      <c r="M140" s="22"/>
      <c r="P140" s="22">
        <f>(P139)*(1+$G$14/12)</f>
        <v>35649.562085968719</v>
      </c>
      <c r="Q140" s="22">
        <f>(Q139)*(1+$G$14/12)</f>
        <v>35649.562085968719</v>
      </c>
      <c r="R140" s="22">
        <f t="shared" ref="R140:W141" si="41">(R139+R83)*(1+$G$14/12)</f>
        <v>27646.54131386484</v>
      </c>
      <c r="S140" s="22">
        <f t="shared" si="41"/>
        <v>27646.54131386484</v>
      </c>
      <c r="T140" s="22">
        <f t="shared" si="41"/>
        <v>32266.976499408338</v>
      </c>
      <c r="U140" s="22">
        <f t="shared" si="41"/>
        <v>32266.976499408338</v>
      </c>
      <c r="V140" s="22">
        <f t="shared" si="41"/>
        <v>23020.215098251581</v>
      </c>
      <c r="W140" s="22">
        <f t="shared" si="41"/>
        <v>23020.215098251581</v>
      </c>
    </row>
    <row r="141" spans="1:23" x14ac:dyDescent="0.2">
      <c r="A141">
        <v>34</v>
      </c>
      <c r="B141" s="1">
        <v>37591</v>
      </c>
      <c r="C141" s="21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R141" s="22">
        <f t="shared" si="41"/>
        <v>36921.466720679899</v>
      </c>
      <c r="S141" s="22">
        <f t="shared" si="41"/>
        <v>36921.466720679899</v>
      </c>
      <c r="T141" s="22">
        <f t="shared" si="41"/>
        <v>37949.557296021601</v>
      </c>
      <c r="U141" s="22">
        <f t="shared" si="41"/>
        <v>37949.557296021601</v>
      </c>
      <c r="V141" s="22">
        <f t="shared" si="41"/>
        <v>24452.292274436586</v>
      </c>
      <c r="W141" s="22">
        <f t="shared" si="41"/>
        <v>24452.292274436586</v>
      </c>
    </row>
    <row r="142" spans="1:23" x14ac:dyDescent="0.2">
      <c r="A142">
        <v>35</v>
      </c>
      <c r="B142" s="1">
        <v>37622</v>
      </c>
      <c r="C142" s="21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R142" s="22">
        <f>(R141)*(1+$G$14/12)</f>
        <v>37198.454640807329</v>
      </c>
      <c r="S142" s="22">
        <f>(S141)*(1+$G$14/12)</f>
        <v>37198.454640807329</v>
      </c>
      <c r="T142" s="22">
        <f>(T141)*(1+$G$14/12)</f>
        <v>38234.258037319458</v>
      </c>
      <c r="U142" s="22">
        <f>(U141)*(1+$G$14/12)</f>
        <v>38234.258037319458</v>
      </c>
      <c r="V142" s="22">
        <f t="shared" ref="V142:W144" si="42">(V141+V85)*(1+$G$14/12)</f>
        <v>25895.113012937098</v>
      </c>
      <c r="W142" s="22">
        <f t="shared" si="42"/>
        <v>25895.113012937098</v>
      </c>
    </row>
    <row r="143" spans="1:23" x14ac:dyDescent="0.2">
      <c r="A143">
        <v>36</v>
      </c>
      <c r="B143" s="1">
        <v>37653</v>
      </c>
      <c r="C143" s="21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V143" s="22">
        <f t="shared" si="42"/>
        <v>27528.093283686234</v>
      </c>
      <c r="W143" s="22">
        <f t="shared" si="42"/>
        <v>27528.093283686234</v>
      </c>
    </row>
    <row r="144" spans="1:23" x14ac:dyDescent="0.2">
      <c r="A144">
        <v>37</v>
      </c>
      <c r="B144" s="1">
        <v>37681</v>
      </c>
      <c r="C144" s="21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V144" s="22">
        <f t="shared" si="42"/>
        <v>36726.567427258218</v>
      </c>
      <c r="W144" s="22">
        <f t="shared" si="42"/>
        <v>36726.567427258218</v>
      </c>
    </row>
    <row r="145" spans="1:23" x14ac:dyDescent="0.2">
      <c r="A145">
        <v>38</v>
      </c>
      <c r="B145" s="1">
        <v>37712</v>
      </c>
      <c r="C145" s="21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V145" s="22">
        <f>(V144)*(1+$G$14/12)</f>
        <v>37002.09319664479</v>
      </c>
      <c r="W145" s="22">
        <f>(W144)*(1+$G$14/12)</f>
        <v>37002.09319664479</v>
      </c>
    </row>
    <row r="146" spans="1:23" x14ac:dyDescent="0.2">
      <c r="C146" s="21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</row>
    <row r="147" spans="1:23" x14ac:dyDescent="0.2">
      <c r="C147" s="21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1:23" x14ac:dyDescent="0.2">
      <c r="C148" s="21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</row>
    <row r="149" spans="1:23" x14ac:dyDescent="0.2">
      <c r="C149" s="21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V149" s="22"/>
      <c r="W149" s="22"/>
    </row>
    <row r="150" spans="1:23" x14ac:dyDescent="0.2">
      <c r="A150" s="23" t="s">
        <v>47</v>
      </c>
      <c r="B150" s="21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</row>
    <row r="151" spans="1:23" x14ac:dyDescent="0.2">
      <c r="A151" s="23"/>
      <c r="B151" s="21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</row>
    <row r="152" spans="1:23" x14ac:dyDescent="0.2">
      <c r="A152" s="21" t="s">
        <v>44</v>
      </c>
      <c r="B152" s="21"/>
      <c r="C152" s="21"/>
      <c r="D152" s="12">
        <v>0</v>
      </c>
      <c r="E152" s="12">
        <v>0</v>
      </c>
      <c r="F152" s="12">
        <v>0</v>
      </c>
      <c r="G152" s="12">
        <v>0</v>
      </c>
      <c r="H152" s="12">
        <v>1</v>
      </c>
      <c r="I152" s="12">
        <v>0</v>
      </c>
      <c r="J152" s="12">
        <v>1</v>
      </c>
      <c r="K152" s="12">
        <v>0</v>
      </c>
      <c r="L152" s="12">
        <v>0</v>
      </c>
      <c r="M152" s="12">
        <v>0</v>
      </c>
      <c r="N152" s="12">
        <v>0</v>
      </c>
      <c r="O152" s="12">
        <v>0</v>
      </c>
      <c r="P152" s="12">
        <v>1</v>
      </c>
      <c r="Q152" s="12">
        <v>1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</row>
    <row r="153" spans="1:23" x14ac:dyDescent="0.2">
      <c r="A153" s="21"/>
      <c r="B153" s="21"/>
      <c r="C153" s="21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</row>
    <row r="154" spans="1:23" x14ac:dyDescent="0.2">
      <c r="A154" s="21" t="s">
        <v>43</v>
      </c>
      <c r="B154" s="21"/>
      <c r="C154" s="21"/>
      <c r="D154" s="22">
        <v>35619</v>
      </c>
      <c r="E154" s="22">
        <v>31727</v>
      </c>
      <c r="F154" s="22">
        <v>33818</v>
      </c>
      <c r="G154" s="22">
        <v>33818</v>
      </c>
      <c r="H154" s="22">
        <v>33818</v>
      </c>
      <c r="I154" s="22">
        <v>33818</v>
      </c>
      <c r="J154" s="22">
        <v>34741</v>
      </c>
      <c r="K154" s="22">
        <v>34741</v>
      </c>
      <c r="L154" s="22">
        <v>34741</v>
      </c>
      <c r="M154" s="22">
        <v>34741</v>
      </c>
      <c r="N154" s="22">
        <v>34509</v>
      </c>
      <c r="O154" s="22">
        <v>34509</v>
      </c>
      <c r="P154" s="22">
        <v>34509</v>
      </c>
      <c r="Q154" s="22">
        <v>34509</v>
      </c>
      <c r="R154" s="22">
        <v>36000</v>
      </c>
      <c r="S154" s="22">
        <v>36000</v>
      </c>
      <c r="T154" s="22">
        <v>36000</v>
      </c>
      <c r="U154" s="22">
        <v>36000</v>
      </c>
      <c r="V154" s="22">
        <v>35709</v>
      </c>
      <c r="W154" s="22">
        <v>35709</v>
      </c>
    </row>
    <row r="156" spans="1:23" x14ac:dyDescent="0.2">
      <c r="A156" t="s">
        <v>39</v>
      </c>
      <c r="D156" s="11">
        <v>42000</v>
      </c>
      <c r="E156" s="11">
        <v>42000</v>
      </c>
      <c r="F156" s="11">
        <v>40000</v>
      </c>
      <c r="G156" s="11">
        <v>40000</v>
      </c>
      <c r="H156" s="11">
        <v>40000</v>
      </c>
      <c r="I156" s="11">
        <v>40000</v>
      </c>
      <c r="J156" s="11">
        <v>40000</v>
      </c>
      <c r="K156" s="11">
        <v>40000</v>
      </c>
      <c r="L156" s="11">
        <v>40000</v>
      </c>
      <c r="M156" s="11">
        <v>40000</v>
      </c>
      <c r="N156" s="11">
        <v>37000</v>
      </c>
      <c r="O156" s="11">
        <v>37000</v>
      </c>
      <c r="P156" s="11">
        <v>37000</v>
      </c>
      <c r="Q156" s="11">
        <v>37000</v>
      </c>
      <c r="R156" s="11">
        <v>37000</v>
      </c>
      <c r="S156" s="11">
        <v>37000</v>
      </c>
      <c r="T156" s="11">
        <v>37000</v>
      </c>
      <c r="U156" s="11">
        <v>37000</v>
      </c>
      <c r="V156" s="11">
        <v>37000</v>
      </c>
      <c r="W156" s="11">
        <v>37000</v>
      </c>
    </row>
    <row r="158" spans="1:23" x14ac:dyDescent="0.2">
      <c r="A158" t="s">
        <v>48</v>
      </c>
      <c r="D158" s="6">
        <f t="shared" ref="D158:W158" si="43">IF(D152=1,D156-D99,0)</f>
        <v>0</v>
      </c>
      <c r="E158" s="6">
        <f t="shared" si="43"/>
        <v>0</v>
      </c>
      <c r="F158" s="6">
        <f t="shared" si="43"/>
        <v>0</v>
      </c>
      <c r="G158" s="6">
        <f t="shared" si="43"/>
        <v>0</v>
      </c>
      <c r="H158" s="6">
        <f t="shared" si="43"/>
        <v>6182</v>
      </c>
      <c r="I158" s="6">
        <f t="shared" si="43"/>
        <v>0</v>
      </c>
      <c r="J158" s="6">
        <f t="shared" si="43"/>
        <v>5259</v>
      </c>
      <c r="K158" s="6">
        <f t="shared" si="43"/>
        <v>0</v>
      </c>
      <c r="L158" s="6">
        <f t="shared" si="43"/>
        <v>0</v>
      </c>
      <c r="M158" s="6">
        <f t="shared" si="43"/>
        <v>0</v>
      </c>
      <c r="N158" s="6">
        <f t="shared" si="43"/>
        <v>0</v>
      </c>
      <c r="O158" s="6">
        <f t="shared" si="43"/>
        <v>0</v>
      </c>
      <c r="P158" s="6">
        <f t="shared" si="43"/>
        <v>2491</v>
      </c>
      <c r="Q158" s="6">
        <f t="shared" si="43"/>
        <v>2491</v>
      </c>
      <c r="R158" s="6">
        <f t="shared" si="43"/>
        <v>0</v>
      </c>
      <c r="S158" s="6">
        <f t="shared" si="43"/>
        <v>0</v>
      </c>
      <c r="T158" s="6">
        <f t="shared" si="43"/>
        <v>0</v>
      </c>
      <c r="U158" s="6">
        <f t="shared" si="43"/>
        <v>0</v>
      </c>
      <c r="V158" s="6">
        <f t="shared" si="43"/>
        <v>0</v>
      </c>
      <c r="W158" s="6">
        <f t="shared" si="43"/>
        <v>0</v>
      </c>
    </row>
    <row r="159" spans="1:23" x14ac:dyDescent="0.2"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 spans="1:23" x14ac:dyDescent="0.2">
      <c r="A160" t="s">
        <v>45</v>
      </c>
      <c r="D160" s="25">
        <f t="shared" ref="D160:W160" ca="1" si="44">(1+$M$16)^YEARFRAC($A$3,D23)</f>
        <v>1.1161283478351551</v>
      </c>
      <c r="E160" s="25">
        <f t="shared" ca="1" si="44"/>
        <v>1.1161283478351551</v>
      </c>
      <c r="F160" s="25">
        <f t="shared" ca="1" si="44"/>
        <v>1.1590979726085722</v>
      </c>
      <c r="G160" s="25">
        <f t="shared" ca="1" si="44"/>
        <v>1.1590979726085722</v>
      </c>
      <c r="H160" s="25">
        <f t="shared" ca="1" si="44"/>
        <v>1.1811992158404869</v>
      </c>
      <c r="I160" s="25">
        <f t="shared" ca="1" si="44"/>
        <v>1.1811992158404869</v>
      </c>
      <c r="J160" s="25">
        <f t="shared" ca="1" si="44"/>
        <v>1.2266739922725756</v>
      </c>
      <c r="K160" s="25">
        <f t="shared" ca="1" si="44"/>
        <v>1.2266739922725756</v>
      </c>
      <c r="L160" s="25">
        <f t="shared" ca="1" si="44"/>
        <v>1.2266739922725756</v>
      </c>
      <c r="M160" s="25">
        <f t="shared" ca="1" si="44"/>
        <v>1.2266739922725756</v>
      </c>
      <c r="N160" s="25">
        <f t="shared" ca="1" si="44"/>
        <v>1.2500637495753739</v>
      </c>
      <c r="O160" s="25">
        <f t="shared" ca="1" si="44"/>
        <v>1.2500637495753739</v>
      </c>
      <c r="P160" s="25">
        <f t="shared" ca="1" si="44"/>
        <v>1.3354962550877798</v>
      </c>
      <c r="Q160" s="25">
        <f t="shared" ca="1" si="44"/>
        <v>1.3354962550877798</v>
      </c>
      <c r="R160" s="25">
        <f t="shared" ca="1" si="44"/>
        <v>1.3609609942785315</v>
      </c>
      <c r="S160" s="25">
        <f t="shared" ca="1" si="44"/>
        <v>1.3609609942785315</v>
      </c>
      <c r="T160" s="25">
        <f t="shared" ca="1" si="44"/>
        <v>1.3738748713452846</v>
      </c>
      <c r="U160" s="25">
        <f t="shared" ca="1" si="44"/>
        <v>1.3738748713452846</v>
      </c>
      <c r="V160" s="25">
        <f t="shared" ca="1" si="44"/>
        <v>1.4000713995244187</v>
      </c>
      <c r="W160" s="25">
        <f t="shared" ca="1" si="44"/>
        <v>1.4000713995244187</v>
      </c>
    </row>
    <row r="161" spans="1:24" x14ac:dyDescent="0.2">
      <c r="C161" s="25"/>
    </row>
    <row r="162" spans="1:24" x14ac:dyDescent="0.2">
      <c r="A162" t="s">
        <v>49</v>
      </c>
      <c r="C162" s="4">
        <f ca="1">SUMPRODUCT(D158:W158,1/D160:W160)</f>
        <v>13251.315315208265</v>
      </c>
    </row>
    <row r="163" spans="1:24" x14ac:dyDescent="0.2">
      <c r="C163" s="4"/>
    </row>
    <row r="164" spans="1:24" x14ac:dyDescent="0.2">
      <c r="C164" s="4"/>
    </row>
    <row r="165" spans="1:24" x14ac:dyDescent="0.2">
      <c r="A165" s="31" t="s">
        <v>72</v>
      </c>
      <c r="C165" s="4"/>
    </row>
    <row r="166" spans="1:24" x14ac:dyDescent="0.2">
      <c r="A166" s="31"/>
      <c r="C166" s="4"/>
    </row>
    <row r="167" spans="1:24" x14ac:dyDescent="0.2">
      <c r="A167" s="31"/>
      <c r="C167" s="4"/>
    </row>
    <row r="168" spans="1:24" x14ac:dyDescent="0.2">
      <c r="C168" s="4"/>
      <c r="D168" t="s">
        <v>61</v>
      </c>
    </row>
    <row r="169" spans="1:24" x14ac:dyDescent="0.2">
      <c r="B169" s="58" t="s">
        <v>88</v>
      </c>
      <c r="C169" s="40">
        <f>Sheet2!AD43</f>
        <v>69756.879951481576</v>
      </c>
      <c r="D169" s="39">
        <v>0.15</v>
      </c>
      <c r="E169" s="39">
        <f>+D169+0.01</f>
        <v>0.16</v>
      </c>
      <c r="F169" s="39">
        <f t="shared" ref="F169:X169" si="45">+E169+0.01</f>
        <v>0.17</v>
      </c>
      <c r="G169" s="39">
        <f t="shared" si="45"/>
        <v>0.18000000000000002</v>
      </c>
      <c r="H169" s="39">
        <f t="shared" si="45"/>
        <v>0.19000000000000003</v>
      </c>
      <c r="I169" s="39">
        <f t="shared" si="45"/>
        <v>0.20000000000000004</v>
      </c>
      <c r="J169" s="39">
        <f t="shared" si="45"/>
        <v>0.21000000000000005</v>
      </c>
      <c r="K169" s="39">
        <f t="shared" si="45"/>
        <v>0.22000000000000006</v>
      </c>
      <c r="L169" s="39">
        <f t="shared" si="45"/>
        <v>0.23000000000000007</v>
      </c>
      <c r="M169" s="39">
        <f t="shared" si="45"/>
        <v>0.24000000000000007</v>
      </c>
      <c r="N169" s="39">
        <f t="shared" si="45"/>
        <v>0.25000000000000006</v>
      </c>
      <c r="O169" s="39">
        <f t="shared" si="45"/>
        <v>0.26000000000000006</v>
      </c>
      <c r="P169" s="39">
        <f t="shared" si="45"/>
        <v>0.27000000000000007</v>
      </c>
      <c r="Q169" s="39">
        <f t="shared" si="45"/>
        <v>0.28000000000000008</v>
      </c>
      <c r="R169" s="39">
        <f t="shared" si="45"/>
        <v>0.29000000000000009</v>
      </c>
      <c r="S169" s="39">
        <f t="shared" si="45"/>
        <v>0.3000000000000001</v>
      </c>
      <c r="T169" s="39">
        <f t="shared" si="45"/>
        <v>0.31000000000000011</v>
      </c>
      <c r="U169" s="39">
        <f t="shared" si="45"/>
        <v>0.32000000000000012</v>
      </c>
      <c r="V169" s="39">
        <f t="shared" si="45"/>
        <v>0.33000000000000013</v>
      </c>
      <c r="W169" s="39">
        <f t="shared" si="45"/>
        <v>0.34000000000000014</v>
      </c>
      <c r="X169" s="39">
        <f t="shared" si="45"/>
        <v>0.35000000000000014</v>
      </c>
    </row>
    <row r="170" spans="1:24" x14ac:dyDescent="0.2">
      <c r="C170" s="56">
        <v>200</v>
      </c>
      <c r="D170" s="4">
        <f t="dataTable" ref="D170:X190" dt2D="1" dtr="0" r1="M18" r2="G11" ca="1"/>
        <v>67405.86135543634</v>
      </c>
      <c r="E170" s="4">
        <v>67405.86135543634</v>
      </c>
      <c r="F170" s="4">
        <v>67405.86135543634</v>
      </c>
      <c r="G170" s="4">
        <v>67405.86135543634</v>
      </c>
      <c r="H170" s="4">
        <v>67405.86135543634</v>
      </c>
      <c r="I170" s="4">
        <v>67405.86135543634</v>
      </c>
      <c r="J170" s="4">
        <v>67405.86135543634</v>
      </c>
      <c r="K170" s="4">
        <v>67405.86135543634</v>
      </c>
      <c r="L170" s="4">
        <v>67405.86135543634</v>
      </c>
      <c r="M170" s="4">
        <v>67405.86135543634</v>
      </c>
      <c r="N170" s="4">
        <v>67405.86135543634</v>
      </c>
      <c r="O170" s="4">
        <v>67405.86135543634</v>
      </c>
      <c r="P170" s="4">
        <v>67405.86135543634</v>
      </c>
      <c r="Q170" s="4">
        <v>67405.86135543634</v>
      </c>
      <c r="R170" s="4">
        <v>67405.86135543634</v>
      </c>
      <c r="S170" s="4">
        <v>67405.86135543634</v>
      </c>
      <c r="T170" s="4">
        <v>67405.86135543634</v>
      </c>
      <c r="U170" s="4">
        <v>67405.86135543634</v>
      </c>
      <c r="V170" s="4">
        <v>67405.86135543634</v>
      </c>
      <c r="W170" s="4">
        <v>67405.86135543634</v>
      </c>
      <c r="X170" s="4">
        <v>67405.86135543634</v>
      </c>
    </row>
    <row r="171" spans="1:24" x14ac:dyDescent="0.2">
      <c r="C171" s="57">
        <f>+C170+25</f>
        <v>225</v>
      </c>
      <c r="D171" s="4">
        <v>68579.473729440288</v>
      </c>
      <c r="E171" s="4">
        <v>68579.473729440288</v>
      </c>
      <c r="F171" s="4">
        <v>68579.473729440288</v>
      </c>
      <c r="G171" s="4">
        <v>68579.473729440288</v>
      </c>
      <c r="H171" s="4">
        <v>68579.473729440288</v>
      </c>
      <c r="I171" s="4">
        <v>68579.473729440288</v>
      </c>
      <c r="J171" s="4">
        <v>68579.473729440288</v>
      </c>
      <c r="K171" s="4">
        <v>68579.473729440288</v>
      </c>
      <c r="L171" s="4">
        <v>68579.473729440288</v>
      </c>
      <c r="M171" s="4">
        <v>68579.473729440288</v>
      </c>
      <c r="N171" s="4">
        <v>68579.473729440288</v>
      </c>
      <c r="O171" s="4">
        <v>68579.473729440288</v>
      </c>
      <c r="P171" s="4">
        <v>68579.473729440288</v>
      </c>
      <c r="Q171" s="4">
        <v>68579.473729440288</v>
      </c>
      <c r="R171" s="4">
        <v>68579.473729440288</v>
      </c>
      <c r="S171" s="4">
        <v>68579.473729440288</v>
      </c>
      <c r="T171" s="4">
        <v>68579.473729440288</v>
      </c>
      <c r="U171" s="4">
        <v>68579.473729440288</v>
      </c>
      <c r="V171" s="4">
        <v>68579.473729440288</v>
      </c>
      <c r="W171" s="4">
        <v>68579.473729440288</v>
      </c>
      <c r="X171" s="4">
        <v>68579.473729440288</v>
      </c>
    </row>
    <row r="172" spans="1:24" x14ac:dyDescent="0.2">
      <c r="C172" s="57">
        <f t="shared" ref="C172:C190" si="46">+C171+25</f>
        <v>250</v>
      </c>
      <c r="D172" s="4">
        <v>69756.879951481576</v>
      </c>
      <c r="E172" s="4">
        <v>69756.879951481576</v>
      </c>
      <c r="F172" s="4">
        <v>69756.879951481576</v>
      </c>
      <c r="G172" s="4">
        <v>69756.879951481576</v>
      </c>
      <c r="H172" s="4">
        <v>69756.879951481576</v>
      </c>
      <c r="I172" s="4">
        <v>69756.879951481576</v>
      </c>
      <c r="J172" s="4">
        <v>69756.879951481576</v>
      </c>
      <c r="K172" s="4">
        <v>69756.879951481576</v>
      </c>
      <c r="L172" s="4">
        <v>69756.879951481576</v>
      </c>
      <c r="M172" s="4">
        <v>69756.879951481576</v>
      </c>
      <c r="N172" s="4">
        <v>69756.879951481576</v>
      </c>
      <c r="O172" s="4">
        <v>69756.879951481576</v>
      </c>
      <c r="P172" s="4">
        <v>69756.879951481576</v>
      </c>
      <c r="Q172" s="4">
        <v>69756.879951481576</v>
      </c>
      <c r="R172" s="4">
        <v>69756.879951481576</v>
      </c>
      <c r="S172" s="4">
        <v>69756.879951481576</v>
      </c>
      <c r="T172" s="4">
        <v>69756.879951481576</v>
      </c>
      <c r="U172" s="4">
        <v>69756.879951481576</v>
      </c>
      <c r="V172" s="4">
        <v>69756.879951481576</v>
      </c>
      <c r="W172" s="4">
        <v>69756.879951481576</v>
      </c>
      <c r="X172" s="4">
        <v>69756.879951481576</v>
      </c>
    </row>
    <row r="173" spans="1:24" x14ac:dyDescent="0.2">
      <c r="C173" s="57">
        <f t="shared" si="46"/>
        <v>275</v>
      </c>
      <c r="D173" s="4">
        <v>70938.096026306885</v>
      </c>
      <c r="E173" s="4">
        <v>70938.096026306885</v>
      </c>
      <c r="F173" s="4">
        <v>70938.096026306885</v>
      </c>
      <c r="G173" s="4">
        <v>70938.096026306885</v>
      </c>
      <c r="H173" s="4">
        <v>70938.096026306885</v>
      </c>
      <c r="I173" s="4">
        <v>70938.096026306885</v>
      </c>
      <c r="J173" s="4">
        <v>70938.096026306885</v>
      </c>
      <c r="K173" s="4">
        <v>70938.096026306885</v>
      </c>
      <c r="L173" s="4">
        <v>70938.096026306885</v>
      </c>
      <c r="M173" s="4">
        <v>70938.096026306885</v>
      </c>
      <c r="N173" s="4">
        <v>70938.096026306885</v>
      </c>
      <c r="O173" s="4">
        <v>70938.096026306885</v>
      </c>
      <c r="P173" s="4">
        <v>70938.096026306885</v>
      </c>
      <c r="Q173" s="4">
        <v>70938.096026306885</v>
      </c>
      <c r="R173" s="4">
        <v>70938.096026306885</v>
      </c>
      <c r="S173" s="4">
        <v>70938.096026306885</v>
      </c>
      <c r="T173" s="4">
        <v>70938.096026306885</v>
      </c>
      <c r="U173" s="4">
        <v>70938.096026306885</v>
      </c>
      <c r="V173" s="4">
        <v>70938.096026306885</v>
      </c>
      <c r="W173" s="4">
        <v>70938.096026306885</v>
      </c>
      <c r="X173" s="4">
        <v>70938.096026306885</v>
      </c>
    </row>
    <row r="174" spans="1:24" x14ac:dyDescent="0.2">
      <c r="C174" s="57">
        <f t="shared" si="46"/>
        <v>300</v>
      </c>
      <c r="D174" s="4">
        <v>72123.138037881174</v>
      </c>
      <c r="E174" s="4">
        <v>72123.138037881174</v>
      </c>
      <c r="F174" s="4">
        <v>72123.138037881174</v>
      </c>
      <c r="G174" s="4">
        <v>72123.138037881174</v>
      </c>
      <c r="H174" s="4">
        <v>72123.138037881174</v>
      </c>
      <c r="I174" s="4">
        <v>72123.138037881174</v>
      </c>
      <c r="J174" s="4">
        <v>72123.138037881174</v>
      </c>
      <c r="K174" s="4">
        <v>72123.138037881174</v>
      </c>
      <c r="L174" s="4">
        <v>72123.138037881174</v>
      </c>
      <c r="M174" s="4">
        <v>72123.138037881174</v>
      </c>
      <c r="N174" s="4">
        <v>72123.138037881174</v>
      </c>
      <c r="O174" s="4">
        <v>72123.138037881174</v>
      </c>
      <c r="P174" s="4">
        <v>72123.138037881174</v>
      </c>
      <c r="Q174" s="4">
        <v>72123.138037881174</v>
      </c>
      <c r="R174" s="4">
        <v>72123.138037881174</v>
      </c>
      <c r="S174" s="4">
        <v>72123.138037881174</v>
      </c>
      <c r="T174" s="4">
        <v>72123.138037881174</v>
      </c>
      <c r="U174" s="4">
        <v>72123.138037881174</v>
      </c>
      <c r="V174" s="4">
        <v>72123.138037881174</v>
      </c>
      <c r="W174" s="4">
        <v>72123.138037881174</v>
      </c>
      <c r="X174" s="4">
        <v>72123.138037881174</v>
      </c>
    </row>
    <row r="175" spans="1:24" x14ac:dyDescent="0.2">
      <c r="C175" s="57">
        <f t="shared" si="46"/>
        <v>325</v>
      </c>
      <c r="D175" s="4">
        <v>73312.022149818687</v>
      </c>
      <c r="E175" s="4">
        <v>73312.022149818687</v>
      </c>
      <c r="F175" s="4">
        <v>73312.022149818687</v>
      </c>
      <c r="G175" s="4">
        <v>73312.022149818687</v>
      </c>
      <c r="H175" s="4">
        <v>73312.022149818687</v>
      </c>
      <c r="I175" s="4">
        <v>73312.022149818687</v>
      </c>
      <c r="J175" s="4">
        <v>73312.022149818687</v>
      </c>
      <c r="K175" s="4">
        <v>73312.022149818687</v>
      </c>
      <c r="L175" s="4">
        <v>73312.022149818687</v>
      </c>
      <c r="M175" s="4">
        <v>73312.022149818687</v>
      </c>
      <c r="N175" s="4">
        <v>73312.022149818687</v>
      </c>
      <c r="O175" s="4">
        <v>73312.022149818687</v>
      </c>
      <c r="P175" s="4">
        <v>73312.022149818687</v>
      </c>
      <c r="Q175" s="4">
        <v>73312.022149818687</v>
      </c>
      <c r="R175" s="4">
        <v>73312.022149818687</v>
      </c>
      <c r="S175" s="4">
        <v>73312.022149818687</v>
      </c>
      <c r="T175" s="4">
        <v>73312.022149818687</v>
      </c>
      <c r="U175" s="4">
        <v>73312.022149818687</v>
      </c>
      <c r="V175" s="4">
        <v>73312.022149818687</v>
      </c>
      <c r="W175" s="4">
        <v>73312.022149818687</v>
      </c>
      <c r="X175" s="4">
        <v>73312.022149818687</v>
      </c>
    </row>
    <row r="176" spans="1:24" x14ac:dyDescent="0.2">
      <c r="C176" s="57">
        <f t="shared" si="46"/>
        <v>350</v>
      </c>
      <c r="D176" s="4">
        <v>74504.764605816803</v>
      </c>
      <c r="E176" s="4">
        <v>74504.764605816803</v>
      </c>
      <c r="F176" s="4">
        <v>74504.764605816803</v>
      </c>
      <c r="G176" s="4">
        <v>74504.764605816803</v>
      </c>
      <c r="H176" s="4">
        <v>74504.764605816803</v>
      </c>
      <c r="I176" s="4">
        <v>74504.764605816803</v>
      </c>
      <c r="J176" s="4">
        <v>74504.764605816803</v>
      </c>
      <c r="K176" s="4">
        <v>74504.764605816803</v>
      </c>
      <c r="L176" s="4">
        <v>74504.764605816803</v>
      </c>
      <c r="M176" s="4">
        <v>74504.764605816803</v>
      </c>
      <c r="N176" s="4">
        <v>74504.764605816803</v>
      </c>
      <c r="O176" s="4">
        <v>74504.764605816803</v>
      </c>
      <c r="P176" s="4">
        <v>74504.764605816803</v>
      </c>
      <c r="Q176" s="4">
        <v>74504.764605816803</v>
      </c>
      <c r="R176" s="4">
        <v>74504.764605816803</v>
      </c>
      <c r="S176" s="4">
        <v>74504.764605816803</v>
      </c>
      <c r="T176" s="4">
        <v>74504.764605816803</v>
      </c>
      <c r="U176" s="4">
        <v>74504.764605816803</v>
      </c>
      <c r="V176" s="4">
        <v>74504.764605816803</v>
      </c>
      <c r="W176" s="4">
        <v>74504.764605816803</v>
      </c>
      <c r="X176" s="4">
        <v>74504.764605816803</v>
      </c>
    </row>
    <row r="177" spans="3:24" x14ac:dyDescent="0.2">
      <c r="C177" s="57">
        <f t="shared" si="46"/>
        <v>375</v>
      </c>
      <c r="D177" s="4">
        <v>75701.38173008876</v>
      </c>
      <c r="E177" s="4">
        <v>75701.38173008876</v>
      </c>
      <c r="F177" s="4">
        <v>75701.38173008876</v>
      </c>
      <c r="G177" s="4">
        <v>75701.38173008876</v>
      </c>
      <c r="H177" s="4">
        <v>75701.38173008876</v>
      </c>
      <c r="I177" s="4">
        <v>75701.38173008876</v>
      </c>
      <c r="J177" s="4">
        <v>75701.38173008876</v>
      </c>
      <c r="K177" s="4">
        <v>75701.38173008876</v>
      </c>
      <c r="L177" s="4">
        <v>75701.38173008876</v>
      </c>
      <c r="M177" s="4">
        <v>75701.38173008876</v>
      </c>
      <c r="N177" s="4">
        <v>75701.38173008876</v>
      </c>
      <c r="O177" s="4">
        <v>75701.38173008876</v>
      </c>
      <c r="P177" s="4">
        <v>75701.38173008876</v>
      </c>
      <c r="Q177" s="4">
        <v>75701.38173008876</v>
      </c>
      <c r="R177" s="4">
        <v>75701.38173008876</v>
      </c>
      <c r="S177" s="4">
        <v>75701.38173008876</v>
      </c>
      <c r="T177" s="4">
        <v>75701.38173008876</v>
      </c>
      <c r="U177" s="4">
        <v>75701.38173008876</v>
      </c>
      <c r="V177" s="4">
        <v>75701.38173008876</v>
      </c>
      <c r="W177" s="4">
        <v>75701.38173008876</v>
      </c>
      <c r="X177" s="4">
        <v>75701.38173008876</v>
      </c>
    </row>
    <row r="178" spans="3:24" x14ac:dyDescent="0.2">
      <c r="C178" s="57">
        <f t="shared" si="46"/>
        <v>400</v>
      </c>
      <c r="D178" s="4">
        <v>76901.889927798373</v>
      </c>
      <c r="E178" s="4">
        <v>76901.889927798373</v>
      </c>
      <c r="F178" s="4">
        <v>76901.889927798373</v>
      </c>
      <c r="G178" s="4">
        <v>76901.889927798373</v>
      </c>
      <c r="H178" s="4">
        <v>76901.889927798373</v>
      </c>
      <c r="I178" s="4">
        <v>76901.889927798373</v>
      </c>
      <c r="J178" s="4">
        <v>76901.889927798373</v>
      </c>
      <c r="K178" s="4">
        <v>76901.889927798373</v>
      </c>
      <c r="L178" s="4">
        <v>76901.889927798373</v>
      </c>
      <c r="M178" s="4">
        <v>76901.889927798373</v>
      </c>
      <c r="N178" s="4">
        <v>76901.889927798373</v>
      </c>
      <c r="O178" s="4">
        <v>76901.889927798373</v>
      </c>
      <c r="P178" s="4">
        <v>76901.889927798373</v>
      </c>
      <c r="Q178" s="4">
        <v>76901.889927798373</v>
      </c>
      <c r="R178" s="4">
        <v>76901.889927798373</v>
      </c>
      <c r="S178" s="4">
        <v>76901.889927798373</v>
      </c>
      <c r="T178" s="4">
        <v>76901.889927798373</v>
      </c>
      <c r="U178" s="4">
        <v>76901.889927798373</v>
      </c>
      <c r="V178" s="4">
        <v>76901.889927798373</v>
      </c>
      <c r="W178" s="4">
        <v>76901.889927798373</v>
      </c>
      <c r="X178" s="4">
        <v>76901.889927798373</v>
      </c>
    </row>
    <row r="179" spans="3:24" x14ac:dyDescent="0.2">
      <c r="C179" s="57">
        <f t="shared" si="46"/>
        <v>425</v>
      </c>
      <c r="D179" s="4">
        <v>78106.305685502361</v>
      </c>
      <c r="E179" s="4">
        <v>78106.305685502361</v>
      </c>
      <c r="F179" s="4">
        <v>78106.305685502361</v>
      </c>
      <c r="G179" s="4">
        <v>78106.305685502361</v>
      </c>
      <c r="H179" s="4">
        <v>78106.305685502361</v>
      </c>
      <c r="I179" s="4">
        <v>78106.305685502361</v>
      </c>
      <c r="J179" s="4">
        <v>78106.305685502361</v>
      </c>
      <c r="K179" s="4">
        <v>78106.305685502361</v>
      </c>
      <c r="L179" s="4">
        <v>78106.305685502361</v>
      </c>
      <c r="M179" s="4">
        <v>78106.305685502361</v>
      </c>
      <c r="N179" s="4">
        <v>78106.305685502361</v>
      </c>
      <c r="O179" s="4">
        <v>78106.305685502361</v>
      </c>
      <c r="P179" s="4">
        <v>78106.305685502361</v>
      </c>
      <c r="Q179" s="4">
        <v>78106.305685502361</v>
      </c>
      <c r="R179" s="4">
        <v>78106.305685502361</v>
      </c>
      <c r="S179" s="4">
        <v>78106.305685502361</v>
      </c>
      <c r="T179" s="4">
        <v>78106.305685502361</v>
      </c>
      <c r="U179" s="4">
        <v>78106.305685502361</v>
      </c>
      <c r="V179" s="4">
        <v>78106.305685502361</v>
      </c>
      <c r="W179" s="4">
        <v>78106.305685502361</v>
      </c>
      <c r="X179" s="4">
        <v>78106.305685502361</v>
      </c>
    </row>
    <row r="180" spans="3:24" x14ac:dyDescent="0.2">
      <c r="C180" s="57">
        <f t="shared" si="46"/>
        <v>450</v>
      </c>
      <c r="D180" s="4">
        <v>79314.645571592133</v>
      </c>
      <c r="E180" s="4">
        <v>79314.645571592133</v>
      </c>
      <c r="F180" s="4">
        <v>79314.645571592133</v>
      </c>
      <c r="G180" s="4">
        <v>79314.645571592133</v>
      </c>
      <c r="H180" s="4">
        <v>79314.645571592133</v>
      </c>
      <c r="I180" s="4">
        <v>79314.645571592133</v>
      </c>
      <c r="J180" s="4">
        <v>79314.645571592133</v>
      </c>
      <c r="K180" s="4">
        <v>79314.645571592133</v>
      </c>
      <c r="L180" s="4">
        <v>79314.645571592133</v>
      </c>
      <c r="M180" s="4">
        <v>79314.645571592133</v>
      </c>
      <c r="N180" s="4">
        <v>79314.645571592133</v>
      </c>
      <c r="O180" s="4">
        <v>79314.645571592133</v>
      </c>
      <c r="P180" s="4">
        <v>79314.645571592133</v>
      </c>
      <c r="Q180" s="4">
        <v>79314.645571592133</v>
      </c>
      <c r="R180" s="4">
        <v>79314.645571592133</v>
      </c>
      <c r="S180" s="4">
        <v>79314.645571592133</v>
      </c>
      <c r="T180" s="4">
        <v>79314.645571592133</v>
      </c>
      <c r="U180" s="4">
        <v>79314.645571592133</v>
      </c>
      <c r="V180" s="4">
        <v>79314.645571592133</v>
      </c>
      <c r="W180" s="4">
        <v>79314.645571592133</v>
      </c>
      <c r="X180" s="4">
        <v>79314.645571592133</v>
      </c>
    </row>
    <row r="181" spans="3:24" x14ac:dyDescent="0.2">
      <c r="C181" s="57">
        <f t="shared" si="46"/>
        <v>475</v>
      </c>
      <c r="D181" s="4">
        <v>80526.926236736108</v>
      </c>
      <c r="E181" s="4">
        <v>80526.926236736108</v>
      </c>
      <c r="F181" s="4">
        <v>80526.926236736108</v>
      </c>
      <c r="G181" s="4">
        <v>80526.926236736108</v>
      </c>
      <c r="H181" s="4">
        <v>80526.926236736108</v>
      </c>
      <c r="I181" s="4">
        <v>80526.926236736108</v>
      </c>
      <c r="J181" s="4">
        <v>80526.926236736108</v>
      </c>
      <c r="K181" s="4">
        <v>80526.926236736108</v>
      </c>
      <c r="L181" s="4">
        <v>80526.926236736108</v>
      </c>
      <c r="M181" s="4">
        <v>80526.926236736108</v>
      </c>
      <c r="N181" s="4">
        <v>80526.926236736108</v>
      </c>
      <c r="O181" s="4">
        <v>80526.926236736108</v>
      </c>
      <c r="P181" s="4">
        <v>80526.926236736108</v>
      </c>
      <c r="Q181" s="4">
        <v>80526.926236736108</v>
      </c>
      <c r="R181" s="4">
        <v>80526.926236736108</v>
      </c>
      <c r="S181" s="4">
        <v>80526.926236736108</v>
      </c>
      <c r="T181" s="4">
        <v>80526.926236736108</v>
      </c>
      <c r="U181" s="4">
        <v>80526.926236736108</v>
      </c>
      <c r="V181" s="4">
        <v>80526.926236736108</v>
      </c>
      <c r="W181" s="4">
        <v>80526.926236736108</v>
      </c>
      <c r="X181" s="4">
        <v>80526.926236736108</v>
      </c>
    </row>
    <row r="182" spans="3:24" x14ac:dyDescent="0.2">
      <c r="C182" s="57">
        <f t="shared" si="46"/>
        <v>500</v>
      </c>
      <c r="D182" s="4">
        <v>81743.164414323648</v>
      </c>
      <c r="E182" s="4">
        <v>81743.164414323648</v>
      </c>
      <c r="F182" s="4">
        <v>81743.164414323648</v>
      </c>
      <c r="G182" s="4">
        <v>81743.164414323648</v>
      </c>
      <c r="H182" s="4">
        <v>81743.164414323648</v>
      </c>
      <c r="I182" s="4">
        <v>81743.164414323648</v>
      </c>
      <c r="J182" s="4">
        <v>81743.164414323648</v>
      </c>
      <c r="K182" s="4">
        <v>81743.164414323648</v>
      </c>
      <c r="L182" s="4">
        <v>81743.164414323648</v>
      </c>
      <c r="M182" s="4">
        <v>81743.164414323648</v>
      </c>
      <c r="N182" s="4">
        <v>81743.164414323648</v>
      </c>
      <c r="O182" s="4">
        <v>81743.164414323648</v>
      </c>
      <c r="P182" s="4">
        <v>81743.164414323648</v>
      </c>
      <c r="Q182" s="4">
        <v>81743.164414323648</v>
      </c>
      <c r="R182" s="4">
        <v>81743.164414323648</v>
      </c>
      <c r="S182" s="4">
        <v>81743.164414323648</v>
      </c>
      <c r="T182" s="4">
        <v>81743.164414323648</v>
      </c>
      <c r="U182" s="4">
        <v>81743.164414323648</v>
      </c>
      <c r="V182" s="4">
        <v>81743.164414323648</v>
      </c>
      <c r="W182" s="4">
        <v>81743.164414323648</v>
      </c>
      <c r="X182" s="4">
        <v>81743.164414323648</v>
      </c>
    </row>
    <row r="183" spans="3:24" x14ac:dyDescent="0.2">
      <c r="C183" s="57">
        <f t="shared" si="46"/>
        <v>525</v>
      </c>
      <c r="D183" s="4">
        <v>82963.376920920069</v>
      </c>
      <c r="E183" s="4">
        <v>82963.376920920069</v>
      </c>
      <c r="F183" s="4">
        <v>82963.376920920069</v>
      </c>
      <c r="G183" s="4">
        <v>82963.376920920069</v>
      </c>
      <c r="H183" s="4">
        <v>82963.376920920069</v>
      </c>
      <c r="I183" s="4">
        <v>82963.376920920069</v>
      </c>
      <c r="J183" s="4">
        <v>82963.376920920069</v>
      </c>
      <c r="K183" s="4">
        <v>82963.376920920069</v>
      </c>
      <c r="L183" s="4">
        <v>82963.376920920069</v>
      </c>
      <c r="M183" s="4">
        <v>82963.376920920069</v>
      </c>
      <c r="N183" s="4">
        <v>82963.376920920069</v>
      </c>
      <c r="O183" s="4">
        <v>82963.376920920069</v>
      </c>
      <c r="P183" s="4">
        <v>82963.376920920069</v>
      </c>
      <c r="Q183" s="4">
        <v>82963.376920920069</v>
      </c>
      <c r="R183" s="4">
        <v>82963.376920920069</v>
      </c>
      <c r="S183" s="4">
        <v>82963.376920920069</v>
      </c>
      <c r="T183" s="4">
        <v>82963.376920920069</v>
      </c>
      <c r="U183" s="4">
        <v>82963.376920920069</v>
      </c>
      <c r="V183" s="4">
        <v>82963.376920920069</v>
      </c>
      <c r="W183" s="4">
        <v>82963.376920920069</v>
      </c>
      <c r="X183" s="4">
        <v>82963.376920920069</v>
      </c>
    </row>
    <row r="184" spans="3:24" x14ac:dyDescent="0.2">
      <c r="C184" s="57">
        <f t="shared" si="46"/>
        <v>550</v>
      </c>
      <c r="D184" s="4">
        <v>84187.580656715523</v>
      </c>
      <c r="E184" s="4">
        <v>84187.580656715523</v>
      </c>
      <c r="F184" s="4">
        <v>84187.580656715523</v>
      </c>
      <c r="G184" s="4">
        <v>84187.580656715523</v>
      </c>
      <c r="H184" s="4">
        <v>84187.580656715523</v>
      </c>
      <c r="I184" s="4">
        <v>84187.580656715523</v>
      </c>
      <c r="J184" s="4">
        <v>84187.580656715523</v>
      </c>
      <c r="K184" s="4">
        <v>84187.580656715523</v>
      </c>
      <c r="L184" s="4">
        <v>84187.580656715523</v>
      </c>
      <c r="M184" s="4">
        <v>84187.580656715523</v>
      </c>
      <c r="N184" s="4">
        <v>84187.580656715523</v>
      </c>
      <c r="O184" s="4">
        <v>84187.580656715523</v>
      </c>
      <c r="P184" s="4">
        <v>84187.580656715523</v>
      </c>
      <c r="Q184" s="4">
        <v>84187.580656715523</v>
      </c>
      <c r="R184" s="4">
        <v>84187.580656715523</v>
      </c>
      <c r="S184" s="4">
        <v>84187.580656715523</v>
      </c>
      <c r="T184" s="4">
        <v>84187.580656715523</v>
      </c>
      <c r="U184" s="4">
        <v>84187.580656715523</v>
      </c>
      <c r="V184" s="4">
        <v>84187.580656715523</v>
      </c>
      <c r="W184" s="4">
        <v>84187.580656715523</v>
      </c>
      <c r="X184" s="4">
        <v>84187.580656715523</v>
      </c>
    </row>
    <row r="185" spans="3:24" x14ac:dyDescent="0.2">
      <c r="C185" s="57">
        <f t="shared" si="46"/>
        <v>575</v>
      </c>
      <c r="D185" s="4">
        <v>85415.792605978786</v>
      </c>
      <c r="E185" s="4">
        <v>85415.792605978786</v>
      </c>
      <c r="F185" s="4">
        <v>85415.792605978786</v>
      </c>
      <c r="G185" s="4">
        <v>85415.792605978786</v>
      </c>
      <c r="H185" s="4">
        <v>85415.792605978786</v>
      </c>
      <c r="I185" s="4">
        <v>85415.792605978786</v>
      </c>
      <c r="J185" s="4">
        <v>85415.792605978786</v>
      </c>
      <c r="K185" s="4">
        <v>85415.792605978786</v>
      </c>
      <c r="L185" s="4">
        <v>85415.792605978786</v>
      </c>
      <c r="M185" s="4">
        <v>85415.792605978786</v>
      </c>
      <c r="N185" s="4">
        <v>85415.792605978786</v>
      </c>
      <c r="O185" s="4">
        <v>85415.792605978786</v>
      </c>
      <c r="P185" s="4">
        <v>85415.792605978786</v>
      </c>
      <c r="Q185" s="4">
        <v>85415.792605978786</v>
      </c>
      <c r="R185" s="4">
        <v>85415.792605978786</v>
      </c>
      <c r="S185" s="4">
        <v>85415.792605978786</v>
      </c>
      <c r="T185" s="4">
        <v>85415.792605978786</v>
      </c>
      <c r="U185" s="4">
        <v>85415.792605978786</v>
      </c>
      <c r="V185" s="4">
        <v>85415.792605978786</v>
      </c>
      <c r="W185" s="4">
        <v>85415.792605978786</v>
      </c>
      <c r="X185" s="4">
        <v>85415.792605978786</v>
      </c>
    </row>
    <row r="186" spans="3:24" x14ac:dyDescent="0.2">
      <c r="C186" s="57">
        <f t="shared" si="46"/>
        <v>600</v>
      </c>
      <c r="D186" s="4">
        <v>86648.029837513604</v>
      </c>
      <c r="E186" s="4">
        <v>86648.029837513604</v>
      </c>
      <c r="F186" s="4">
        <v>86648.029837513604</v>
      </c>
      <c r="G186" s="4">
        <v>86648.029837513604</v>
      </c>
      <c r="H186" s="4">
        <v>86648.029837513604</v>
      </c>
      <c r="I186" s="4">
        <v>86648.029837513604</v>
      </c>
      <c r="J186" s="4">
        <v>86648.029837513604</v>
      </c>
      <c r="K186" s="4">
        <v>86648.029837513604</v>
      </c>
      <c r="L186" s="4">
        <v>86648.029837513604</v>
      </c>
      <c r="M186" s="4">
        <v>86648.029837513604</v>
      </c>
      <c r="N186" s="4">
        <v>86648.029837513604</v>
      </c>
      <c r="O186" s="4">
        <v>86648.029837513604</v>
      </c>
      <c r="P186" s="4">
        <v>86648.029837513604</v>
      </c>
      <c r="Q186" s="4">
        <v>86648.029837513604</v>
      </c>
      <c r="R186" s="4">
        <v>86648.029837513604</v>
      </c>
      <c r="S186" s="4">
        <v>86648.029837513604</v>
      </c>
      <c r="T186" s="4">
        <v>86648.029837513604</v>
      </c>
      <c r="U186" s="4">
        <v>86648.029837513604</v>
      </c>
      <c r="V186" s="4">
        <v>86648.029837513604</v>
      </c>
      <c r="W186" s="4">
        <v>86648.029837513604</v>
      </c>
      <c r="X186" s="4">
        <v>86648.029837513604</v>
      </c>
    </row>
    <row r="187" spans="3:24" x14ac:dyDescent="0.2">
      <c r="C187" s="57">
        <f t="shared" si="46"/>
        <v>625</v>
      </c>
      <c r="D187" s="4">
        <v>87884.309505121375</v>
      </c>
      <c r="E187" s="4">
        <v>87884.309505121375</v>
      </c>
      <c r="F187" s="4">
        <v>87884.309505121375</v>
      </c>
      <c r="G187" s="4">
        <v>87884.309505121375</v>
      </c>
      <c r="H187" s="4">
        <v>87884.309505121375</v>
      </c>
      <c r="I187" s="4">
        <v>87884.309505121375</v>
      </c>
      <c r="J187" s="4">
        <v>87884.309505121375</v>
      </c>
      <c r="K187" s="4">
        <v>87884.309505121375</v>
      </c>
      <c r="L187" s="4">
        <v>87884.309505121375</v>
      </c>
      <c r="M187" s="4">
        <v>87884.309505121375</v>
      </c>
      <c r="N187" s="4">
        <v>87884.309505121375</v>
      </c>
      <c r="O187" s="4">
        <v>87884.309505121375</v>
      </c>
      <c r="P187" s="4">
        <v>87884.309505121375</v>
      </c>
      <c r="Q187" s="4">
        <v>87884.309505121375</v>
      </c>
      <c r="R187" s="4">
        <v>87884.309505121375</v>
      </c>
      <c r="S187" s="4">
        <v>87884.309505121375</v>
      </c>
      <c r="T187" s="4">
        <v>87884.309505121375</v>
      </c>
      <c r="U187" s="4">
        <v>87884.309505121375</v>
      </c>
      <c r="V187" s="4">
        <v>87884.309505121375</v>
      </c>
      <c r="W187" s="4">
        <v>87884.309505121375</v>
      </c>
      <c r="X187" s="4">
        <v>87884.309505121375</v>
      </c>
    </row>
    <row r="188" spans="3:24" x14ac:dyDescent="0.2">
      <c r="C188" s="57">
        <f t="shared" si="46"/>
        <v>650</v>
      </c>
      <c r="D188" s="4">
        <v>89124.64884805982</v>
      </c>
      <c r="E188" s="4">
        <v>89124.64884805982</v>
      </c>
      <c r="F188" s="4">
        <v>89124.64884805982</v>
      </c>
      <c r="G188" s="4">
        <v>89124.64884805982</v>
      </c>
      <c r="H188" s="4">
        <v>89124.64884805982</v>
      </c>
      <c r="I188" s="4">
        <v>89124.64884805982</v>
      </c>
      <c r="J188" s="4">
        <v>89124.64884805982</v>
      </c>
      <c r="K188" s="4">
        <v>89124.64884805982</v>
      </c>
      <c r="L188" s="4">
        <v>89124.64884805982</v>
      </c>
      <c r="M188" s="4">
        <v>89124.64884805982</v>
      </c>
      <c r="N188" s="4">
        <v>89124.64884805982</v>
      </c>
      <c r="O188" s="4">
        <v>89124.64884805982</v>
      </c>
      <c r="P188" s="4">
        <v>89124.64884805982</v>
      </c>
      <c r="Q188" s="4">
        <v>89124.64884805982</v>
      </c>
      <c r="R188" s="4">
        <v>89124.64884805982</v>
      </c>
      <c r="S188" s="4">
        <v>89124.64884805982</v>
      </c>
      <c r="T188" s="4">
        <v>89124.64884805982</v>
      </c>
      <c r="U188" s="4">
        <v>89124.64884805982</v>
      </c>
      <c r="V188" s="4">
        <v>89124.64884805982</v>
      </c>
      <c r="W188" s="4">
        <v>89124.64884805982</v>
      </c>
      <c r="X188" s="4">
        <v>89124.64884805982</v>
      </c>
    </row>
    <row r="189" spans="3:24" x14ac:dyDescent="0.2">
      <c r="C189" s="57">
        <f t="shared" si="46"/>
        <v>675</v>
      </c>
      <c r="D189" s="4">
        <v>90369.065191507063</v>
      </c>
      <c r="E189" s="4">
        <v>90369.065191507063</v>
      </c>
      <c r="F189" s="4">
        <v>90369.065191507063</v>
      </c>
      <c r="G189" s="4">
        <v>90369.065191507063</v>
      </c>
      <c r="H189" s="4">
        <v>90369.065191507063</v>
      </c>
      <c r="I189" s="4">
        <v>90369.065191507063</v>
      </c>
      <c r="J189" s="4">
        <v>90369.065191507063</v>
      </c>
      <c r="K189" s="4">
        <v>90369.065191507063</v>
      </c>
      <c r="L189" s="4">
        <v>90369.065191507063</v>
      </c>
      <c r="M189" s="4">
        <v>90369.065191507063</v>
      </c>
      <c r="N189" s="4">
        <v>90369.065191507063</v>
      </c>
      <c r="O189" s="4">
        <v>90369.065191507063</v>
      </c>
      <c r="P189" s="4">
        <v>90369.065191507063</v>
      </c>
      <c r="Q189" s="4">
        <v>90369.065191507063</v>
      </c>
      <c r="R189" s="4">
        <v>90369.065191507063</v>
      </c>
      <c r="S189" s="4">
        <v>90369.065191507063</v>
      </c>
      <c r="T189" s="4">
        <v>90369.065191507063</v>
      </c>
      <c r="U189" s="4">
        <v>90369.065191507063</v>
      </c>
      <c r="V189" s="4">
        <v>90369.065191507063</v>
      </c>
      <c r="W189" s="4">
        <v>90369.065191507063</v>
      </c>
      <c r="X189" s="4">
        <v>90369.065191507063</v>
      </c>
    </row>
    <row r="190" spans="3:24" x14ac:dyDescent="0.2">
      <c r="C190" s="57">
        <f t="shared" si="46"/>
        <v>700</v>
      </c>
      <c r="D190" s="4">
        <v>91617.575947032165</v>
      </c>
      <c r="E190" s="4">
        <v>91617.575947032165</v>
      </c>
      <c r="F190" s="4">
        <v>91617.575947032165</v>
      </c>
      <c r="G190" s="4">
        <v>91617.575947032165</v>
      </c>
      <c r="H190" s="4">
        <v>91617.575947032165</v>
      </c>
      <c r="I190" s="4">
        <v>91617.575947032165</v>
      </c>
      <c r="J190" s="4">
        <v>91617.575947032165</v>
      </c>
      <c r="K190" s="4">
        <v>91617.575947032165</v>
      </c>
      <c r="L190" s="4">
        <v>91617.575947032165</v>
      </c>
      <c r="M190" s="4">
        <v>91617.575947032165</v>
      </c>
      <c r="N190" s="4">
        <v>91617.575947032165</v>
      </c>
      <c r="O190" s="4">
        <v>91617.575947032165</v>
      </c>
      <c r="P190" s="4">
        <v>91617.575947032165</v>
      </c>
      <c r="Q190" s="4">
        <v>91617.575947032165</v>
      </c>
      <c r="R190" s="4">
        <v>91617.575947032165</v>
      </c>
      <c r="S190" s="4">
        <v>91617.575947032165</v>
      </c>
      <c r="T190" s="4">
        <v>91617.575947032165</v>
      </c>
      <c r="U190" s="4">
        <v>91617.575947032165</v>
      </c>
      <c r="V190" s="4">
        <v>91617.575947032165</v>
      </c>
      <c r="W190" s="4">
        <v>91617.575947032165</v>
      </c>
      <c r="X190" s="4">
        <v>91617.575947032165</v>
      </c>
    </row>
    <row r="191" spans="3:24" x14ac:dyDescent="0.2">
      <c r="C191" s="59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3:24" x14ac:dyDescent="0.2">
      <c r="C192" s="59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2:40" x14ac:dyDescent="0.2">
      <c r="C193" s="4"/>
      <c r="D193" t="s">
        <v>13</v>
      </c>
    </row>
    <row r="194" spans="2:40" x14ac:dyDescent="0.2">
      <c r="B194" s="58" t="s">
        <v>88</v>
      </c>
      <c r="C194" s="40">
        <f>Sheet2!AD43</f>
        <v>69756.879951481576</v>
      </c>
      <c r="D194" s="60">
        <v>50</v>
      </c>
      <c r="E194" s="61">
        <f>+D194+25</f>
        <v>75</v>
      </c>
      <c r="F194" s="61">
        <f t="shared" ref="F194:AN194" si="47">+E194+25</f>
        <v>100</v>
      </c>
      <c r="G194" s="61">
        <f t="shared" si="47"/>
        <v>125</v>
      </c>
      <c r="H194" s="61">
        <f t="shared" si="47"/>
        <v>150</v>
      </c>
      <c r="I194" s="61">
        <f t="shared" si="47"/>
        <v>175</v>
      </c>
      <c r="J194" s="61">
        <f t="shared" si="47"/>
        <v>200</v>
      </c>
      <c r="K194" s="61">
        <f t="shared" si="47"/>
        <v>225</v>
      </c>
      <c r="L194" s="61">
        <f t="shared" si="47"/>
        <v>250</v>
      </c>
      <c r="M194" s="61">
        <f t="shared" si="47"/>
        <v>275</v>
      </c>
      <c r="N194" s="61">
        <f t="shared" si="47"/>
        <v>300</v>
      </c>
      <c r="O194" s="61">
        <f t="shared" si="47"/>
        <v>325</v>
      </c>
      <c r="P194" s="61">
        <f t="shared" si="47"/>
        <v>350</v>
      </c>
      <c r="Q194" s="61">
        <f t="shared" si="47"/>
        <v>375</v>
      </c>
      <c r="R194" s="61">
        <f t="shared" si="47"/>
        <v>400</v>
      </c>
      <c r="S194" s="61">
        <f t="shared" si="47"/>
        <v>425</v>
      </c>
      <c r="T194" s="61">
        <f t="shared" si="47"/>
        <v>450</v>
      </c>
      <c r="U194" s="61">
        <f t="shared" si="47"/>
        <v>475</v>
      </c>
      <c r="V194" s="61">
        <f t="shared" si="47"/>
        <v>500</v>
      </c>
      <c r="W194" s="61">
        <f t="shared" si="47"/>
        <v>525</v>
      </c>
      <c r="X194" s="61">
        <f t="shared" si="47"/>
        <v>550</v>
      </c>
      <c r="Y194" s="61">
        <f t="shared" si="47"/>
        <v>575</v>
      </c>
      <c r="Z194" s="61">
        <f t="shared" si="47"/>
        <v>600</v>
      </c>
      <c r="AA194" s="61">
        <f t="shared" si="47"/>
        <v>625</v>
      </c>
      <c r="AB194" s="61">
        <f t="shared" si="47"/>
        <v>650</v>
      </c>
      <c r="AC194" s="61">
        <f t="shared" si="47"/>
        <v>675</v>
      </c>
      <c r="AD194" s="61">
        <f t="shared" si="47"/>
        <v>700</v>
      </c>
      <c r="AE194" s="61">
        <f t="shared" si="47"/>
        <v>725</v>
      </c>
      <c r="AF194" s="61">
        <f t="shared" si="47"/>
        <v>750</v>
      </c>
      <c r="AG194" s="61">
        <f t="shared" si="47"/>
        <v>775</v>
      </c>
      <c r="AH194" s="61">
        <f t="shared" si="47"/>
        <v>800</v>
      </c>
      <c r="AI194" s="61">
        <f t="shared" si="47"/>
        <v>825</v>
      </c>
      <c r="AJ194" s="61">
        <f t="shared" si="47"/>
        <v>850</v>
      </c>
      <c r="AK194" s="61">
        <f t="shared" si="47"/>
        <v>875</v>
      </c>
      <c r="AL194" s="61">
        <f t="shared" si="47"/>
        <v>900</v>
      </c>
      <c r="AM194" s="61">
        <f t="shared" si="47"/>
        <v>925</v>
      </c>
      <c r="AN194" s="61">
        <f t="shared" si="47"/>
        <v>950</v>
      </c>
    </row>
    <row r="195" spans="2:40" x14ac:dyDescent="0.2">
      <c r="C195" s="56">
        <v>200</v>
      </c>
      <c r="D195" s="4">
        <f t="dataTable" ref="D195:AN215" dt2D="1" dtr="0" r1="G9" r2="G11" ca="1"/>
        <v>60091.811768659463</v>
      </c>
      <c r="E195" s="4">
        <v>60823.216727337116</v>
      </c>
      <c r="F195" s="4">
        <v>61554.621686014827</v>
      </c>
      <c r="G195" s="4">
        <v>62286.026644692538</v>
      </c>
      <c r="H195" s="4">
        <v>63017.431603370191</v>
      </c>
      <c r="I195" s="4">
        <v>63748.836562047902</v>
      </c>
      <c r="J195" s="4">
        <v>64480.241520725554</v>
      </c>
      <c r="K195" s="4">
        <v>65211.646479403265</v>
      </c>
      <c r="L195" s="4">
        <v>65943.051438080918</v>
      </c>
      <c r="M195" s="4">
        <v>66674.456396758629</v>
      </c>
      <c r="N195" s="4">
        <v>67405.86135543634</v>
      </c>
      <c r="O195" s="4">
        <v>68137.266314114022</v>
      </c>
      <c r="P195" s="4">
        <v>68868.671272791733</v>
      </c>
      <c r="Q195" s="4">
        <v>69600.076231469386</v>
      </c>
      <c r="R195" s="4">
        <v>70331.481190147097</v>
      </c>
      <c r="S195" s="4">
        <v>71062.886148824808</v>
      </c>
      <c r="T195" s="4">
        <v>71794.29110750246</v>
      </c>
      <c r="U195" s="4">
        <v>72525.696066180171</v>
      </c>
      <c r="V195" s="4">
        <v>73257.101024857824</v>
      </c>
      <c r="W195" s="4">
        <v>73988.505983535535</v>
      </c>
      <c r="X195" s="4">
        <v>74719.910942213188</v>
      </c>
      <c r="Y195" s="4">
        <v>75451.315900890899</v>
      </c>
      <c r="Z195" s="4">
        <v>76182.72085956861</v>
      </c>
      <c r="AA195" s="4">
        <v>76914.125818246262</v>
      </c>
      <c r="AB195" s="4">
        <v>77645.530776923973</v>
      </c>
      <c r="AC195" s="4">
        <v>78376.935735601626</v>
      </c>
      <c r="AD195" s="4">
        <v>79108.340694279337</v>
      </c>
      <c r="AE195" s="4">
        <v>79839.74565295699</v>
      </c>
      <c r="AF195" s="4">
        <v>80571.150611634701</v>
      </c>
      <c r="AG195" s="4">
        <v>81302.555570312412</v>
      </c>
      <c r="AH195" s="4">
        <v>82033.960528990065</v>
      </c>
      <c r="AI195" s="4">
        <v>82765.365487667776</v>
      </c>
      <c r="AJ195" s="4">
        <v>83496.770446345428</v>
      </c>
      <c r="AK195" s="4">
        <v>84228.17540502311</v>
      </c>
      <c r="AL195" s="4">
        <v>84959.580363700763</v>
      </c>
      <c r="AM195" s="4">
        <v>85690.985322378474</v>
      </c>
      <c r="AN195" s="4">
        <v>86422.390281056185</v>
      </c>
    </row>
    <row r="196" spans="2:40" x14ac:dyDescent="0.2">
      <c r="C196" s="57">
        <f>+C195+25</f>
        <v>225</v>
      </c>
      <c r="D196" s="4">
        <v>61265.424142663353</v>
      </c>
      <c r="E196" s="4">
        <v>61996.829101341064</v>
      </c>
      <c r="F196" s="4">
        <v>62728.234060018745</v>
      </c>
      <c r="G196" s="4">
        <v>63459.639018696427</v>
      </c>
      <c r="H196" s="4">
        <v>64191.043977374138</v>
      </c>
      <c r="I196" s="4">
        <v>64922.44893605182</v>
      </c>
      <c r="J196" s="4">
        <v>65653.853894729502</v>
      </c>
      <c r="K196" s="4">
        <v>66385.258853407213</v>
      </c>
      <c r="L196" s="4">
        <v>67116.663812084924</v>
      </c>
      <c r="M196" s="4">
        <v>67848.068770762606</v>
      </c>
      <c r="N196" s="4">
        <v>68579.473729440288</v>
      </c>
      <c r="O196" s="4">
        <v>69310.878688117969</v>
      </c>
      <c r="P196" s="4">
        <v>70042.283646795651</v>
      </c>
      <c r="Q196" s="4">
        <v>70773.688605473333</v>
      </c>
      <c r="R196" s="4">
        <v>71505.093564151015</v>
      </c>
      <c r="S196" s="4">
        <v>72236.498522828697</v>
      </c>
      <c r="T196" s="4">
        <v>72967.903481506379</v>
      </c>
      <c r="U196" s="4">
        <v>73699.308440184061</v>
      </c>
      <c r="V196" s="4">
        <v>74430.713398861742</v>
      </c>
      <c r="W196" s="4">
        <v>75162.118357539424</v>
      </c>
      <c r="X196" s="4">
        <v>75893.523316217106</v>
      </c>
      <c r="Y196" s="4">
        <v>76624.928274894788</v>
      </c>
      <c r="Z196" s="4">
        <v>77356.333233572499</v>
      </c>
      <c r="AA196" s="4">
        <v>78087.738192250181</v>
      </c>
      <c r="AB196" s="4">
        <v>78819.143150927863</v>
      </c>
      <c r="AC196" s="4">
        <v>79550.548109605574</v>
      </c>
      <c r="AD196" s="4">
        <v>80281.953068283256</v>
      </c>
      <c r="AE196" s="4">
        <v>81013.358026960937</v>
      </c>
      <c r="AF196" s="4">
        <v>81744.76298563859</v>
      </c>
      <c r="AG196" s="4">
        <v>82476.167944316301</v>
      </c>
      <c r="AH196" s="4">
        <v>83207.572902993983</v>
      </c>
      <c r="AI196" s="4">
        <v>83938.977861671665</v>
      </c>
      <c r="AJ196" s="4">
        <v>84670.382820349332</v>
      </c>
      <c r="AK196" s="4">
        <v>85401.787779026985</v>
      </c>
      <c r="AL196" s="4">
        <v>86133.192737704667</v>
      </c>
      <c r="AM196" s="4">
        <v>86864.597696382349</v>
      </c>
      <c r="AN196" s="4">
        <v>87596.00265506006</v>
      </c>
    </row>
    <row r="197" spans="2:40" x14ac:dyDescent="0.2">
      <c r="C197" s="57">
        <f t="shared" ref="C197:C215" si="48">+C196+25</f>
        <v>250</v>
      </c>
      <c r="D197" s="4">
        <v>62442.830364704707</v>
      </c>
      <c r="E197" s="4">
        <v>63174.235323382418</v>
      </c>
      <c r="F197" s="4">
        <v>63905.640282060129</v>
      </c>
      <c r="G197" s="4">
        <v>64637.045240737782</v>
      </c>
      <c r="H197" s="4">
        <v>65368.450199415493</v>
      </c>
      <c r="I197" s="4">
        <v>66099.855158093138</v>
      </c>
      <c r="J197" s="4">
        <v>66831.260116770849</v>
      </c>
      <c r="K197" s="4">
        <v>67562.665075448502</v>
      </c>
      <c r="L197" s="4">
        <v>68294.070034126213</v>
      </c>
      <c r="M197" s="4">
        <v>69025.474992803924</v>
      </c>
      <c r="N197" s="4">
        <v>69756.879951481576</v>
      </c>
      <c r="O197" s="4">
        <v>70488.284910159302</v>
      </c>
      <c r="P197" s="4">
        <v>71219.689868836955</v>
      </c>
      <c r="Q197" s="4">
        <v>71951.094827514666</v>
      </c>
      <c r="R197" s="4">
        <v>72682.499786192318</v>
      </c>
      <c r="S197" s="4">
        <v>73413.904744870029</v>
      </c>
      <c r="T197" s="4">
        <v>74145.309703547653</v>
      </c>
      <c r="U197" s="4">
        <v>74876.714662225393</v>
      </c>
      <c r="V197" s="4">
        <v>75608.119620903075</v>
      </c>
      <c r="W197" s="4">
        <v>76339.524579580757</v>
      </c>
      <c r="X197" s="4">
        <v>77070.929538258439</v>
      </c>
      <c r="Y197" s="4">
        <v>77802.334496936121</v>
      </c>
      <c r="Z197" s="4">
        <v>78533.739455613802</v>
      </c>
      <c r="AA197" s="4">
        <v>79265.144414291484</v>
      </c>
      <c r="AB197" s="4">
        <v>79996.549372969195</v>
      </c>
      <c r="AC197" s="4">
        <v>80727.954331646877</v>
      </c>
      <c r="AD197" s="4">
        <v>81459.359290324559</v>
      </c>
      <c r="AE197" s="4">
        <v>82190.764249002241</v>
      </c>
      <c r="AF197" s="4">
        <v>82922.169207679923</v>
      </c>
      <c r="AG197" s="4">
        <v>83653.574166357605</v>
      </c>
      <c r="AH197" s="4">
        <v>84384.979125035286</v>
      </c>
      <c r="AI197" s="4">
        <v>85116.384083712983</v>
      </c>
      <c r="AJ197" s="4">
        <v>85847.789042390665</v>
      </c>
      <c r="AK197" s="4">
        <v>86579.194001068347</v>
      </c>
      <c r="AL197" s="4">
        <v>87310.598959746028</v>
      </c>
      <c r="AM197" s="4">
        <v>88042.003918423725</v>
      </c>
      <c r="AN197" s="4">
        <v>88773.408877101407</v>
      </c>
    </row>
    <row r="198" spans="2:40" x14ac:dyDescent="0.2">
      <c r="C198" s="57">
        <f t="shared" si="48"/>
        <v>275</v>
      </c>
      <c r="D198" s="4">
        <v>63624.046439530008</v>
      </c>
      <c r="E198" s="4">
        <v>64355.451398207719</v>
      </c>
      <c r="F198" s="4">
        <v>65086.856356885401</v>
      </c>
      <c r="G198" s="4">
        <v>65818.261315563082</v>
      </c>
      <c r="H198" s="4">
        <v>66549.666274240764</v>
      </c>
      <c r="I198" s="4">
        <v>67281.071232918446</v>
      </c>
      <c r="J198" s="4">
        <v>68012.476191596128</v>
      </c>
      <c r="K198" s="4">
        <v>68743.88115027381</v>
      </c>
      <c r="L198" s="4">
        <v>69475.286108951521</v>
      </c>
      <c r="M198" s="4">
        <v>70206.691067629203</v>
      </c>
      <c r="N198" s="4">
        <v>70938.096026306885</v>
      </c>
      <c r="O198" s="4">
        <v>71669.500984984566</v>
      </c>
      <c r="P198" s="4">
        <v>72400.905943662248</v>
      </c>
      <c r="Q198" s="4">
        <v>73132.31090233993</v>
      </c>
      <c r="R198" s="4">
        <v>73863.715861017641</v>
      </c>
      <c r="S198" s="4">
        <v>74595.120819695323</v>
      </c>
      <c r="T198" s="4">
        <v>75326.525778373005</v>
      </c>
      <c r="U198" s="4">
        <v>76057.930737050687</v>
      </c>
      <c r="V198" s="4">
        <v>76789.335695728369</v>
      </c>
      <c r="W198" s="4">
        <v>77520.74065440605</v>
      </c>
      <c r="X198" s="4">
        <v>78252.145613083761</v>
      </c>
      <c r="Y198" s="4">
        <v>78983.550571761443</v>
      </c>
      <c r="Z198" s="4">
        <v>79714.955530439125</v>
      </c>
      <c r="AA198" s="4">
        <v>80446.360489116807</v>
      </c>
      <c r="AB198" s="4">
        <v>81177.765447794489</v>
      </c>
      <c r="AC198" s="4">
        <v>81909.170406472171</v>
      </c>
      <c r="AD198" s="4">
        <v>82640.575365149882</v>
      </c>
      <c r="AE198" s="4">
        <v>83371.980323827564</v>
      </c>
      <c r="AF198" s="4">
        <v>84103.385282505245</v>
      </c>
      <c r="AG198" s="4">
        <v>84834.790241182927</v>
      </c>
      <c r="AH198" s="4">
        <v>85566.195199860609</v>
      </c>
      <c r="AI198" s="4">
        <v>86297.600158538291</v>
      </c>
      <c r="AJ198" s="4">
        <v>87029.005117215973</v>
      </c>
      <c r="AK198" s="4">
        <v>87760.410075893684</v>
      </c>
      <c r="AL198" s="4">
        <v>88491.815034571366</v>
      </c>
      <c r="AM198" s="4">
        <v>89223.219993249048</v>
      </c>
      <c r="AN198" s="4">
        <v>89954.624951926729</v>
      </c>
    </row>
    <row r="199" spans="2:40" x14ac:dyDescent="0.2">
      <c r="C199" s="57">
        <f t="shared" si="48"/>
        <v>300</v>
      </c>
      <c r="D199" s="4">
        <v>64809.08845110429</v>
      </c>
      <c r="E199" s="4">
        <v>65540.493409781993</v>
      </c>
      <c r="F199" s="4">
        <v>66271.898368459646</v>
      </c>
      <c r="G199" s="4">
        <v>67003.303327137357</v>
      </c>
      <c r="H199" s="4">
        <v>67734.70828581501</v>
      </c>
      <c r="I199" s="4">
        <v>68466.113244492721</v>
      </c>
      <c r="J199" s="4">
        <v>69197.518203170373</v>
      </c>
      <c r="K199" s="4">
        <v>69928.923161848084</v>
      </c>
      <c r="L199" s="4">
        <v>70660.328120525795</v>
      </c>
      <c r="M199" s="4">
        <v>71391.733079203463</v>
      </c>
      <c r="N199" s="4">
        <v>72123.138037881174</v>
      </c>
      <c r="O199" s="4">
        <v>72854.542996558826</v>
      </c>
      <c r="P199" s="4">
        <v>73585.947955236537</v>
      </c>
      <c r="Q199" s="4">
        <v>74317.35291391419</v>
      </c>
      <c r="R199" s="4">
        <v>75048.757872591901</v>
      </c>
      <c r="S199" s="4">
        <v>75780.162831269612</v>
      </c>
      <c r="T199" s="4">
        <v>76511.567789947265</v>
      </c>
      <c r="U199" s="4">
        <v>77242.972748624976</v>
      </c>
      <c r="V199" s="4">
        <v>77974.377707302629</v>
      </c>
      <c r="W199" s="4">
        <v>78705.78266598034</v>
      </c>
      <c r="X199" s="4">
        <v>79437.187624657992</v>
      </c>
      <c r="Y199" s="4">
        <v>80168.592583335703</v>
      </c>
      <c r="Z199" s="4">
        <v>80899.997542013414</v>
      </c>
      <c r="AA199" s="4">
        <v>81631.402500691067</v>
      </c>
      <c r="AB199" s="4">
        <v>82362.807459368778</v>
      </c>
      <c r="AC199" s="4">
        <v>83094.212418046431</v>
      </c>
      <c r="AD199" s="4">
        <v>83825.617376724142</v>
      </c>
      <c r="AE199" s="4">
        <v>84557.022335401794</v>
      </c>
      <c r="AF199" s="4">
        <v>85288.427294079505</v>
      </c>
      <c r="AG199" s="4">
        <v>86019.832252757216</v>
      </c>
      <c r="AH199" s="4">
        <v>86751.237211434869</v>
      </c>
      <c r="AI199" s="4">
        <v>87482.64217011258</v>
      </c>
      <c r="AJ199" s="4">
        <v>88214.047128790233</v>
      </c>
      <c r="AK199" s="4">
        <v>88945.452087467886</v>
      </c>
      <c r="AL199" s="4">
        <v>89676.857046145597</v>
      </c>
      <c r="AM199" s="4">
        <v>90408.262004823308</v>
      </c>
      <c r="AN199" s="4">
        <v>91139.66696350096</v>
      </c>
    </row>
    <row r="200" spans="2:40" x14ac:dyDescent="0.2">
      <c r="C200" s="57">
        <f t="shared" si="48"/>
        <v>325</v>
      </c>
      <c r="D200" s="4">
        <v>65997.97256304184</v>
      </c>
      <c r="E200" s="4">
        <v>66729.377521719522</v>
      </c>
      <c r="F200" s="4">
        <v>67460.782480397203</v>
      </c>
      <c r="G200" s="4">
        <v>68192.187439074914</v>
      </c>
      <c r="H200" s="4">
        <v>68923.592397752596</v>
      </c>
      <c r="I200" s="4">
        <v>69654.997356430278</v>
      </c>
      <c r="J200" s="4">
        <v>70386.402315107931</v>
      </c>
      <c r="K200" s="4">
        <v>71117.807273785613</v>
      </c>
      <c r="L200" s="4">
        <v>71849.212232463295</v>
      </c>
      <c r="M200" s="4">
        <v>72580.617191140977</v>
      </c>
      <c r="N200" s="4">
        <v>73312.022149818687</v>
      </c>
      <c r="O200" s="4">
        <v>74043.427108496369</v>
      </c>
      <c r="P200" s="4">
        <v>74774.832067174051</v>
      </c>
      <c r="Q200" s="4">
        <v>75506.237025851733</v>
      </c>
      <c r="R200" s="4">
        <v>76237.641984529415</v>
      </c>
      <c r="S200" s="4">
        <v>76969.046943207097</v>
      </c>
      <c r="T200" s="4">
        <v>77700.451901884779</v>
      </c>
      <c r="U200" s="4">
        <v>78431.85686056249</v>
      </c>
      <c r="V200" s="4">
        <v>79163.261819240171</v>
      </c>
      <c r="W200" s="4">
        <v>79894.666777917853</v>
      </c>
      <c r="X200" s="4">
        <v>80626.071736595535</v>
      </c>
      <c r="Y200" s="4">
        <v>81357.476695273217</v>
      </c>
      <c r="Z200" s="4">
        <v>82088.881653950899</v>
      </c>
      <c r="AA200" s="4">
        <v>82820.286612628581</v>
      </c>
      <c r="AB200" s="4">
        <v>83551.691571306263</v>
      </c>
      <c r="AC200" s="4">
        <v>84283.096529983974</v>
      </c>
      <c r="AD200" s="4">
        <v>85014.501488661655</v>
      </c>
      <c r="AE200" s="4">
        <v>85745.906447339337</v>
      </c>
      <c r="AF200" s="4">
        <v>86477.311406017019</v>
      </c>
      <c r="AG200" s="4">
        <v>87208.716364694701</v>
      </c>
      <c r="AH200" s="4">
        <v>87940.121323372383</v>
      </c>
      <c r="AI200" s="4">
        <v>88671.526282050065</v>
      </c>
      <c r="AJ200" s="4">
        <v>89402.931240727776</v>
      </c>
      <c r="AK200" s="4">
        <v>90134.336199405458</v>
      </c>
      <c r="AL200" s="4">
        <v>90865.741158083139</v>
      </c>
      <c r="AM200" s="4">
        <v>91597.146116760821</v>
      </c>
      <c r="AN200" s="4">
        <v>92328.551075438503</v>
      </c>
    </row>
    <row r="201" spans="2:40" x14ac:dyDescent="0.2">
      <c r="C201" s="57">
        <f t="shared" si="48"/>
        <v>350</v>
      </c>
      <c r="D201" s="4">
        <v>67190.715019039984</v>
      </c>
      <c r="E201" s="4">
        <v>67922.119977717695</v>
      </c>
      <c r="F201" s="4">
        <v>68653.524936395348</v>
      </c>
      <c r="G201" s="4">
        <v>69384.929895073059</v>
      </c>
      <c r="H201" s="4">
        <v>70116.334853750712</v>
      </c>
      <c r="I201" s="4">
        <v>70847.739812428423</v>
      </c>
      <c r="J201" s="4">
        <v>71579.144771106075</v>
      </c>
      <c r="K201" s="4">
        <v>72310.549729783728</v>
      </c>
      <c r="L201" s="4">
        <v>73041.954688461439</v>
      </c>
      <c r="M201" s="4">
        <v>73773.35964713915</v>
      </c>
      <c r="N201" s="4">
        <v>74504.764605816803</v>
      </c>
      <c r="O201" s="4">
        <v>75236.169564494514</v>
      </c>
      <c r="P201" s="4">
        <v>75967.574523172167</v>
      </c>
      <c r="Q201" s="4">
        <v>76698.979481849878</v>
      </c>
      <c r="R201" s="4">
        <v>77430.38444052753</v>
      </c>
      <c r="S201" s="4">
        <v>78161.789399205241</v>
      </c>
      <c r="T201" s="4">
        <v>78893.194357882952</v>
      </c>
      <c r="U201" s="4">
        <v>79624.599316560605</v>
      </c>
      <c r="V201" s="4">
        <v>80356.004275238316</v>
      </c>
      <c r="W201" s="4">
        <v>81087.409233915969</v>
      </c>
      <c r="X201" s="4">
        <v>81818.81419259368</v>
      </c>
      <c r="Y201" s="4">
        <v>82550.219151271391</v>
      </c>
      <c r="Z201" s="4">
        <v>83281.624109949043</v>
      </c>
      <c r="AA201" s="4">
        <v>84013.029068626754</v>
      </c>
      <c r="AB201" s="4">
        <v>84744.434027304407</v>
      </c>
      <c r="AC201" s="4">
        <v>85475.838985982118</v>
      </c>
      <c r="AD201" s="4">
        <v>86207.2439446598</v>
      </c>
      <c r="AE201" s="4">
        <v>86938.648903337482</v>
      </c>
      <c r="AF201" s="4">
        <v>87670.053862015193</v>
      </c>
      <c r="AG201" s="4">
        <v>88401.458820692875</v>
      </c>
      <c r="AH201" s="4">
        <v>89132.863779370557</v>
      </c>
      <c r="AI201" s="4">
        <v>89864.268738048238</v>
      </c>
      <c r="AJ201" s="4">
        <v>90595.67369672592</v>
      </c>
      <c r="AK201" s="4">
        <v>91327.078655403602</v>
      </c>
      <c r="AL201" s="4">
        <v>92058.483614081284</v>
      </c>
      <c r="AM201" s="4">
        <v>92789.888572758995</v>
      </c>
      <c r="AN201" s="4">
        <v>93521.293531436677</v>
      </c>
    </row>
    <row r="202" spans="2:40" x14ac:dyDescent="0.2">
      <c r="C202" s="57">
        <f t="shared" si="48"/>
        <v>375</v>
      </c>
      <c r="D202" s="4">
        <v>68387.332143311854</v>
      </c>
      <c r="E202" s="4">
        <v>69118.737101989565</v>
      </c>
      <c r="F202" s="4">
        <v>69850.142060667276</v>
      </c>
      <c r="G202" s="4">
        <v>70581.547019344929</v>
      </c>
      <c r="H202" s="4">
        <v>71312.95197802264</v>
      </c>
      <c r="I202" s="4">
        <v>72044.356936700322</v>
      </c>
      <c r="J202" s="4">
        <v>72775.761895378033</v>
      </c>
      <c r="K202" s="4">
        <v>73507.166854055686</v>
      </c>
      <c r="L202" s="4">
        <v>74238.571812733397</v>
      </c>
      <c r="M202" s="4">
        <v>74969.976771411049</v>
      </c>
      <c r="N202" s="4">
        <v>75701.38173008876</v>
      </c>
      <c r="O202" s="4">
        <v>76432.786688766471</v>
      </c>
      <c r="P202" s="4">
        <v>77164.191647444124</v>
      </c>
      <c r="Q202" s="4">
        <v>77895.596606121835</v>
      </c>
      <c r="R202" s="4">
        <v>78627.001564799488</v>
      </c>
      <c r="S202" s="4">
        <v>79358.406523477199</v>
      </c>
      <c r="T202" s="4">
        <v>80089.811482154852</v>
      </c>
      <c r="U202" s="4">
        <v>80821.216440832563</v>
      </c>
      <c r="V202" s="4">
        <v>81552.621399510273</v>
      </c>
      <c r="W202" s="4">
        <v>82284.026358187926</v>
      </c>
      <c r="X202" s="4">
        <v>83015.431316865637</v>
      </c>
      <c r="Y202" s="4">
        <v>83746.83627554329</v>
      </c>
      <c r="Z202" s="4">
        <v>84478.241234221001</v>
      </c>
      <c r="AA202" s="4">
        <v>85209.646192898654</v>
      </c>
      <c r="AB202" s="4">
        <v>85941.051151576365</v>
      </c>
      <c r="AC202" s="4">
        <v>86672.456110254076</v>
      </c>
      <c r="AD202" s="4">
        <v>87403.861068931699</v>
      </c>
      <c r="AE202" s="4">
        <v>88135.26602760941</v>
      </c>
      <c r="AF202" s="4">
        <v>88866.670986287063</v>
      </c>
      <c r="AG202" s="4">
        <v>89598.075944964774</v>
      </c>
      <c r="AH202" s="4">
        <v>90329.480903642485</v>
      </c>
      <c r="AI202" s="4">
        <v>91060.885862320138</v>
      </c>
      <c r="AJ202" s="4">
        <v>91792.290820997849</v>
      </c>
      <c r="AK202" s="4">
        <v>92523.695779675574</v>
      </c>
      <c r="AL202" s="4">
        <v>93255.100738353227</v>
      </c>
      <c r="AM202" s="4">
        <v>93986.505697030938</v>
      </c>
      <c r="AN202" s="4">
        <v>94717.910655708591</v>
      </c>
    </row>
    <row r="203" spans="2:40" x14ac:dyDescent="0.2">
      <c r="C203" s="57">
        <f t="shared" si="48"/>
        <v>400</v>
      </c>
      <c r="D203" s="4">
        <v>69587.84034102154</v>
      </c>
      <c r="E203" s="4">
        <v>70319.245299699251</v>
      </c>
      <c r="F203" s="4">
        <v>71050.650258376903</v>
      </c>
      <c r="G203" s="4">
        <v>71782.055217054614</v>
      </c>
      <c r="H203" s="4">
        <v>72513.460175732325</v>
      </c>
      <c r="I203" s="4">
        <v>73244.865134409978</v>
      </c>
      <c r="J203" s="4">
        <v>73976.270093087689</v>
      </c>
      <c r="K203" s="4">
        <v>74707.675051765342</v>
      </c>
      <c r="L203" s="4">
        <v>75439.080010443053</v>
      </c>
      <c r="M203" s="4">
        <v>76170.48496912072</v>
      </c>
      <c r="N203" s="4">
        <v>76901.889927798373</v>
      </c>
      <c r="O203" s="4">
        <v>77633.294886476084</v>
      </c>
      <c r="P203" s="4">
        <v>78364.699845153795</v>
      </c>
      <c r="Q203" s="4">
        <v>79096.104803831447</v>
      </c>
      <c r="R203" s="4">
        <v>79827.509762509158</v>
      </c>
      <c r="S203" s="4">
        <v>80558.914721186811</v>
      </c>
      <c r="T203" s="4">
        <v>81290.319679864522</v>
      </c>
      <c r="U203" s="4">
        <v>82021.724638542175</v>
      </c>
      <c r="V203" s="4">
        <v>82753.129597219886</v>
      </c>
      <c r="W203" s="4">
        <v>83484.534555897597</v>
      </c>
      <c r="X203" s="4">
        <v>84215.93951457525</v>
      </c>
      <c r="Y203" s="4">
        <v>84947.344473252961</v>
      </c>
      <c r="Z203" s="4">
        <v>85678.749431930613</v>
      </c>
      <c r="AA203" s="4">
        <v>86410.154390608324</v>
      </c>
      <c r="AB203" s="4">
        <v>87141.559349285977</v>
      </c>
      <c r="AC203" s="4">
        <v>87872.964307963688</v>
      </c>
      <c r="AD203" s="4">
        <v>88604.369266641399</v>
      </c>
      <c r="AE203" s="4">
        <v>89335.774225319052</v>
      </c>
      <c r="AF203" s="4">
        <v>90067.179183996763</v>
      </c>
      <c r="AG203" s="4">
        <v>90798.584142674415</v>
      </c>
      <c r="AH203" s="4">
        <v>91529.989101352141</v>
      </c>
      <c r="AI203" s="4">
        <v>92261.394060029794</v>
      </c>
      <c r="AJ203" s="4">
        <v>92992.799018707505</v>
      </c>
      <c r="AK203" s="4">
        <v>93724.203977385216</v>
      </c>
      <c r="AL203" s="4">
        <v>94455.608936062868</v>
      </c>
      <c r="AM203" s="4">
        <v>95187.013894740579</v>
      </c>
      <c r="AN203" s="4">
        <v>95918.418853418232</v>
      </c>
    </row>
    <row r="204" spans="2:40" x14ac:dyDescent="0.2">
      <c r="C204" s="57">
        <f t="shared" si="48"/>
        <v>425</v>
      </c>
      <c r="D204" s="4">
        <v>70792.256098725527</v>
      </c>
      <c r="E204" s="4">
        <v>71523.66105740318</v>
      </c>
      <c r="F204" s="4">
        <v>72255.066016080891</v>
      </c>
      <c r="G204" s="4">
        <v>72986.470974758544</v>
      </c>
      <c r="H204" s="4">
        <v>73717.875933436255</v>
      </c>
      <c r="I204" s="4">
        <v>74449.280892113966</v>
      </c>
      <c r="J204" s="4">
        <v>75180.685850791619</v>
      </c>
      <c r="K204" s="4">
        <v>75912.09080946933</v>
      </c>
      <c r="L204" s="4">
        <v>76643.495768146997</v>
      </c>
      <c r="M204" s="4">
        <v>77374.900726824708</v>
      </c>
      <c r="N204" s="4">
        <v>78106.305685502361</v>
      </c>
      <c r="O204" s="4">
        <v>78837.710644180072</v>
      </c>
      <c r="P204" s="4">
        <v>79569.115602857783</v>
      </c>
      <c r="Q204" s="4">
        <v>80300.520561535435</v>
      </c>
      <c r="R204" s="4">
        <v>81031.925520213146</v>
      </c>
      <c r="S204" s="4">
        <v>81763.330478890799</v>
      </c>
      <c r="T204" s="4">
        <v>82494.73543756851</v>
      </c>
      <c r="U204" s="4">
        <v>83226.140396246163</v>
      </c>
      <c r="V204" s="4">
        <v>83957.545354923815</v>
      </c>
      <c r="W204" s="4">
        <v>84688.950313601526</v>
      </c>
      <c r="X204" s="4">
        <v>85420.355272279237</v>
      </c>
      <c r="Y204" s="4">
        <v>86151.76023095689</v>
      </c>
      <c r="Z204" s="4">
        <v>86883.165189634601</v>
      </c>
      <c r="AA204" s="4">
        <v>87614.570148312254</v>
      </c>
      <c r="AB204" s="4">
        <v>88345.975106989965</v>
      </c>
      <c r="AC204" s="4">
        <v>89077.380065667676</v>
      </c>
      <c r="AD204" s="4">
        <v>89808.785024345329</v>
      </c>
      <c r="AE204" s="4">
        <v>90540.18998302304</v>
      </c>
      <c r="AF204" s="4">
        <v>91271.594941700692</v>
      </c>
      <c r="AG204" s="4">
        <v>92002.999900378403</v>
      </c>
      <c r="AH204" s="4">
        <v>92734.404859056056</v>
      </c>
      <c r="AI204" s="4">
        <v>93465.809817733767</v>
      </c>
      <c r="AJ204" s="4">
        <v>94197.21477641142</v>
      </c>
      <c r="AK204" s="4">
        <v>94928.619735089131</v>
      </c>
      <c r="AL204" s="4">
        <v>95660.024693766813</v>
      </c>
      <c r="AM204" s="4">
        <v>96391.429652444494</v>
      </c>
      <c r="AN204" s="4">
        <v>97122.834611122176</v>
      </c>
    </row>
    <row r="205" spans="2:40" x14ac:dyDescent="0.2">
      <c r="C205" s="57">
        <f t="shared" si="48"/>
        <v>450</v>
      </c>
      <c r="D205" s="4">
        <v>72000.595984815314</v>
      </c>
      <c r="E205" s="4">
        <v>72732.000943492967</v>
      </c>
      <c r="F205" s="4">
        <v>73463.405902170678</v>
      </c>
      <c r="G205" s="4">
        <v>74194.810860848389</v>
      </c>
      <c r="H205" s="4">
        <v>74926.215819526042</v>
      </c>
      <c r="I205" s="4">
        <v>75657.620778203753</v>
      </c>
      <c r="J205" s="4">
        <v>76389.025736881405</v>
      </c>
      <c r="K205" s="4">
        <v>77120.430695559116</v>
      </c>
      <c r="L205" s="4">
        <v>77851.835654236769</v>
      </c>
      <c r="M205" s="4">
        <v>78583.24061291448</v>
      </c>
      <c r="N205" s="4">
        <v>79314.645571592133</v>
      </c>
      <c r="O205" s="4">
        <v>80046.050530269844</v>
      </c>
      <c r="P205" s="4">
        <v>80777.455488947555</v>
      </c>
      <c r="Q205" s="4">
        <v>81508.860447625208</v>
      </c>
      <c r="R205" s="4">
        <v>82240.265406302919</v>
      </c>
      <c r="S205" s="4">
        <v>82971.670364980571</v>
      </c>
      <c r="T205" s="4">
        <v>83703.075323658282</v>
      </c>
      <c r="U205" s="4">
        <v>84434.480282335935</v>
      </c>
      <c r="V205" s="4">
        <v>85165.885241013646</v>
      </c>
      <c r="W205" s="4">
        <v>85897.290199691357</v>
      </c>
      <c r="X205" s="4">
        <v>86628.69515836901</v>
      </c>
      <c r="Y205" s="4">
        <v>87360.100117046721</v>
      </c>
      <c r="Z205" s="4">
        <v>88091.505075724388</v>
      </c>
      <c r="AA205" s="4">
        <v>88822.910034402099</v>
      </c>
      <c r="AB205" s="4">
        <v>89554.314993079752</v>
      </c>
      <c r="AC205" s="4">
        <v>90285.719951757463</v>
      </c>
      <c r="AD205" s="4">
        <v>91017.124910435174</v>
      </c>
      <c r="AE205" s="4">
        <v>91748.529869112826</v>
      </c>
      <c r="AF205" s="4">
        <v>92479.934827790537</v>
      </c>
      <c r="AG205" s="4">
        <v>93211.33978646819</v>
      </c>
      <c r="AH205" s="4">
        <v>93942.744745145901</v>
      </c>
      <c r="AI205" s="4">
        <v>94674.149703823554</v>
      </c>
      <c r="AJ205" s="4">
        <v>95405.554662501294</v>
      </c>
      <c r="AK205" s="4">
        <v>96136.959621178976</v>
      </c>
      <c r="AL205" s="4">
        <v>96868.364579856658</v>
      </c>
      <c r="AM205" s="4">
        <v>97599.76953853434</v>
      </c>
      <c r="AN205" s="4">
        <v>98331.174497212021</v>
      </c>
    </row>
    <row r="206" spans="2:40" x14ac:dyDescent="0.2">
      <c r="C206" s="57">
        <f t="shared" si="48"/>
        <v>475</v>
      </c>
      <c r="D206" s="4">
        <v>73212.876649959304</v>
      </c>
      <c r="E206" s="4">
        <v>73944.281608636957</v>
      </c>
      <c r="F206" s="4">
        <v>74675.686567314668</v>
      </c>
      <c r="G206" s="4">
        <v>75407.09152599232</v>
      </c>
      <c r="H206" s="4">
        <v>76138.496484670031</v>
      </c>
      <c r="I206" s="4">
        <v>76869.901443347684</v>
      </c>
      <c r="J206" s="4">
        <v>77601.306402025381</v>
      </c>
      <c r="K206" s="4">
        <v>78332.711360703091</v>
      </c>
      <c r="L206" s="4">
        <v>79064.116319380744</v>
      </c>
      <c r="M206" s="4">
        <v>79795.521278058455</v>
      </c>
      <c r="N206" s="4">
        <v>80526.926236736108</v>
      </c>
      <c r="O206" s="4">
        <v>81258.331195413819</v>
      </c>
      <c r="P206" s="4">
        <v>81989.736154091472</v>
      </c>
      <c r="Q206" s="4">
        <v>82721.141112769183</v>
      </c>
      <c r="R206" s="4">
        <v>83452.546071446835</v>
      </c>
      <c r="S206" s="4">
        <v>84183.951030124546</v>
      </c>
      <c r="T206" s="4">
        <v>84915.355988802257</v>
      </c>
      <c r="U206" s="4">
        <v>85646.76094747991</v>
      </c>
      <c r="V206" s="4">
        <v>86378.165906157592</v>
      </c>
      <c r="W206" s="4">
        <v>87109.570864835274</v>
      </c>
      <c r="X206" s="4">
        <v>87840.975823512956</v>
      </c>
      <c r="Y206" s="4">
        <v>88572.380782190681</v>
      </c>
      <c r="Z206" s="4">
        <v>89303.785740868363</v>
      </c>
      <c r="AA206" s="4">
        <v>90035.190699546045</v>
      </c>
      <c r="AB206" s="4">
        <v>90766.595658223727</v>
      </c>
      <c r="AC206" s="4">
        <v>91498.000616901409</v>
      </c>
      <c r="AD206" s="4">
        <v>92229.405575579091</v>
      </c>
      <c r="AE206" s="4">
        <v>92960.810534256772</v>
      </c>
      <c r="AF206" s="4">
        <v>93692.215492934483</v>
      </c>
      <c r="AG206" s="4">
        <v>94423.620451612165</v>
      </c>
      <c r="AH206" s="4">
        <v>95155.025410289847</v>
      </c>
      <c r="AI206" s="4">
        <v>95886.430368967529</v>
      </c>
      <c r="AJ206" s="4">
        <v>96617.835327645211</v>
      </c>
      <c r="AK206" s="4">
        <v>97349.240286322864</v>
      </c>
      <c r="AL206" s="4">
        <v>98080.645245000575</v>
      </c>
      <c r="AM206" s="4">
        <v>98812.050203678285</v>
      </c>
      <c r="AN206" s="4">
        <v>99543.455162355938</v>
      </c>
    </row>
    <row r="207" spans="2:40" x14ac:dyDescent="0.2">
      <c r="C207" s="57">
        <f t="shared" si="48"/>
        <v>500</v>
      </c>
      <c r="D207" s="4">
        <v>74429.114827546829</v>
      </c>
      <c r="E207" s="4">
        <v>75160.519786224482</v>
      </c>
      <c r="F207" s="4">
        <v>75891.924744902193</v>
      </c>
      <c r="G207" s="4">
        <v>76623.329703579846</v>
      </c>
      <c r="H207" s="4">
        <v>77354.734662257557</v>
      </c>
      <c r="I207" s="4">
        <v>78086.139620935239</v>
      </c>
      <c r="J207" s="4">
        <v>78817.544579612921</v>
      </c>
      <c r="K207" s="4">
        <v>79548.949538290632</v>
      </c>
      <c r="L207" s="4">
        <v>80280.354496968284</v>
      </c>
      <c r="M207" s="4">
        <v>81011.759455645995</v>
      </c>
      <c r="N207" s="4">
        <v>81743.164414323648</v>
      </c>
      <c r="O207" s="4">
        <v>82474.569373001359</v>
      </c>
      <c r="P207" s="4">
        <v>83205.974331679041</v>
      </c>
      <c r="Q207" s="4">
        <v>83937.379290356723</v>
      </c>
      <c r="R207" s="4">
        <v>84668.784249034434</v>
      </c>
      <c r="S207" s="4">
        <v>85400.189207712086</v>
      </c>
      <c r="T207" s="4">
        <v>86131.594166389797</v>
      </c>
      <c r="U207" s="4">
        <v>86862.999125067479</v>
      </c>
      <c r="V207" s="4">
        <v>87594.404083745161</v>
      </c>
      <c r="W207" s="4">
        <v>88325.809042422843</v>
      </c>
      <c r="X207" s="4">
        <v>89057.214001100554</v>
      </c>
      <c r="Y207" s="4">
        <v>89788.618959778236</v>
      </c>
      <c r="Z207" s="4">
        <v>90520.023918455918</v>
      </c>
      <c r="AA207" s="4">
        <v>91251.4288771336</v>
      </c>
      <c r="AB207" s="4">
        <v>91982.833835811281</v>
      </c>
      <c r="AC207" s="4">
        <v>92714.238794488963</v>
      </c>
      <c r="AD207" s="4">
        <v>93445.643753166674</v>
      </c>
      <c r="AE207" s="4">
        <v>94177.048711844356</v>
      </c>
      <c r="AF207" s="4">
        <v>94908.453670522038</v>
      </c>
      <c r="AG207" s="4">
        <v>95639.85862919972</v>
      </c>
      <c r="AH207" s="4">
        <v>96371.263587877402</v>
      </c>
      <c r="AI207" s="4">
        <v>97102.668546555084</v>
      </c>
      <c r="AJ207" s="4">
        <v>97834.073505232765</v>
      </c>
      <c r="AK207" s="4">
        <v>98565.478463910476</v>
      </c>
      <c r="AL207" s="4">
        <v>99296.883422588158</v>
      </c>
      <c r="AM207" s="4">
        <v>100028.28838126584</v>
      </c>
      <c r="AN207" s="4">
        <v>100759.69333994352</v>
      </c>
    </row>
    <row r="208" spans="2:40" x14ac:dyDescent="0.2">
      <c r="C208" s="57">
        <f t="shared" si="48"/>
        <v>525</v>
      </c>
      <c r="D208" s="4">
        <v>75649.327334143221</v>
      </c>
      <c r="E208" s="4">
        <v>76380.732292820874</v>
      </c>
      <c r="F208" s="4">
        <v>77112.137251498585</v>
      </c>
      <c r="G208" s="4">
        <v>77843.542210176267</v>
      </c>
      <c r="H208" s="4">
        <v>78574.947168853949</v>
      </c>
      <c r="I208" s="4">
        <v>79306.35212753166</v>
      </c>
      <c r="J208" s="4">
        <v>80037.757086209313</v>
      </c>
      <c r="K208" s="4">
        <v>80769.162044887024</v>
      </c>
      <c r="L208" s="4">
        <v>81500.567003564676</v>
      </c>
      <c r="M208" s="4">
        <v>82231.971962242387</v>
      </c>
      <c r="N208" s="4">
        <v>82963.376920920069</v>
      </c>
      <c r="O208" s="4">
        <v>83694.781879597751</v>
      </c>
      <c r="P208" s="4">
        <v>84426.186838275433</v>
      </c>
      <c r="Q208" s="4">
        <v>85157.591796953115</v>
      </c>
      <c r="R208" s="4">
        <v>85888.996755630826</v>
      </c>
      <c r="S208" s="4">
        <v>86620.401714308478</v>
      </c>
      <c r="T208" s="4">
        <v>87351.806672986189</v>
      </c>
      <c r="U208" s="4">
        <v>88083.211631663871</v>
      </c>
      <c r="V208" s="4">
        <v>88814.616590341553</v>
      </c>
      <c r="W208" s="4">
        <v>89546.021549019235</v>
      </c>
      <c r="X208" s="4">
        <v>90277.426507696946</v>
      </c>
      <c r="Y208" s="4">
        <v>91008.831466374599</v>
      </c>
      <c r="Z208" s="4">
        <v>91740.23642505231</v>
      </c>
      <c r="AA208" s="4">
        <v>92471.641383729992</v>
      </c>
      <c r="AB208" s="4">
        <v>93203.046342407673</v>
      </c>
      <c r="AC208" s="4">
        <v>93934.451301085355</v>
      </c>
      <c r="AD208" s="4">
        <v>94665.856259763037</v>
      </c>
      <c r="AE208" s="4">
        <v>95397.261218440748</v>
      </c>
      <c r="AF208" s="4">
        <v>96128.666177118401</v>
      </c>
      <c r="AG208" s="4">
        <v>96860.071135796112</v>
      </c>
      <c r="AH208" s="4">
        <v>97591.476094473794</v>
      </c>
      <c r="AI208" s="4">
        <v>98322.881053151505</v>
      </c>
      <c r="AJ208" s="4">
        <v>99054.286011829186</v>
      </c>
      <c r="AK208" s="4">
        <v>99785.690970506868</v>
      </c>
      <c r="AL208" s="4">
        <v>100517.09592918458</v>
      </c>
      <c r="AM208" s="4">
        <v>101248.50088786223</v>
      </c>
      <c r="AN208" s="4">
        <v>101979.90584653994</v>
      </c>
    </row>
    <row r="209" spans="1:40" x14ac:dyDescent="0.2">
      <c r="C209" s="57">
        <f t="shared" si="48"/>
        <v>550</v>
      </c>
      <c r="D209" s="4">
        <v>76873.531069938705</v>
      </c>
      <c r="E209" s="4">
        <v>77604.936028616357</v>
      </c>
      <c r="F209" s="4">
        <v>78336.340987294068</v>
      </c>
      <c r="G209" s="4">
        <v>79067.745945971721</v>
      </c>
      <c r="H209" s="4">
        <v>79799.150904649432</v>
      </c>
      <c r="I209" s="4">
        <v>80530.555863327085</v>
      </c>
      <c r="J209" s="4">
        <v>81261.960822004796</v>
      </c>
      <c r="K209" s="4">
        <v>81993.365780682507</v>
      </c>
      <c r="L209" s="4">
        <v>82724.770739360159</v>
      </c>
      <c r="M209" s="4">
        <v>83456.17569803787</v>
      </c>
      <c r="N209" s="4">
        <v>84187.580656715523</v>
      </c>
      <c r="O209" s="4">
        <v>84918.985615393234</v>
      </c>
      <c r="P209" s="4">
        <v>85650.390574070887</v>
      </c>
      <c r="Q209" s="4">
        <v>86381.795532748598</v>
      </c>
      <c r="R209" s="4">
        <v>87113.200491426251</v>
      </c>
      <c r="S209" s="4">
        <v>87844.605450103962</v>
      </c>
      <c r="T209" s="4">
        <v>88576.010408781673</v>
      </c>
      <c r="U209" s="4">
        <v>89307.415367459325</v>
      </c>
      <c r="V209" s="4">
        <v>90038.820326137036</v>
      </c>
      <c r="W209" s="4">
        <v>90770.225284814747</v>
      </c>
      <c r="X209" s="4">
        <v>91501.6302434924</v>
      </c>
      <c r="Y209" s="4">
        <v>92233.035202170111</v>
      </c>
      <c r="Z209" s="4">
        <v>92964.440160847764</v>
      </c>
      <c r="AA209" s="4">
        <v>93695.845119525475</v>
      </c>
      <c r="AB209" s="4">
        <v>94427.250078203127</v>
      </c>
      <c r="AC209" s="4">
        <v>95158.655036880838</v>
      </c>
      <c r="AD209" s="4">
        <v>95890.059995558549</v>
      </c>
      <c r="AE209" s="4">
        <v>96621.464954236202</v>
      </c>
      <c r="AF209" s="4">
        <v>97352.869912913913</v>
      </c>
      <c r="AG209" s="4">
        <v>98084.274871591566</v>
      </c>
      <c r="AH209" s="4">
        <v>98815.679830269277</v>
      </c>
      <c r="AI209" s="4">
        <v>99547.08478894693</v>
      </c>
      <c r="AJ209" s="4">
        <v>100278.48974762464</v>
      </c>
      <c r="AK209" s="4">
        <v>101009.89470630235</v>
      </c>
      <c r="AL209" s="4">
        <v>101741.29966498</v>
      </c>
      <c r="AM209" s="4">
        <v>102472.70462365772</v>
      </c>
      <c r="AN209" s="4">
        <v>103204.10958233537</v>
      </c>
    </row>
    <row r="210" spans="1:40" x14ac:dyDescent="0.2">
      <c r="C210" s="57">
        <f t="shared" si="48"/>
        <v>575</v>
      </c>
      <c r="D210" s="4">
        <v>78101.743019201938</v>
      </c>
      <c r="E210" s="4">
        <v>78833.14797787962</v>
      </c>
      <c r="F210" s="4">
        <v>79564.552936557331</v>
      </c>
      <c r="G210" s="4">
        <v>80295.957895235013</v>
      </c>
      <c r="H210" s="4">
        <v>81027.362853912695</v>
      </c>
      <c r="I210" s="4">
        <v>81758.767812590377</v>
      </c>
      <c r="J210" s="4">
        <v>82490.172771268059</v>
      </c>
      <c r="K210" s="4">
        <v>83221.57772994574</v>
      </c>
      <c r="L210" s="4">
        <v>83952.982688623422</v>
      </c>
      <c r="M210" s="4">
        <v>84684.387647301104</v>
      </c>
      <c r="N210" s="4">
        <v>85415.792605978786</v>
      </c>
      <c r="O210" s="4">
        <v>86147.197564656468</v>
      </c>
      <c r="P210" s="4">
        <v>86878.60252333415</v>
      </c>
      <c r="Q210" s="4">
        <v>87610.007482011832</v>
      </c>
      <c r="R210" s="4">
        <v>88341.412440689513</v>
      </c>
      <c r="S210" s="4">
        <v>89072.817399367224</v>
      </c>
      <c r="T210" s="4">
        <v>89804.222358044906</v>
      </c>
      <c r="U210" s="4">
        <v>90535.627316722588</v>
      </c>
      <c r="V210" s="4">
        <v>91267.03227540027</v>
      </c>
      <c r="W210" s="4">
        <v>91998.437234077952</v>
      </c>
      <c r="X210" s="4">
        <v>92729.842192755634</v>
      </c>
      <c r="Y210" s="4">
        <v>93461.247151433345</v>
      </c>
      <c r="Z210" s="4">
        <v>94192.652110111027</v>
      </c>
      <c r="AA210" s="4">
        <v>94924.057068788708</v>
      </c>
      <c r="AB210" s="4">
        <v>95655.46202746639</v>
      </c>
      <c r="AC210" s="4">
        <v>96386.866986144072</v>
      </c>
      <c r="AD210" s="4">
        <v>97118.271944821754</v>
      </c>
      <c r="AE210" s="4">
        <v>97849.676903499465</v>
      </c>
      <c r="AF210" s="4">
        <v>98581.081862177147</v>
      </c>
      <c r="AG210" s="4">
        <v>99312.486820854829</v>
      </c>
      <c r="AH210" s="4">
        <v>100043.89177953251</v>
      </c>
      <c r="AI210" s="4">
        <v>100775.29673821022</v>
      </c>
      <c r="AJ210" s="4">
        <v>101506.70169688787</v>
      </c>
      <c r="AK210" s="4">
        <v>102238.10665556559</v>
      </c>
      <c r="AL210" s="4">
        <v>102969.5116142433</v>
      </c>
      <c r="AM210" s="4">
        <v>103700.91657292095</v>
      </c>
      <c r="AN210" s="4">
        <v>104432.32153159866</v>
      </c>
    </row>
    <row r="211" spans="1:40" x14ac:dyDescent="0.2">
      <c r="C211" s="57">
        <f t="shared" si="48"/>
        <v>600</v>
      </c>
      <c r="D211" s="4">
        <v>79333.980250736757</v>
      </c>
      <c r="E211" s="4">
        <v>80065.385209414439</v>
      </c>
      <c r="F211" s="4">
        <v>80796.79016809212</v>
      </c>
      <c r="G211" s="4">
        <v>81528.195126769802</v>
      </c>
      <c r="H211" s="4">
        <v>82259.600085447484</v>
      </c>
      <c r="I211" s="4">
        <v>82991.005044125166</v>
      </c>
      <c r="J211" s="4">
        <v>83722.410002802848</v>
      </c>
      <c r="K211" s="4">
        <v>84453.814961480559</v>
      </c>
      <c r="L211" s="4">
        <v>85185.219920158241</v>
      </c>
      <c r="M211" s="4">
        <v>85916.624878835923</v>
      </c>
      <c r="N211" s="4">
        <v>86648.029837513604</v>
      </c>
      <c r="O211" s="4">
        <v>87379.434796191286</v>
      </c>
      <c r="P211" s="4">
        <v>88110.839754868968</v>
      </c>
      <c r="Q211" s="4">
        <v>88842.24471354665</v>
      </c>
      <c r="R211" s="4">
        <v>89573.649672224361</v>
      </c>
      <c r="S211" s="4">
        <v>90305.054630902043</v>
      </c>
      <c r="T211" s="4">
        <v>91036.459589579725</v>
      </c>
      <c r="U211" s="4">
        <v>91767.864548257407</v>
      </c>
      <c r="V211" s="4">
        <v>92499.269506935088</v>
      </c>
      <c r="W211" s="4">
        <v>93230.67446561277</v>
      </c>
      <c r="X211" s="4">
        <v>93962.079424290452</v>
      </c>
      <c r="Y211" s="4">
        <v>94693.484382968163</v>
      </c>
      <c r="Z211" s="4">
        <v>95424.889341645845</v>
      </c>
      <c r="AA211" s="4">
        <v>96156.294300323527</v>
      </c>
      <c r="AB211" s="4">
        <v>96887.699259001209</v>
      </c>
      <c r="AC211" s="4">
        <v>97619.104217678891</v>
      </c>
      <c r="AD211" s="4">
        <v>98350.509176356572</v>
      </c>
      <c r="AE211" s="4">
        <v>99081.914135034254</v>
      </c>
      <c r="AF211" s="4">
        <v>99813.319093711965</v>
      </c>
      <c r="AG211" s="4">
        <v>100544.72405238965</v>
      </c>
      <c r="AH211" s="4">
        <v>101276.12901106733</v>
      </c>
      <c r="AI211" s="4">
        <v>102007.53396974501</v>
      </c>
      <c r="AJ211" s="4">
        <v>102738.93892842269</v>
      </c>
      <c r="AK211" s="4">
        <v>103470.34388710037</v>
      </c>
      <c r="AL211" s="4">
        <v>104201.74884577806</v>
      </c>
      <c r="AM211" s="4">
        <v>104933.15380445577</v>
      </c>
      <c r="AN211" s="4">
        <v>105664.55876313345</v>
      </c>
    </row>
    <row r="212" spans="1:40" x14ac:dyDescent="0.2">
      <c r="C212" s="57">
        <f t="shared" si="48"/>
        <v>625</v>
      </c>
      <c r="D212" s="4">
        <v>80570.259918344556</v>
      </c>
      <c r="E212" s="4">
        <v>81301.664877022209</v>
      </c>
      <c r="F212" s="4">
        <v>82033.06983569992</v>
      </c>
      <c r="G212" s="4">
        <v>82764.474794377573</v>
      </c>
      <c r="H212" s="4">
        <v>83495.879753055284</v>
      </c>
      <c r="I212" s="4">
        <v>84227.284711732995</v>
      </c>
      <c r="J212" s="4">
        <v>84958.689670410648</v>
      </c>
      <c r="K212" s="4">
        <v>85690.094629088358</v>
      </c>
      <c r="L212" s="4">
        <v>86421.499587766011</v>
      </c>
      <c r="M212" s="4">
        <v>87152.904546443722</v>
      </c>
      <c r="N212" s="4">
        <v>87884.309505121375</v>
      </c>
      <c r="O212" s="4">
        <v>88615.714463799086</v>
      </c>
      <c r="P212" s="4">
        <v>89347.119422476797</v>
      </c>
      <c r="Q212" s="4">
        <v>90078.52438115445</v>
      </c>
      <c r="R212" s="4">
        <v>90809.929339832161</v>
      </c>
      <c r="S212" s="4">
        <v>91541.334298509813</v>
      </c>
      <c r="T212" s="4">
        <v>92272.739257187524</v>
      </c>
      <c r="U212" s="4">
        <v>93004.144215865177</v>
      </c>
      <c r="V212" s="4">
        <v>93735.549174542888</v>
      </c>
      <c r="W212" s="4">
        <v>94466.954133220599</v>
      </c>
      <c r="X212" s="4">
        <v>95198.359091898252</v>
      </c>
      <c r="Y212" s="4">
        <v>95929.764050575963</v>
      </c>
      <c r="Z212" s="4">
        <v>96661.169009253616</v>
      </c>
      <c r="AA212" s="4">
        <v>97392.573967931326</v>
      </c>
      <c r="AB212" s="4">
        <v>98123.978926608979</v>
      </c>
      <c r="AC212" s="4">
        <v>98855.38388528669</v>
      </c>
      <c r="AD212" s="4">
        <v>99586.788843964401</v>
      </c>
      <c r="AE212" s="4">
        <v>100318.19380264205</v>
      </c>
      <c r="AF212" s="4">
        <v>101049.59876131976</v>
      </c>
      <c r="AG212" s="4">
        <v>101781.00371999742</v>
      </c>
      <c r="AH212" s="4">
        <v>102512.40867867513</v>
      </c>
      <c r="AI212" s="4">
        <v>103243.81363735284</v>
      </c>
      <c r="AJ212" s="4">
        <v>103975.21859603055</v>
      </c>
      <c r="AK212" s="4">
        <v>104706.6235547082</v>
      </c>
      <c r="AL212" s="4">
        <v>105438.02851338591</v>
      </c>
      <c r="AM212" s="4">
        <v>106169.43347206357</v>
      </c>
      <c r="AN212" s="4">
        <v>106900.83843074128</v>
      </c>
    </row>
    <row r="213" spans="1:40" x14ac:dyDescent="0.2">
      <c r="C213" s="57">
        <f t="shared" si="48"/>
        <v>650</v>
      </c>
      <c r="D213" s="4">
        <v>81810.599261283001</v>
      </c>
      <c r="E213" s="4">
        <v>82542.004219960654</v>
      </c>
      <c r="F213" s="4">
        <v>83273.409178638365</v>
      </c>
      <c r="G213" s="4">
        <v>84004.814137316018</v>
      </c>
      <c r="H213" s="4">
        <v>84736.219095993729</v>
      </c>
      <c r="I213" s="4">
        <v>85467.624054671382</v>
      </c>
      <c r="J213" s="4">
        <v>86199.029013349093</v>
      </c>
      <c r="K213" s="4">
        <v>86930.433972026745</v>
      </c>
      <c r="L213" s="4">
        <v>87661.838930704456</v>
      </c>
      <c r="M213" s="4">
        <v>88393.243889382167</v>
      </c>
      <c r="N213" s="4">
        <v>89124.64884805982</v>
      </c>
      <c r="O213" s="4">
        <v>89856.053806737531</v>
      </c>
      <c r="P213" s="4">
        <v>90587.458765415184</v>
      </c>
      <c r="Q213" s="4">
        <v>91318.863724092895</v>
      </c>
      <c r="R213" s="4">
        <v>92050.268682770547</v>
      </c>
      <c r="S213" s="4">
        <v>92781.673641448258</v>
      </c>
      <c r="T213" s="4">
        <v>93513.078600125969</v>
      </c>
      <c r="U213" s="4">
        <v>94244.483558803622</v>
      </c>
      <c r="V213" s="4">
        <v>94975.888517481333</v>
      </c>
      <c r="W213" s="4">
        <v>95707.293476158986</v>
      </c>
      <c r="X213" s="4">
        <v>96438.698434836697</v>
      </c>
      <c r="Y213" s="4">
        <v>97170.10339351435</v>
      </c>
      <c r="Z213" s="4">
        <v>97901.508352192061</v>
      </c>
      <c r="AA213" s="4">
        <v>98632.913310869742</v>
      </c>
      <c r="AB213" s="4">
        <v>99364.318269547424</v>
      </c>
      <c r="AC213" s="4">
        <v>100095.72322822511</v>
      </c>
      <c r="AD213" s="4">
        <v>100827.12818690279</v>
      </c>
      <c r="AE213" s="4">
        <v>101558.53314558047</v>
      </c>
      <c r="AF213" s="4">
        <v>102289.93810425815</v>
      </c>
      <c r="AG213" s="4">
        <v>103021.34306293586</v>
      </c>
      <c r="AH213" s="4">
        <v>103752.74802161354</v>
      </c>
      <c r="AI213" s="4">
        <v>104484.15298029123</v>
      </c>
      <c r="AJ213" s="4">
        <v>105215.55793896891</v>
      </c>
      <c r="AK213" s="4">
        <v>105946.96289764659</v>
      </c>
      <c r="AL213" s="4">
        <v>106678.36785632427</v>
      </c>
      <c r="AM213" s="4">
        <v>107409.77281500195</v>
      </c>
      <c r="AN213" s="4">
        <v>108141.17777367966</v>
      </c>
    </row>
    <row r="214" spans="1:40" x14ac:dyDescent="0.2">
      <c r="C214" s="57">
        <f t="shared" si="48"/>
        <v>675</v>
      </c>
      <c r="D214" s="4">
        <v>83055.015604730215</v>
      </c>
      <c r="E214" s="4">
        <v>83786.420563407897</v>
      </c>
      <c r="F214" s="4">
        <v>84517.825522085579</v>
      </c>
      <c r="G214" s="4">
        <v>85249.230480763261</v>
      </c>
      <c r="H214" s="4">
        <v>85980.635439440943</v>
      </c>
      <c r="I214" s="4">
        <v>86712.040398118625</v>
      </c>
      <c r="J214" s="4">
        <v>87443.445356796306</v>
      </c>
      <c r="K214" s="4">
        <v>88174.850315474017</v>
      </c>
      <c r="L214" s="4">
        <v>88906.255274151699</v>
      </c>
      <c r="M214" s="4">
        <v>89637.660232829381</v>
      </c>
      <c r="N214" s="4">
        <v>90369.065191507063</v>
      </c>
      <c r="O214" s="4">
        <v>91100.470150184745</v>
      </c>
      <c r="P214" s="4">
        <v>91831.875108862427</v>
      </c>
      <c r="Q214" s="4">
        <v>92563.280067540109</v>
      </c>
      <c r="R214" s="4">
        <v>93294.68502621782</v>
      </c>
      <c r="S214" s="4">
        <v>94026.089984895472</v>
      </c>
      <c r="T214" s="4">
        <v>94757.494943573183</v>
      </c>
      <c r="U214" s="4">
        <v>95488.899902250865</v>
      </c>
      <c r="V214" s="4">
        <v>96220.304860928547</v>
      </c>
      <c r="W214" s="4">
        <v>96951.709819606229</v>
      </c>
      <c r="X214" s="4">
        <v>97683.114778283911</v>
      </c>
      <c r="Y214" s="4">
        <v>98414.519736961593</v>
      </c>
      <c r="Z214" s="4">
        <v>99145.924695639274</v>
      </c>
      <c r="AA214" s="4">
        <v>99877.329654316985</v>
      </c>
      <c r="AB214" s="4">
        <v>100608.73461299467</v>
      </c>
      <c r="AC214" s="4">
        <v>101340.13957167235</v>
      </c>
      <c r="AD214" s="4">
        <v>102071.54453035003</v>
      </c>
      <c r="AE214" s="4">
        <v>102802.94948902771</v>
      </c>
      <c r="AF214" s="4">
        <v>103534.35444770539</v>
      </c>
      <c r="AG214" s="4">
        <v>104265.75940638308</v>
      </c>
      <c r="AH214" s="4">
        <v>104997.16436506079</v>
      </c>
      <c r="AI214" s="4">
        <v>105728.56932373847</v>
      </c>
      <c r="AJ214" s="4">
        <v>106459.97428241615</v>
      </c>
      <c r="AK214" s="4">
        <v>107191.37924109383</v>
      </c>
      <c r="AL214" s="4">
        <v>107922.78419977151</v>
      </c>
      <c r="AM214" s="4">
        <v>108654.1891584492</v>
      </c>
      <c r="AN214" s="4">
        <v>109385.59411712688</v>
      </c>
    </row>
    <row r="215" spans="1:40" x14ac:dyDescent="0.2">
      <c r="C215" s="57">
        <f t="shared" si="48"/>
        <v>700</v>
      </c>
      <c r="D215" s="4">
        <v>84303.526360255259</v>
      </c>
      <c r="E215" s="4">
        <v>85034.93131893294</v>
      </c>
      <c r="F215" s="4">
        <v>85766.336277610651</v>
      </c>
      <c r="G215" s="4">
        <v>86497.741236288333</v>
      </c>
      <c r="H215" s="4">
        <v>87229.146194966015</v>
      </c>
      <c r="I215" s="4">
        <v>87960.551153643697</v>
      </c>
      <c r="J215" s="4">
        <v>88691.956112321379</v>
      </c>
      <c r="K215" s="4">
        <v>89423.361070999061</v>
      </c>
      <c r="L215" s="4">
        <v>90154.766029676743</v>
      </c>
      <c r="M215" s="4">
        <v>90886.170988354454</v>
      </c>
      <c r="N215" s="4">
        <v>91617.575947032165</v>
      </c>
      <c r="O215" s="4">
        <v>92348.980905709846</v>
      </c>
      <c r="P215" s="4">
        <v>93080.385864387528</v>
      </c>
      <c r="Q215" s="4">
        <v>93811.79082306521</v>
      </c>
      <c r="R215" s="4">
        <v>94543.195781742892</v>
      </c>
      <c r="S215" s="4">
        <v>95274.600740420603</v>
      </c>
      <c r="T215" s="4">
        <v>96006.005699098285</v>
      </c>
      <c r="U215" s="4">
        <v>96737.410657775967</v>
      </c>
      <c r="V215" s="4">
        <v>97468.815616453649</v>
      </c>
      <c r="W215" s="4">
        <v>98200.22057513133</v>
      </c>
      <c r="X215" s="4">
        <v>98931.625533809012</v>
      </c>
      <c r="Y215" s="4">
        <v>99663.030492486723</v>
      </c>
      <c r="Z215" s="4">
        <v>100394.43545116438</v>
      </c>
      <c r="AA215" s="4">
        <v>101125.84040984209</v>
      </c>
      <c r="AB215" s="4">
        <v>101857.2453685198</v>
      </c>
      <c r="AC215" s="4">
        <v>102588.65032719745</v>
      </c>
      <c r="AD215" s="4">
        <v>103320.05528587516</v>
      </c>
      <c r="AE215" s="4">
        <v>104051.46024455281</v>
      </c>
      <c r="AF215" s="4">
        <v>104782.86520323053</v>
      </c>
      <c r="AG215" s="4">
        <v>105514.27016190818</v>
      </c>
      <c r="AH215" s="4">
        <v>106245.67512058589</v>
      </c>
      <c r="AI215" s="4">
        <v>106977.0800792636</v>
      </c>
      <c r="AJ215" s="4">
        <v>107708.48503794125</v>
      </c>
      <c r="AK215" s="4">
        <v>108439.88999661896</v>
      </c>
      <c r="AL215" s="4">
        <v>109171.2949552966</v>
      </c>
      <c r="AM215" s="4">
        <v>109902.69991397431</v>
      </c>
      <c r="AN215" s="4">
        <v>110634.10487265197</v>
      </c>
    </row>
    <row r="216" spans="1:40" x14ac:dyDescent="0.2">
      <c r="C216" s="59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40" x14ac:dyDescent="0.2">
      <c r="C217" s="59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40" x14ac:dyDescent="0.2">
      <c r="B218" t="s">
        <v>38</v>
      </c>
      <c r="C218" s="59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21" spans="1:40" x14ac:dyDescent="0.2">
      <c r="B221" s="2" t="s">
        <v>4</v>
      </c>
      <c r="D221" s="4">
        <f>((D46)*(1+$G$14/12)^($A$64-$A51+1))-(D46)</f>
        <v>372.39869451924324</v>
      </c>
      <c r="E221" s="4">
        <f>((E46)*(1+$G$14/12)^($A$64-$A51+1))-(E46)</f>
        <v>372.39869451924324</v>
      </c>
      <c r="F221" s="4">
        <f>+((F46)*(1+$G$14/12)^($A$68-$A51+1))-(F46)</f>
        <v>243.50901993644766</v>
      </c>
      <c r="G221" s="4">
        <f>+((G46)*(1+$G$14/12)^($A$68-$A51+1))-(G46)</f>
        <v>243.50901993644766</v>
      </c>
      <c r="H221" s="4">
        <f>((H46)*(1+$G$14/12)^($A$70-$A51+1))-(H46)</f>
        <v>272.64359228391822</v>
      </c>
      <c r="I221" s="4">
        <f>((I46)*(1+$G$14/12)^($A$70-$A51+1))-(I46)</f>
        <v>272.64359228391822</v>
      </c>
      <c r="J221" s="4">
        <f>((J46)*(1+$G$14/12)^($A$74-$A51+1))-(J46)</f>
        <v>511.81192056202644</v>
      </c>
      <c r="K221" s="4">
        <f>((K46)*(1+$G$14/12)^($A$74-$A51+1))-(K46)</f>
        <v>511.81192056202644</v>
      </c>
      <c r="L221" s="4">
        <f>((L46)*(1+$G$14/12)^($A$74-$A51+1))-(L46)</f>
        <v>511.81192056202644</v>
      </c>
      <c r="M221" s="4">
        <f>((M46)*(1+$G$14/12)^($A$74-$A51+1))-(M46)</f>
        <v>511.81192056202644</v>
      </c>
      <c r="N221" s="4">
        <f>((N46)*(1+$G$14/12)^($A$76-$A51+1))-(N46)</f>
        <v>555.1061346622364</v>
      </c>
      <c r="O221" s="4">
        <f>((O46)*(1+$G$14/12)^($A$76-$A51+1))-(O46)</f>
        <v>555.1061346622364</v>
      </c>
      <c r="P221" s="28">
        <f>((P46)*(1+$G$14/12)^($A$83-$A51+1))-(P46)</f>
        <v>723.92669941391796</v>
      </c>
      <c r="Q221" s="4">
        <f>((Q46)*(1+$G$14/12)^($A$83-$A51+1))-(Q46)</f>
        <v>723.92669941391796</v>
      </c>
      <c r="R221" s="4">
        <f>((R46)*(1+$G$14/12)^($A$85-$A51+1))-(R46)</f>
        <v>538.19568708637553</v>
      </c>
      <c r="S221" s="4">
        <f>((S46)*(1+$G$14/12)^($A$85-$A51+1))-(S46)</f>
        <v>538.19568708637553</v>
      </c>
      <c r="T221" s="4">
        <f>((T46)*(1+$G$14/12)^($A$85-$A51+1))-(T46)</f>
        <v>538.19568708637553</v>
      </c>
      <c r="U221" s="4">
        <f>((U46)*(1+$G$14/12)^($A$85-$A51+1))-(U46)</f>
        <v>538.19568708637553</v>
      </c>
      <c r="V221" s="4">
        <f>((V46)*(1+$G$14/12)^($A$88-$A51+1))-(V46)</f>
        <v>586.28868510277289</v>
      </c>
      <c r="W221" s="4">
        <f>((W46)*(1+$G$14/12)^($A$88-$A51+1))-(W46)</f>
        <v>586.28868510277289</v>
      </c>
    </row>
    <row r="222" spans="1:40" x14ac:dyDescent="0.2">
      <c r="A222">
        <v>1</v>
      </c>
      <c r="B222" s="1">
        <v>36586</v>
      </c>
      <c r="D222" s="19">
        <f>((D51*$G$16)*(1+$G$14/12)^($A$64-$A51+1))-(D51*$G$16)</f>
        <v>186.19934725962162</v>
      </c>
      <c r="E222" s="19">
        <f t="shared" ref="D222:E234" si="49">((E51*$G$16)*(1+$G$14/12)^($A$64-$A51+1))-(E51*$G$16)</f>
        <v>0</v>
      </c>
      <c r="F222" s="19">
        <f>((F51*$G$16)*(1+$G$14/12)^($A$68-$A51+1))-(F51*$G$16)</f>
        <v>0</v>
      </c>
      <c r="G222" s="19">
        <f t="shared" ref="F222:G238" si="50">((G51*$G$16)*(1+$G$14/12)^($A$68-$A51+1))-(G51*$G$16)</f>
        <v>0</v>
      </c>
      <c r="H222" s="19">
        <f>((H51*$G$16)*(1+$G$14/12)^($A$70-$A51+1))-(H51*$G$16)</f>
        <v>0</v>
      </c>
      <c r="I222" s="19">
        <f t="shared" ref="H222:I240" si="51">((I51*$G$16)*(1+$G$14/12)^($A$70-$A51+1))-(I51*$G$16)</f>
        <v>0</v>
      </c>
      <c r="J222" s="19">
        <f>((J51*$G$16)*(1+$G$14/12)^($A$74-$A51+1))-(J51*$G$16)</f>
        <v>0</v>
      </c>
      <c r="K222" s="19">
        <f t="shared" ref="J222:M244" si="52">((K51*$G$16)*(1+$G$14/12)^($A$74-$A51+1))-(K51*$G$16)</f>
        <v>0</v>
      </c>
      <c r="L222" s="19">
        <f t="shared" si="52"/>
        <v>0</v>
      </c>
      <c r="M222" s="19">
        <f t="shared" si="52"/>
        <v>0</v>
      </c>
      <c r="N222" s="19">
        <f>((N51*$G$16)*(1+$G$14/12)^($A$76-$A51+1))-(N51*$G$16)</f>
        <v>0</v>
      </c>
      <c r="O222" s="19">
        <f t="shared" ref="N222:O246" si="53">((O51*$G$16)*(1+$G$14/12)^($A$76-$A51+1))-(O51*$G$16)</f>
        <v>0</v>
      </c>
      <c r="P222" s="19">
        <f>((P51*$G$16)*(1+$G$14/12)^($A$83-$A51+1))-(P51*$G$16)</f>
        <v>0</v>
      </c>
      <c r="Q222" s="19">
        <f t="shared" ref="P222:Q253" si="54">((Q51*$G$16)*(1+$G$14/12)^($A$83-$A51+1))-(Q51*$G$16)</f>
        <v>0</v>
      </c>
      <c r="R222" s="19">
        <f>((R51*$G$16)*(1+$G$14/12)^($A$85-$A51+1))-(R51*$G$16)</f>
        <v>0</v>
      </c>
      <c r="S222" s="19">
        <f t="shared" ref="R222:U241" si="55">((S51*$G$16)*(1+$G$14/12)^($A$85-$A51+1))-(S51*$G$16)</f>
        <v>0</v>
      </c>
      <c r="T222" s="19">
        <f t="shared" si="55"/>
        <v>0</v>
      </c>
      <c r="U222" s="19">
        <f t="shared" si="55"/>
        <v>0</v>
      </c>
      <c r="V222" s="19">
        <f>((V51*$G$16)*(1+$G$14/12)^($A$88-$A51+1))-(V51*$G$16)</f>
        <v>0</v>
      </c>
      <c r="W222" s="19">
        <f t="shared" ref="V222:W241" si="56">((W51*$G$16)*(1+$G$14/12)^($A$88-$A51+1))-(W51*$G$16)</f>
        <v>0</v>
      </c>
    </row>
    <row r="223" spans="1:40" x14ac:dyDescent="0.2">
      <c r="A223">
        <v>2</v>
      </c>
      <c r="B223" s="1">
        <v>36617</v>
      </c>
      <c r="D223" s="19">
        <f t="shared" si="49"/>
        <v>189.48841687551817</v>
      </c>
      <c r="E223" s="19">
        <f t="shared" si="49"/>
        <v>141.12142193798695</v>
      </c>
      <c r="F223" s="19">
        <f t="shared" si="50"/>
        <v>0</v>
      </c>
      <c r="G223" s="19">
        <f t="shared" si="50"/>
        <v>0</v>
      </c>
      <c r="H223" s="19">
        <f t="shared" si="51"/>
        <v>0</v>
      </c>
      <c r="I223" s="19">
        <f t="shared" si="51"/>
        <v>0</v>
      </c>
      <c r="J223" s="19">
        <f t="shared" si="52"/>
        <v>162.80529532597666</v>
      </c>
      <c r="K223" s="19">
        <f t="shared" si="52"/>
        <v>162.80529532597666</v>
      </c>
      <c r="L223" s="19">
        <f t="shared" si="52"/>
        <v>162.80529532597666</v>
      </c>
      <c r="M223" s="19">
        <f t="shared" si="52"/>
        <v>162.80529532597666</v>
      </c>
      <c r="N223" s="19">
        <f t="shared" si="53"/>
        <v>177.30244006486191</v>
      </c>
      <c r="O223" s="19">
        <f t="shared" si="53"/>
        <v>177.30244006486191</v>
      </c>
      <c r="P223" s="19">
        <f t="shared" si="54"/>
        <v>233.17851866987985</v>
      </c>
      <c r="Q223" s="19">
        <f t="shared" si="54"/>
        <v>233.17851866987985</v>
      </c>
      <c r="R223" s="19">
        <f t="shared" si="55"/>
        <v>0</v>
      </c>
      <c r="S223" s="19">
        <f t="shared" si="55"/>
        <v>0</v>
      </c>
      <c r="T223" s="19">
        <f t="shared" si="55"/>
        <v>0</v>
      </c>
      <c r="U223" s="19">
        <f t="shared" si="55"/>
        <v>0</v>
      </c>
      <c r="V223" s="19">
        <f t="shared" si="56"/>
        <v>0</v>
      </c>
      <c r="W223" s="19">
        <f t="shared" si="56"/>
        <v>0</v>
      </c>
    </row>
    <row r="224" spans="1:40" x14ac:dyDescent="0.2">
      <c r="A224">
        <v>3</v>
      </c>
      <c r="B224" s="1">
        <v>36647</v>
      </c>
      <c r="D224" s="19">
        <f t="shared" si="49"/>
        <v>174.24981151868724</v>
      </c>
      <c r="E224" s="19">
        <f t="shared" si="49"/>
        <v>163.74039908460372</v>
      </c>
      <c r="F224" s="19">
        <f t="shared" si="50"/>
        <v>214.80671712567141</v>
      </c>
      <c r="G224" s="19">
        <f t="shared" si="50"/>
        <v>214.80671712567141</v>
      </c>
      <c r="H224" s="19">
        <f t="shared" si="51"/>
        <v>0</v>
      </c>
      <c r="I224" s="19">
        <f t="shared" si="51"/>
        <v>0</v>
      </c>
      <c r="J224" s="19">
        <f t="shared" si="52"/>
        <v>0</v>
      </c>
      <c r="K224" s="19">
        <f t="shared" si="52"/>
        <v>0</v>
      </c>
      <c r="L224" s="19">
        <f t="shared" si="52"/>
        <v>0</v>
      </c>
      <c r="M224" s="19">
        <f t="shared" si="52"/>
        <v>0</v>
      </c>
      <c r="N224" s="19">
        <f t="shared" si="53"/>
        <v>0</v>
      </c>
      <c r="O224" s="19">
        <f t="shared" si="53"/>
        <v>0</v>
      </c>
      <c r="P224" s="19">
        <f t="shared" si="54"/>
        <v>0</v>
      </c>
      <c r="Q224" s="19">
        <f t="shared" si="54"/>
        <v>0</v>
      </c>
      <c r="R224" s="19">
        <f t="shared" si="55"/>
        <v>251.75194338196525</v>
      </c>
      <c r="S224" s="19">
        <f t="shared" si="55"/>
        <v>251.75194338196525</v>
      </c>
      <c r="T224" s="19">
        <f t="shared" si="55"/>
        <v>251.75194338196525</v>
      </c>
      <c r="U224" s="19">
        <f t="shared" si="55"/>
        <v>251.75194338196525</v>
      </c>
      <c r="V224" s="19">
        <f t="shared" si="56"/>
        <v>275.70731344478895</v>
      </c>
      <c r="W224" s="19">
        <f t="shared" si="56"/>
        <v>275.70731344478895</v>
      </c>
    </row>
    <row r="225" spans="1:23" x14ac:dyDescent="0.2">
      <c r="A225">
        <v>4</v>
      </c>
      <c r="B225" s="1">
        <v>36678</v>
      </c>
      <c r="D225" s="19">
        <f t="shared" si="49"/>
        <v>159.12467618753863</v>
      </c>
      <c r="E225" s="19">
        <f t="shared" si="49"/>
        <v>149.52749593282419</v>
      </c>
      <c r="F225" s="19">
        <f t="shared" si="50"/>
        <v>0</v>
      </c>
      <c r="G225" s="19">
        <f t="shared" si="50"/>
        <v>0</v>
      </c>
      <c r="H225" s="19">
        <f t="shared" si="51"/>
        <v>229.10423793477435</v>
      </c>
      <c r="I225" s="19">
        <f t="shared" si="51"/>
        <v>229.10423793477435</v>
      </c>
      <c r="J225" s="19">
        <f t="shared" si="52"/>
        <v>0</v>
      </c>
      <c r="K225" s="19">
        <f t="shared" si="52"/>
        <v>0</v>
      </c>
      <c r="L225" s="19">
        <f t="shared" si="52"/>
        <v>0</v>
      </c>
      <c r="M225" s="19">
        <f t="shared" si="52"/>
        <v>0</v>
      </c>
      <c r="N225" s="19">
        <f t="shared" si="53"/>
        <v>0</v>
      </c>
      <c r="O225" s="19">
        <f t="shared" si="53"/>
        <v>0</v>
      </c>
      <c r="P225" s="19">
        <f t="shared" si="54"/>
        <v>0</v>
      </c>
      <c r="Q225" s="19">
        <f t="shared" si="54"/>
        <v>0</v>
      </c>
      <c r="R225" s="19">
        <f t="shared" si="55"/>
        <v>0</v>
      </c>
      <c r="S225" s="19">
        <f t="shared" si="55"/>
        <v>0</v>
      </c>
      <c r="T225" s="19">
        <f t="shared" si="55"/>
        <v>0</v>
      </c>
      <c r="U225" s="19">
        <f t="shared" si="55"/>
        <v>0</v>
      </c>
      <c r="V225" s="19">
        <f t="shared" si="56"/>
        <v>0</v>
      </c>
      <c r="W225" s="19">
        <f t="shared" si="56"/>
        <v>0</v>
      </c>
    </row>
    <row r="226" spans="1:23" x14ac:dyDescent="0.2">
      <c r="A226">
        <v>5</v>
      </c>
      <c r="B226" s="1">
        <v>36708</v>
      </c>
      <c r="D226" s="19">
        <f t="shared" si="49"/>
        <v>144.11216595916585</v>
      </c>
      <c r="E226" s="19">
        <f t="shared" si="49"/>
        <v>135.42042520126256</v>
      </c>
      <c r="F226" s="19">
        <f t="shared" si="50"/>
        <v>0</v>
      </c>
      <c r="G226" s="19">
        <f t="shared" si="50"/>
        <v>0</v>
      </c>
      <c r="H226" s="19">
        <f t="shared" si="51"/>
        <v>0</v>
      </c>
      <c r="I226" s="19">
        <f t="shared" si="51"/>
        <v>0</v>
      </c>
      <c r="J226" s="19">
        <f t="shared" si="52"/>
        <v>0</v>
      </c>
      <c r="K226" s="19">
        <f t="shared" si="52"/>
        <v>0</v>
      </c>
      <c r="L226" s="19">
        <f t="shared" si="52"/>
        <v>0</v>
      </c>
      <c r="M226" s="19">
        <f t="shared" si="52"/>
        <v>0</v>
      </c>
      <c r="N226" s="19">
        <f t="shared" si="53"/>
        <v>0</v>
      </c>
      <c r="O226" s="19">
        <f t="shared" si="53"/>
        <v>0</v>
      </c>
      <c r="P226" s="19">
        <f t="shared" si="54"/>
        <v>0</v>
      </c>
      <c r="Q226" s="19">
        <f t="shared" si="54"/>
        <v>0</v>
      </c>
      <c r="R226" s="19">
        <f t="shared" si="55"/>
        <v>0</v>
      </c>
      <c r="S226" s="19">
        <f t="shared" si="55"/>
        <v>0</v>
      </c>
      <c r="T226" s="19">
        <f t="shared" si="55"/>
        <v>0</v>
      </c>
      <c r="U226" s="19">
        <f t="shared" si="55"/>
        <v>0</v>
      </c>
      <c r="V226" s="19">
        <f t="shared" si="56"/>
        <v>0</v>
      </c>
      <c r="W226" s="19">
        <f t="shared" si="56"/>
        <v>0</v>
      </c>
    </row>
    <row r="227" spans="1:23" x14ac:dyDescent="0.2">
      <c r="A227">
        <v>6</v>
      </c>
      <c r="B227" s="1">
        <v>36739</v>
      </c>
      <c r="D227" s="19">
        <f t="shared" si="49"/>
        <v>129.21144220214569</v>
      </c>
      <c r="E227" s="19">
        <f t="shared" si="49"/>
        <v>121.4183988383113</v>
      </c>
      <c r="F227" s="19">
        <f t="shared" si="50"/>
        <v>172.54976464001152</v>
      </c>
      <c r="G227" s="19">
        <f t="shared" si="50"/>
        <v>172.54976464001152</v>
      </c>
      <c r="H227" s="19">
        <f t="shared" si="51"/>
        <v>0</v>
      </c>
      <c r="I227" s="19">
        <f t="shared" si="51"/>
        <v>0</v>
      </c>
      <c r="J227" s="19">
        <f t="shared" si="52"/>
        <v>185.54381505660808</v>
      </c>
      <c r="K227" s="19">
        <f t="shared" si="52"/>
        <v>185.54381505660808</v>
      </c>
      <c r="L227" s="19">
        <f t="shared" si="52"/>
        <v>185.54381505660808</v>
      </c>
      <c r="M227" s="19">
        <f t="shared" si="52"/>
        <v>185.54381505660808</v>
      </c>
      <c r="N227" s="19">
        <f t="shared" si="53"/>
        <v>0</v>
      </c>
      <c r="O227" s="19">
        <f t="shared" si="53"/>
        <v>0</v>
      </c>
      <c r="P227" s="19">
        <f t="shared" si="54"/>
        <v>0</v>
      </c>
      <c r="Q227" s="19">
        <f t="shared" si="54"/>
        <v>0</v>
      </c>
      <c r="R227" s="19">
        <f t="shared" si="55"/>
        <v>0</v>
      </c>
      <c r="S227" s="19">
        <f t="shared" si="55"/>
        <v>0</v>
      </c>
      <c r="T227" s="19">
        <f t="shared" si="55"/>
        <v>0</v>
      </c>
      <c r="U227" s="19">
        <f t="shared" si="55"/>
        <v>0</v>
      </c>
      <c r="V227" s="19">
        <f t="shared" si="56"/>
        <v>0</v>
      </c>
      <c r="W227" s="19">
        <f t="shared" si="56"/>
        <v>0</v>
      </c>
    </row>
    <row r="228" spans="1:23" x14ac:dyDescent="0.2">
      <c r="A228">
        <v>7</v>
      </c>
      <c r="B228" s="1">
        <v>36770</v>
      </c>
      <c r="D228" s="19">
        <f t="shared" si="49"/>
        <v>114.42167252968852</v>
      </c>
      <c r="E228" s="19">
        <f t="shared" si="49"/>
        <v>107.52063466036975</v>
      </c>
      <c r="F228" s="19">
        <f t="shared" si="50"/>
        <v>174.53131363745729</v>
      </c>
      <c r="G228" s="19">
        <f t="shared" si="50"/>
        <v>174.53131363745729</v>
      </c>
      <c r="H228" s="19">
        <f t="shared" si="51"/>
        <v>0</v>
      </c>
      <c r="I228" s="19">
        <f t="shared" si="51"/>
        <v>0</v>
      </c>
      <c r="J228" s="19">
        <f t="shared" si="52"/>
        <v>175.10760984193985</v>
      </c>
      <c r="K228" s="19">
        <f t="shared" si="52"/>
        <v>175.10760984193985</v>
      </c>
      <c r="L228" s="19">
        <f t="shared" si="52"/>
        <v>175.10760984193985</v>
      </c>
      <c r="M228" s="19">
        <f t="shared" si="52"/>
        <v>175.10760984193985</v>
      </c>
      <c r="N228" s="19">
        <f t="shared" si="53"/>
        <v>0</v>
      </c>
      <c r="O228" s="19">
        <f t="shared" si="53"/>
        <v>0</v>
      </c>
      <c r="P228" s="19">
        <f t="shared" si="54"/>
        <v>0</v>
      </c>
      <c r="Q228" s="19">
        <f t="shared" si="54"/>
        <v>0</v>
      </c>
      <c r="R228" s="19">
        <f t="shared" si="55"/>
        <v>217.82840775441696</v>
      </c>
      <c r="S228" s="19">
        <f t="shared" si="55"/>
        <v>217.82840775441696</v>
      </c>
      <c r="T228" s="19">
        <f t="shared" si="55"/>
        <v>217.82840775441696</v>
      </c>
      <c r="U228" s="19">
        <f t="shared" si="55"/>
        <v>217.82840775441696</v>
      </c>
      <c r="V228" s="19">
        <f t="shared" si="56"/>
        <v>241.28437679281888</v>
      </c>
      <c r="W228" s="19">
        <f t="shared" si="56"/>
        <v>241.28437679281888</v>
      </c>
    </row>
    <row r="229" spans="1:23" x14ac:dyDescent="0.2">
      <c r="A229">
        <v>8</v>
      </c>
      <c r="B229" s="1">
        <v>36800</v>
      </c>
      <c r="D229" s="19">
        <f t="shared" si="49"/>
        <v>99.742030753142444</v>
      </c>
      <c r="E229" s="19">
        <f t="shared" si="49"/>
        <v>93.726356308149434</v>
      </c>
      <c r="F229" s="19">
        <f t="shared" si="50"/>
        <v>159.38174351578982</v>
      </c>
      <c r="G229" s="19">
        <f t="shared" si="50"/>
        <v>159.38174351578982</v>
      </c>
      <c r="H229" s="19">
        <f t="shared" si="51"/>
        <v>172.54976464001152</v>
      </c>
      <c r="I229" s="19">
        <f t="shared" si="51"/>
        <v>172.54976464001152</v>
      </c>
      <c r="J229" s="19">
        <f t="shared" si="52"/>
        <v>164.74911491938838</v>
      </c>
      <c r="K229" s="19">
        <f t="shared" si="52"/>
        <v>164.74911491938838</v>
      </c>
      <c r="L229" s="19">
        <f t="shared" si="52"/>
        <v>164.74911491938838</v>
      </c>
      <c r="M229" s="19">
        <f t="shared" si="52"/>
        <v>164.74911491938838</v>
      </c>
      <c r="N229" s="19">
        <f t="shared" si="53"/>
        <v>184.32313206281469</v>
      </c>
      <c r="O229" s="19">
        <f t="shared" si="53"/>
        <v>184.32313206281469</v>
      </c>
      <c r="P229" s="19">
        <f t="shared" si="54"/>
        <v>0</v>
      </c>
      <c r="Q229" s="19">
        <f t="shared" si="54"/>
        <v>0</v>
      </c>
      <c r="R229" s="19">
        <f t="shared" si="55"/>
        <v>0</v>
      </c>
      <c r="S229" s="19">
        <f t="shared" si="55"/>
        <v>0</v>
      </c>
      <c r="T229" s="19">
        <f t="shared" si="55"/>
        <v>0</v>
      </c>
      <c r="U229" s="19">
        <f t="shared" si="55"/>
        <v>0</v>
      </c>
      <c r="V229" s="19">
        <f t="shared" si="56"/>
        <v>0</v>
      </c>
      <c r="W229" s="19">
        <f t="shared" si="56"/>
        <v>0</v>
      </c>
    </row>
    <row r="230" spans="1:23" x14ac:dyDescent="0.2">
      <c r="A230">
        <v>9</v>
      </c>
      <c r="B230" s="1">
        <v>36831</v>
      </c>
      <c r="D230" s="19">
        <f t="shared" si="49"/>
        <v>85.171696835839157</v>
      </c>
      <c r="E230" s="19">
        <f t="shared" si="49"/>
        <v>80.034793203305981</v>
      </c>
      <c r="F230" s="19">
        <f t="shared" si="50"/>
        <v>144.34498044375255</v>
      </c>
      <c r="G230" s="19">
        <f t="shared" si="50"/>
        <v>144.34498044375255</v>
      </c>
      <c r="H230" s="19">
        <f t="shared" si="51"/>
        <v>174.53131363745729</v>
      </c>
      <c r="I230" s="19">
        <f t="shared" si="51"/>
        <v>174.53131363745729</v>
      </c>
      <c r="J230" s="19">
        <f t="shared" si="52"/>
        <v>154.46775164093219</v>
      </c>
      <c r="K230" s="19">
        <f t="shared" si="52"/>
        <v>154.46775164093219</v>
      </c>
      <c r="L230" s="19">
        <f t="shared" si="52"/>
        <v>154.46775164093219</v>
      </c>
      <c r="M230" s="19">
        <f t="shared" si="52"/>
        <v>154.46775164093219</v>
      </c>
      <c r="N230" s="19">
        <f t="shared" si="53"/>
        <v>173.95558609297973</v>
      </c>
      <c r="O230" s="19">
        <f t="shared" si="53"/>
        <v>173.95558609297973</v>
      </c>
      <c r="P230" s="19">
        <f t="shared" si="54"/>
        <v>0</v>
      </c>
      <c r="Q230" s="19">
        <f t="shared" si="54"/>
        <v>0</v>
      </c>
      <c r="R230" s="19">
        <f t="shared" si="55"/>
        <v>0</v>
      </c>
      <c r="S230" s="19">
        <f t="shared" si="55"/>
        <v>0</v>
      </c>
      <c r="T230" s="19">
        <f t="shared" si="55"/>
        <v>0</v>
      </c>
      <c r="U230" s="19">
        <f t="shared" si="55"/>
        <v>0</v>
      </c>
      <c r="V230" s="19">
        <f t="shared" si="56"/>
        <v>0</v>
      </c>
      <c r="W230" s="19">
        <f t="shared" si="56"/>
        <v>0</v>
      </c>
    </row>
    <row r="231" spans="1:23" x14ac:dyDescent="0.2">
      <c r="A231">
        <v>10</v>
      </c>
      <c r="B231" s="1">
        <v>36861</v>
      </c>
      <c r="D231" s="19">
        <f t="shared" si="49"/>
        <v>70.709856847282936</v>
      </c>
      <c r="E231" s="19">
        <f t="shared" si="49"/>
        <v>66.445180505389544</v>
      </c>
      <c r="F231" s="19">
        <f t="shared" si="50"/>
        <v>129.42018443510551</v>
      </c>
      <c r="G231" s="19">
        <f t="shared" si="50"/>
        <v>129.42018443510551</v>
      </c>
      <c r="H231" s="19">
        <f t="shared" si="51"/>
        <v>159.38174351578982</v>
      </c>
      <c r="I231" s="19">
        <f t="shared" si="51"/>
        <v>159.38174351578982</v>
      </c>
      <c r="J231" s="19">
        <f t="shared" si="52"/>
        <v>144.26294566729075</v>
      </c>
      <c r="K231" s="19">
        <f t="shared" si="52"/>
        <v>144.26294566729075</v>
      </c>
      <c r="L231" s="19">
        <f t="shared" si="52"/>
        <v>144.26294566729075</v>
      </c>
      <c r="M231" s="19">
        <f t="shared" si="52"/>
        <v>144.26294566729075</v>
      </c>
      <c r="N231" s="19">
        <f t="shared" si="53"/>
        <v>163.66523916333972</v>
      </c>
      <c r="O231" s="19">
        <f t="shared" si="53"/>
        <v>163.66523916333972</v>
      </c>
      <c r="P231" s="19">
        <f t="shared" si="54"/>
        <v>0</v>
      </c>
      <c r="Q231" s="19">
        <f t="shared" si="54"/>
        <v>0</v>
      </c>
      <c r="R231" s="19">
        <f t="shared" si="55"/>
        <v>0</v>
      </c>
      <c r="S231" s="19">
        <f t="shared" si="55"/>
        <v>0</v>
      </c>
      <c r="T231" s="19">
        <f t="shared" si="55"/>
        <v>0</v>
      </c>
      <c r="U231" s="19">
        <f t="shared" si="55"/>
        <v>0</v>
      </c>
      <c r="V231" s="19">
        <f t="shared" si="56"/>
        <v>0</v>
      </c>
      <c r="W231" s="19">
        <f t="shared" si="56"/>
        <v>0</v>
      </c>
    </row>
    <row r="232" spans="1:23" x14ac:dyDescent="0.2">
      <c r="A232">
        <v>11</v>
      </c>
      <c r="B232" s="1">
        <v>36892</v>
      </c>
      <c r="D232" s="19">
        <f t="shared" si="49"/>
        <v>56.355702917685903</v>
      </c>
      <c r="E232" s="19">
        <f t="shared" si="49"/>
        <v>52.956759069123109</v>
      </c>
      <c r="F232" s="19">
        <f t="shared" si="50"/>
        <v>114.60652175833116</v>
      </c>
      <c r="G232" s="19">
        <f t="shared" si="50"/>
        <v>114.60652175833116</v>
      </c>
      <c r="H232" s="19">
        <f t="shared" si="51"/>
        <v>144.34498044375255</v>
      </c>
      <c r="I232" s="19">
        <f t="shared" si="51"/>
        <v>144.34498044375255</v>
      </c>
      <c r="J232" s="19">
        <f t="shared" si="52"/>
        <v>134.1341269358411</v>
      </c>
      <c r="K232" s="19">
        <f t="shared" si="52"/>
        <v>134.1341269358411</v>
      </c>
      <c r="L232" s="19">
        <f t="shared" si="52"/>
        <v>134.1341269358411</v>
      </c>
      <c r="M232" s="19">
        <f t="shared" si="52"/>
        <v>134.1341269358411</v>
      </c>
      <c r="N232" s="19">
        <f t="shared" si="53"/>
        <v>153.45151643276836</v>
      </c>
      <c r="O232" s="19">
        <f t="shared" si="53"/>
        <v>153.45151643276836</v>
      </c>
      <c r="P232" s="19">
        <f t="shared" si="54"/>
        <v>0</v>
      </c>
      <c r="Q232" s="19">
        <f t="shared" si="54"/>
        <v>0</v>
      </c>
      <c r="R232" s="19">
        <f t="shared" si="55"/>
        <v>0</v>
      </c>
      <c r="S232" s="19">
        <f t="shared" si="55"/>
        <v>0</v>
      </c>
      <c r="T232" s="19">
        <f t="shared" si="55"/>
        <v>0</v>
      </c>
      <c r="U232" s="19">
        <f t="shared" si="55"/>
        <v>0</v>
      </c>
      <c r="V232" s="19">
        <f t="shared" si="56"/>
        <v>0</v>
      </c>
      <c r="W232" s="19">
        <f t="shared" si="56"/>
        <v>0</v>
      </c>
    </row>
    <row r="233" spans="1:23" x14ac:dyDescent="0.2">
      <c r="A233">
        <v>12</v>
      </c>
      <c r="B233" s="1">
        <v>36923</v>
      </c>
      <c r="D233" s="19">
        <f t="shared" si="49"/>
        <v>42.108433192837083</v>
      </c>
      <c r="E233" s="19">
        <f t="shared" si="49"/>
        <v>39.56877540199298</v>
      </c>
      <c r="F233" s="19">
        <f t="shared" si="50"/>
        <v>99.903164890062044</v>
      </c>
      <c r="G233" s="19">
        <f t="shared" si="50"/>
        <v>99.903164890062044</v>
      </c>
      <c r="H233" s="19">
        <f t="shared" si="51"/>
        <v>129.42018443510551</v>
      </c>
      <c r="I233" s="19">
        <f t="shared" si="51"/>
        <v>129.42018443510551</v>
      </c>
      <c r="J233" s="19">
        <f t="shared" si="52"/>
        <v>124.08072962877236</v>
      </c>
      <c r="K233" s="19">
        <f t="shared" si="52"/>
        <v>124.08072962877236</v>
      </c>
      <c r="L233" s="19">
        <f t="shared" si="52"/>
        <v>124.08072962877236</v>
      </c>
      <c r="M233" s="19">
        <f t="shared" si="52"/>
        <v>124.08072962877236</v>
      </c>
      <c r="N233" s="19">
        <f t="shared" si="53"/>
        <v>143.31384734053222</v>
      </c>
      <c r="O233" s="19">
        <f t="shared" si="53"/>
        <v>143.31384734053222</v>
      </c>
      <c r="P233" s="19">
        <f t="shared" si="54"/>
        <v>0</v>
      </c>
      <c r="Q233" s="19">
        <f t="shared" si="54"/>
        <v>0</v>
      </c>
      <c r="R233" s="19">
        <f t="shared" si="55"/>
        <v>0</v>
      </c>
      <c r="S233" s="19">
        <f t="shared" si="55"/>
        <v>0</v>
      </c>
      <c r="T233" s="19">
        <f t="shared" si="55"/>
        <v>0</v>
      </c>
      <c r="U233" s="19">
        <f t="shared" si="55"/>
        <v>0</v>
      </c>
      <c r="V233" s="19">
        <f t="shared" si="56"/>
        <v>0</v>
      </c>
      <c r="W233" s="19">
        <f t="shared" si="56"/>
        <v>0</v>
      </c>
    </row>
    <row r="234" spans="1:23" x14ac:dyDescent="0.2">
      <c r="A234">
        <v>13</v>
      </c>
      <c r="B234" s="1">
        <v>36951</v>
      </c>
      <c r="D234" s="19">
        <f t="shared" si="49"/>
        <v>127.11018045329729</v>
      </c>
      <c r="E234" s="19">
        <f t="shared" si="49"/>
        <v>119.45947290942604</v>
      </c>
      <c r="F234" s="19">
        <f t="shared" si="50"/>
        <v>85.309292468853528</v>
      </c>
      <c r="G234" s="19">
        <f t="shared" si="50"/>
        <v>85.309292468853528</v>
      </c>
      <c r="H234" s="19">
        <f t="shared" si="51"/>
        <v>114.60652175833116</v>
      </c>
      <c r="I234" s="19">
        <f t="shared" si="51"/>
        <v>114.60652175833116</v>
      </c>
      <c r="J234" s="19">
        <f t="shared" si="52"/>
        <v>114.10219214147742</v>
      </c>
      <c r="K234" s="19">
        <f t="shared" si="52"/>
        <v>114.10219214147742</v>
      </c>
      <c r="L234" s="19">
        <f t="shared" si="52"/>
        <v>114.10219214147742</v>
      </c>
      <c r="M234" s="19">
        <f t="shared" si="52"/>
        <v>114.10219214147742</v>
      </c>
      <c r="N234" s="19">
        <f t="shared" si="53"/>
        <v>133.25166557442117</v>
      </c>
      <c r="O234" s="19">
        <f t="shared" si="53"/>
        <v>133.25166557442117</v>
      </c>
      <c r="P234" s="19">
        <f t="shared" si="54"/>
        <v>0</v>
      </c>
      <c r="Q234" s="19">
        <f t="shared" si="54"/>
        <v>0</v>
      </c>
      <c r="R234" s="19">
        <f t="shared" si="55"/>
        <v>0</v>
      </c>
      <c r="S234" s="19">
        <f t="shared" si="55"/>
        <v>0</v>
      </c>
      <c r="T234" s="19">
        <f t="shared" si="55"/>
        <v>0</v>
      </c>
      <c r="U234" s="19">
        <f t="shared" si="55"/>
        <v>0</v>
      </c>
      <c r="V234" s="19">
        <f t="shared" si="56"/>
        <v>0</v>
      </c>
      <c r="W234" s="19">
        <f t="shared" si="56"/>
        <v>0</v>
      </c>
    </row>
    <row r="235" spans="1:23" x14ac:dyDescent="0.2">
      <c r="A235">
        <v>14</v>
      </c>
      <c r="B235" s="1">
        <v>36982</v>
      </c>
      <c r="F235" s="19">
        <f t="shared" si="50"/>
        <v>70.824089249297913</v>
      </c>
      <c r="G235" s="19">
        <f t="shared" si="50"/>
        <v>70.824089249297913</v>
      </c>
      <c r="H235" s="19">
        <f t="shared" si="51"/>
        <v>99.903164890062044</v>
      </c>
      <c r="I235" s="19">
        <f t="shared" si="51"/>
        <v>99.903164890062044</v>
      </c>
      <c r="J235" s="19">
        <f t="shared" si="52"/>
        <v>104.19795705118304</v>
      </c>
      <c r="K235" s="19">
        <f t="shared" si="52"/>
        <v>104.19795705118304</v>
      </c>
      <c r="L235" s="19">
        <f t="shared" si="52"/>
        <v>104.19795705118304</v>
      </c>
      <c r="M235" s="19">
        <f t="shared" si="52"/>
        <v>104.19795705118304</v>
      </c>
      <c r="N235" s="19">
        <f t="shared" si="53"/>
        <v>123.2644090391093</v>
      </c>
      <c r="O235" s="19">
        <f t="shared" si="53"/>
        <v>123.2644090391093</v>
      </c>
      <c r="P235" s="19">
        <f t="shared" si="54"/>
        <v>0</v>
      </c>
      <c r="Q235" s="19">
        <f t="shared" si="54"/>
        <v>0</v>
      </c>
      <c r="R235" s="19">
        <f t="shared" si="55"/>
        <v>0</v>
      </c>
      <c r="S235" s="19">
        <f t="shared" si="55"/>
        <v>0</v>
      </c>
      <c r="T235" s="19">
        <f t="shared" si="55"/>
        <v>0</v>
      </c>
      <c r="U235" s="19">
        <f t="shared" si="55"/>
        <v>0</v>
      </c>
      <c r="V235" s="19">
        <f t="shared" si="56"/>
        <v>0</v>
      </c>
      <c r="W235" s="19">
        <f t="shared" si="56"/>
        <v>0</v>
      </c>
    </row>
    <row r="236" spans="1:23" x14ac:dyDescent="0.2">
      <c r="A236">
        <v>15</v>
      </c>
      <c r="B236" s="1">
        <v>37012</v>
      </c>
      <c r="F236" s="19">
        <f t="shared" si="50"/>
        <v>56.446746056486518</v>
      </c>
      <c r="G236" s="19">
        <f t="shared" si="50"/>
        <v>56.446746056486518</v>
      </c>
      <c r="H236" s="19">
        <f t="shared" si="51"/>
        <v>85.309292468853528</v>
      </c>
      <c r="I236" s="19">
        <f t="shared" si="51"/>
        <v>85.309292468853528</v>
      </c>
      <c r="J236" s="19">
        <f t="shared" si="52"/>
        <v>94.36747108580812</v>
      </c>
      <c r="K236" s="19">
        <f t="shared" si="52"/>
        <v>94.36747108580812</v>
      </c>
      <c r="L236" s="19">
        <f t="shared" si="52"/>
        <v>94.36747108580812</v>
      </c>
      <c r="M236" s="19">
        <f t="shared" si="52"/>
        <v>94.36747108580812</v>
      </c>
      <c r="N236" s="19">
        <f t="shared" si="53"/>
        <v>113.35151982475713</v>
      </c>
      <c r="O236" s="19">
        <f t="shared" si="53"/>
        <v>113.35151982475713</v>
      </c>
      <c r="P236" s="19">
        <f t="shared" si="54"/>
        <v>184.32313206281469</v>
      </c>
      <c r="Q236" s="19">
        <f t="shared" si="54"/>
        <v>184.32313206281469</v>
      </c>
      <c r="R236" s="19">
        <f t="shared" si="55"/>
        <v>0</v>
      </c>
      <c r="S236" s="19">
        <f t="shared" si="55"/>
        <v>0</v>
      </c>
      <c r="T236" s="19">
        <f t="shared" si="55"/>
        <v>0</v>
      </c>
      <c r="U236" s="19">
        <f t="shared" si="55"/>
        <v>0</v>
      </c>
      <c r="V236" s="19">
        <f t="shared" si="56"/>
        <v>0</v>
      </c>
      <c r="W236" s="19">
        <f t="shared" si="56"/>
        <v>0</v>
      </c>
    </row>
    <row r="237" spans="1:23" x14ac:dyDescent="0.2">
      <c r="A237">
        <v>16</v>
      </c>
      <c r="B237" s="1">
        <v>37043</v>
      </c>
      <c r="F237" s="19">
        <f t="shared" si="50"/>
        <v>42.176459740806195</v>
      </c>
      <c r="G237" s="19">
        <f t="shared" si="50"/>
        <v>42.176459740806195</v>
      </c>
      <c r="H237" s="19">
        <f t="shared" si="51"/>
        <v>70.824089249297913</v>
      </c>
      <c r="I237" s="19">
        <f t="shared" si="51"/>
        <v>70.824089249297913</v>
      </c>
      <c r="J237" s="19">
        <f t="shared" si="52"/>
        <v>84.610185093058135</v>
      </c>
      <c r="K237" s="19">
        <f t="shared" si="52"/>
        <v>84.610185093058135</v>
      </c>
      <c r="L237" s="19">
        <f t="shared" si="52"/>
        <v>84.610185093058135</v>
      </c>
      <c r="M237" s="19">
        <f t="shared" si="52"/>
        <v>84.610185093058135</v>
      </c>
      <c r="N237" s="19">
        <f t="shared" si="53"/>
        <v>103.51244417584621</v>
      </c>
      <c r="O237" s="19">
        <f t="shared" si="53"/>
        <v>103.51244417584621</v>
      </c>
      <c r="P237" s="19">
        <f t="shared" si="54"/>
        <v>173.95558609297973</v>
      </c>
      <c r="Q237" s="19">
        <f t="shared" si="54"/>
        <v>173.95558609297973</v>
      </c>
      <c r="R237" s="19">
        <f t="shared" si="55"/>
        <v>0</v>
      </c>
      <c r="S237" s="19">
        <f t="shared" si="55"/>
        <v>0</v>
      </c>
      <c r="T237" s="19">
        <f t="shared" si="55"/>
        <v>101.57626442274898</v>
      </c>
      <c r="U237" s="19">
        <f t="shared" si="55"/>
        <v>101.57626442274898</v>
      </c>
      <c r="V237" s="19">
        <f t="shared" si="56"/>
        <v>0</v>
      </c>
      <c r="W237" s="19">
        <f t="shared" si="56"/>
        <v>0</v>
      </c>
    </row>
    <row r="238" spans="1:23" x14ac:dyDescent="0.2">
      <c r="A238">
        <v>17</v>
      </c>
      <c r="B238" s="1">
        <v>37073</v>
      </c>
      <c r="F238" s="19">
        <f t="shared" si="50"/>
        <v>127.32102672419205</v>
      </c>
      <c r="G238" s="19">
        <f t="shared" si="50"/>
        <v>127.32102672419205</v>
      </c>
      <c r="H238" s="19">
        <f t="shared" si="51"/>
        <v>56.446746056486518</v>
      </c>
      <c r="I238" s="19">
        <f t="shared" si="51"/>
        <v>56.446746056486518</v>
      </c>
      <c r="J238" s="19">
        <f t="shared" si="52"/>
        <v>74.925554009747657</v>
      </c>
      <c r="K238" s="19">
        <f t="shared" si="52"/>
        <v>74.925554009747657</v>
      </c>
      <c r="L238" s="19">
        <f t="shared" si="52"/>
        <v>74.925554009747657</v>
      </c>
      <c r="M238" s="19">
        <f t="shared" si="52"/>
        <v>74.925554009747657</v>
      </c>
      <c r="N238" s="19">
        <f t="shared" si="53"/>
        <v>93.746632460243518</v>
      </c>
      <c r="O238" s="19">
        <f t="shared" si="53"/>
        <v>93.746632460243518</v>
      </c>
      <c r="P238" s="19">
        <f t="shared" si="54"/>
        <v>163.66523916333972</v>
      </c>
      <c r="Q238" s="19">
        <f t="shared" si="54"/>
        <v>163.66523916333972</v>
      </c>
      <c r="R238" s="19">
        <f t="shared" si="55"/>
        <v>192.25757152247229</v>
      </c>
      <c r="S238" s="19">
        <f t="shared" si="55"/>
        <v>192.25757152247229</v>
      </c>
      <c r="T238" s="19">
        <f t="shared" si="55"/>
        <v>192.25757152247229</v>
      </c>
      <c r="U238" s="19">
        <f t="shared" si="55"/>
        <v>192.25757152247229</v>
      </c>
      <c r="V238" s="19">
        <f t="shared" si="56"/>
        <v>0</v>
      </c>
      <c r="W238" s="19">
        <f t="shared" si="56"/>
        <v>0</v>
      </c>
    </row>
    <row r="239" spans="1:23" x14ac:dyDescent="0.2">
      <c r="A239">
        <v>18</v>
      </c>
      <c r="B239" s="1">
        <v>37104</v>
      </c>
      <c r="H239" s="19">
        <f t="shared" si="51"/>
        <v>42.176459740806195</v>
      </c>
      <c r="I239" s="19">
        <f t="shared" si="51"/>
        <v>42.176459740806195</v>
      </c>
      <c r="J239" s="19">
        <f t="shared" si="52"/>
        <v>65.313036831352292</v>
      </c>
      <c r="K239" s="19">
        <f t="shared" si="52"/>
        <v>65.313036831352292</v>
      </c>
      <c r="L239" s="19">
        <f t="shared" si="52"/>
        <v>65.313036831352292</v>
      </c>
      <c r="M239" s="19">
        <f t="shared" si="52"/>
        <v>65.313036831352292</v>
      </c>
      <c r="N239" s="19">
        <f t="shared" si="53"/>
        <v>84.053539138498536</v>
      </c>
      <c r="O239" s="19">
        <f t="shared" si="53"/>
        <v>84.053539138498536</v>
      </c>
      <c r="P239" s="19">
        <f t="shared" si="54"/>
        <v>153.45151643276836</v>
      </c>
      <c r="Q239" s="19">
        <f t="shared" si="54"/>
        <v>153.45151643276836</v>
      </c>
      <c r="R239" s="19">
        <f t="shared" si="55"/>
        <v>181.44374046122061</v>
      </c>
      <c r="S239" s="19">
        <f t="shared" si="55"/>
        <v>181.44374046122061</v>
      </c>
      <c r="T239" s="19">
        <f t="shared" si="55"/>
        <v>181.44374046122061</v>
      </c>
      <c r="U239" s="19">
        <f t="shared" si="55"/>
        <v>181.44374046122061</v>
      </c>
      <c r="V239" s="19">
        <f t="shared" si="56"/>
        <v>0</v>
      </c>
      <c r="W239" s="19">
        <f t="shared" si="56"/>
        <v>0</v>
      </c>
    </row>
    <row r="240" spans="1:23" x14ac:dyDescent="0.2">
      <c r="A240">
        <v>19</v>
      </c>
      <c r="B240" s="1">
        <v>37135</v>
      </c>
      <c r="H240" s="19">
        <f t="shared" si="51"/>
        <v>127.32102672419205</v>
      </c>
      <c r="I240" s="19">
        <f t="shared" si="51"/>
        <v>127.32102672419205</v>
      </c>
      <c r="J240" s="19">
        <f t="shared" si="52"/>
        <v>55.772096581787991</v>
      </c>
      <c r="K240" s="19">
        <f t="shared" si="52"/>
        <v>55.772096581787991</v>
      </c>
      <c r="L240" s="19">
        <f t="shared" si="52"/>
        <v>55.772096581787991</v>
      </c>
      <c r="M240" s="19">
        <f t="shared" si="52"/>
        <v>55.772096581787991</v>
      </c>
      <c r="N240" s="19">
        <f t="shared" si="53"/>
        <v>74.43262273336768</v>
      </c>
      <c r="O240" s="19">
        <f t="shared" si="53"/>
        <v>74.43262273336768</v>
      </c>
      <c r="P240" s="19">
        <f t="shared" si="54"/>
        <v>143.31384734053222</v>
      </c>
      <c r="Q240" s="19">
        <f t="shared" si="54"/>
        <v>143.31384734053222</v>
      </c>
      <c r="R240" s="19">
        <f t="shared" si="55"/>
        <v>170.71043157765575</v>
      </c>
      <c r="S240" s="19">
        <f t="shared" si="55"/>
        <v>170.71043157765575</v>
      </c>
      <c r="T240" s="19">
        <f t="shared" si="55"/>
        <v>170.71043157765575</v>
      </c>
      <c r="U240" s="19">
        <f t="shared" si="55"/>
        <v>170.71043157765575</v>
      </c>
      <c r="V240" s="19">
        <f t="shared" si="56"/>
        <v>0</v>
      </c>
      <c r="W240" s="19">
        <f t="shared" si="56"/>
        <v>0</v>
      </c>
    </row>
    <row r="241" spans="1:23" x14ac:dyDescent="0.2">
      <c r="A241">
        <v>20</v>
      </c>
      <c r="B241" s="1">
        <v>37165</v>
      </c>
      <c r="J241" s="19">
        <f t="shared" si="52"/>
        <v>46.302200283411821</v>
      </c>
      <c r="K241" s="19">
        <f t="shared" si="52"/>
        <v>46.302200283411821</v>
      </c>
      <c r="L241" s="19">
        <f t="shared" si="52"/>
        <v>46.302200283411821</v>
      </c>
      <c r="M241" s="19">
        <f t="shared" si="52"/>
        <v>46.302200283411821</v>
      </c>
      <c r="N241" s="19">
        <f t="shared" si="53"/>
        <v>64.883345799567223</v>
      </c>
      <c r="O241" s="19">
        <f t="shared" si="53"/>
        <v>64.883345799567223</v>
      </c>
      <c r="P241" s="19">
        <f t="shared" si="54"/>
        <v>133.25166557442117</v>
      </c>
      <c r="Q241" s="19">
        <f t="shared" si="54"/>
        <v>133.25166557442117</v>
      </c>
      <c r="R241" s="19">
        <f t="shared" si="55"/>
        <v>160.05704528583442</v>
      </c>
      <c r="S241" s="19">
        <f t="shared" si="55"/>
        <v>160.05704528583442</v>
      </c>
      <c r="T241" s="19">
        <f t="shared" si="55"/>
        <v>160.05704528583442</v>
      </c>
      <c r="U241" s="19">
        <f t="shared" si="55"/>
        <v>160.05704528583442</v>
      </c>
      <c r="V241" s="19">
        <f t="shared" si="56"/>
        <v>190.73171778023038</v>
      </c>
      <c r="W241" s="19">
        <f t="shared" si="56"/>
        <v>190.73171778023038</v>
      </c>
    </row>
    <row r="242" spans="1:23" x14ac:dyDescent="0.2">
      <c r="A242">
        <v>21</v>
      </c>
      <c r="B242" s="1">
        <v>37196</v>
      </c>
      <c r="J242" s="19">
        <f t="shared" si="52"/>
        <v>36.902818927251474</v>
      </c>
      <c r="K242" s="19">
        <f t="shared" si="52"/>
        <v>36.902818927251474</v>
      </c>
      <c r="L242" s="19">
        <f t="shared" si="52"/>
        <v>36.902818927251474</v>
      </c>
      <c r="M242" s="19">
        <f t="shared" si="52"/>
        <v>36.902818927251474</v>
      </c>
      <c r="N242" s="19">
        <f t="shared" si="53"/>
        <v>55.405174893749972</v>
      </c>
      <c r="O242" s="19">
        <f t="shared" si="53"/>
        <v>55.405174893749972</v>
      </c>
      <c r="P242" s="19">
        <f t="shared" si="54"/>
        <v>123.2644090391093</v>
      </c>
      <c r="Q242" s="19">
        <f t="shared" si="54"/>
        <v>123.2644090391093</v>
      </c>
      <c r="R242" s="19">
        <f t="shared" ref="R242:U255" si="57">((R71*$G$16)*(1+$G$14/12)^($A$85-$A71+1))-(R71*$G$16)</f>
        <v>149.48298646446233</v>
      </c>
      <c r="S242" s="19">
        <f t="shared" si="57"/>
        <v>149.48298646446233</v>
      </c>
      <c r="T242" s="19">
        <f t="shared" si="57"/>
        <v>149.48298646446233</v>
      </c>
      <c r="U242" s="19">
        <f t="shared" si="57"/>
        <v>149.48298646446233</v>
      </c>
      <c r="V242" s="19">
        <f t="shared" ref="V242:W258" si="58">((V71*$G$16)*(1+$G$14/12)^($A$88-$A71+1))-(V71*$G$16)</f>
        <v>180.00371077502041</v>
      </c>
      <c r="W242" s="19">
        <f t="shared" si="58"/>
        <v>180.00371077502041</v>
      </c>
    </row>
    <row r="243" spans="1:23" x14ac:dyDescent="0.2">
      <c r="A243">
        <v>22</v>
      </c>
      <c r="B243" s="1">
        <v>37226</v>
      </c>
      <c r="J243" s="19">
        <f t="shared" si="52"/>
        <v>31.518967225656297</v>
      </c>
      <c r="K243" s="19">
        <f t="shared" si="52"/>
        <v>31.518967225656297</v>
      </c>
      <c r="L243" s="19">
        <f t="shared" si="52"/>
        <v>31.518967225656297</v>
      </c>
      <c r="M243" s="19">
        <f t="shared" si="52"/>
        <v>31.518967225656297</v>
      </c>
      <c r="N243" s="19">
        <f t="shared" si="53"/>
        <v>45.997580544705215</v>
      </c>
      <c r="O243" s="19">
        <f t="shared" si="53"/>
        <v>45.997580544705215</v>
      </c>
      <c r="P243" s="19">
        <f t="shared" si="54"/>
        <v>113.35151982475713</v>
      </c>
      <c r="Q243" s="19">
        <f t="shared" si="54"/>
        <v>113.35151982475713</v>
      </c>
      <c r="R243" s="19">
        <f t="shared" si="57"/>
        <v>138.98766442365127</v>
      </c>
      <c r="S243" s="19">
        <f t="shared" si="57"/>
        <v>138.98766442365127</v>
      </c>
      <c r="T243" s="19">
        <f t="shared" si="57"/>
        <v>138.98766442365127</v>
      </c>
      <c r="U243" s="19">
        <f t="shared" si="57"/>
        <v>138.98766442365127</v>
      </c>
      <c r="V243" s="19">
        <f t="shared" si="58"/>
        <v>169.35558688259493</v>
      </c>
      <c r="W243" s="19">
        <f t="shared" si="58"/>
        <v>169.35558688259493</v>
      </c>
    </row>
    <row r="244" spans="1:23" x14ac:dyDescent="0.2">
      <c r="A244">
        <v>23</v>
      </c>
      <c r="B244" s="1">
        <v>37257</v>
      </c>
      <c r="J244" s="19">
        <f t="shared" si="52"/>
        <v>130.79999019394381</v>
      </c>
      <c r="K244" s="19">
        <f t="shared" si="52"/>
        <v>130.79999019394381</v>
      </c>
      <c r="L244" s="19">
        <f t="shared" si="52"/>
        <v>130.79999019394381</v>
      </c>
      <c r="M244" s="19">
        <f t="shared" si="52"/>
        <v>130.79999019394381</v>
      </c>
      <c r="N244" s="19">
        <f t="shared" si="53"/>
        <v>36.660037223782638</v>
      </c>
      <c r="O244" s="19">
        <f t="shared" si="53"/>
        <v>36.660037223782638</v>
      </c>
      <c r="P244" s="19">
        <f t="shared" si="54"/>
        <v>103.51244417584621</v>
      </c>
      <c r="Q244" s="19">
        <f t="shared" si="54"/>
        <v>103.51244417584621</v>
      </c>
      <c r="R244" s="19">
        <f t="shared" si="57"/>
        <v>128.57049287191853</v>
      </c>
      <c r="S244" s="19">
        <f t="shared" si="57"/>
        <v>128.57049287191853</v>
      </c>
      <c r="T244" s="19">
        <f t="shared" si="57"/>
        <v>128.57049287191853</v>
      </c>
      <c r="U244" s="19">
        <f t="shared" si="57"/>
        <v>128.57049287191853</v>
      </c>
      <c r="V244" s="19">
        <f t="shared" si="58"/>
        <v>158.78675127562951</v>
      </c>
      <c r="W244" s="19">
        <f t="shared" si="58"/>
        <v>158.78675127562951</v>
      </c>
    </row>
    <row r="245" spans="1:23" x14ac:dyDescent="0.2">
      <c r="A245">
        <v>24</v>
      </c>
      <c r="B245" s="1">
        <v>37288</v>
      </c>
      <c r="N245" s="19">
        <f t="shared" si="53"/>
        <v>31.292212065759486</v>
      </c>
      <c r="O245" s="19">
        <f t="shared" si="53"/>
        <v>31.292212065759486</v>
      </c>
      <c r="P245" s="19">
        <f t="shared" si="54"/>
        <v>93.746632460243518</v>
      </c>
      <c r="Q245" s="19">
        <f t="shared" si="54"/>
        <v>93.746632460243518</v>
      </c>
      <c r="R245" s="19">
        <f t="shared" si="57"/>
        <v>118.23088988343875</v>
      </c>
      <c r="S245" s="19">
        <f t="shared" si="57"/>
        <v>118.23088988343875</v>
      </c>
      <c r="T245" s="19">
        <f t="shared" si="57"/>
        <v>118.23088988343875</v>
      </c>
      <c r="U245" s="19">
        <f t="shared" si="57"/>
        <v>118.23088988343875</v>
      </c>
      <c r="V245" s="19">
        <f t="shared" si="58"/>
        <v>148.29661355601434</v>
      </c>
      <c r="W245" s="19">
        <f t="shared" si="58"/>
        <v>148.29661355601434</v>
      </c>
    </row>
    <row r="246" spans="1:23" x14ac:dyDescent="0.2">
      <c r="A246">
        <v>25</v>
      </c>
      <c r="B246" s="1">
        <v>37316</v>
      </c>
      <c r="N246" s="19">
        <f t="shared" si="53"/>
        <v>129.89636331868314</v>
      </c>
      <c r="O246" s="19">
        <f t="shared" si="53"/>
        <v>129.89636331868314</v>
      </c>
      <c r="P246" s="19">
        <f t="shared" si="54"/>
        <v>84.053539138498536</v>
      </c>
      <c r="Q246" s="19">
        <f t="shared" si="54"/>
        <v>84.053539138498536</v>
      </c>
      <c r="R246" s="19">
        <f t="shared" si="57"/>
        <v>107.96827786553513</v>
      </c>
      <c r="S246" s="19">
        <f t="shared" si="57"/>
        <v>107.96827786553513</v>
      </c>
      <c r="T246" s="19">
        <f t="shared" si="57"/>
        <v>107.96827786553513</v>
      </c>
      <c r="U246" s="19">
        <f t="shared" si="57"/>
        <v>107.96827786553513</v>
      </c>
      <c r="V246" s="19">
        <f t="shared" si="58"/>
        <v>137.88458772187619</v>
      </c>
      <c r="W246" s="19">
        <f t="shared" si="58"/>
        <v>137.88458772187619</v>
      </c>
    </row>
    <row r="247" spans="1:23" x14ac:dyDescent="0.2">
      <c r="A247">
        <v>26</v>
      </c>
      <c r="B247" s="1">
        <v>37347</v>
      </c>
      <c r="P247" s="19">
        <f t="shared" si="54"/>
        <v>74.43262273336768</v>
      </c>
      <c r="Q247" s="19">
        <f t="shared" si="54"/>
        <v>74.43262273336768</v>
      </c>
      <c r="R247" s="19">
        <f t="shared" si="57"/>
        <v>97.782083526413089</v>
      </c>
      <c r="S247" s="19">
        <f t="shared" si="57"/>
        <v>97.782083526413089</v>
      </c>
      <c r="T247" s="19">
        <f t="shared" si="57"/>
        <v>97.782083526413089</v>
      </c>
      <c r="U247" s="19">
        <f t="shared" si="57"/>
        <v>97.782083526413089</v>
      </c>
      <c r="V247" s="19">
        <f t="shared" si="58"/>
        <v>127.55009213483982</v>
      </c>
      <c r="W247" s="19">
        <f t="shared" si="58"/>
        <v>127.55009213483982</v>
      </c>
    </row>
    <row r="248" spans="1:23" x14ac:dyDescent="0.2">
      <c r="A248">
        <v>27</v>
      </c>
      <c r="B248" s="1">
        <v>37377</v>
      </c>
      <c r="P248" s="19">
        <f t="shared" si="54"/>
        <v>64.883345799567223</v>
      </c>
      <c r="Q248" s="19">
        <f t="shared" si="54"/>
        <v>64.883345799567223</v>
      </c>
      <c r="R248" s="19">
        <f t="shared" si="57"/>
        <v>87.671737843136043</v>
      </c>
      <c r="S248" s="19">
        <f t="shared" si="57"/>
        <v>87.671737843136043</v>
      </c>
      <c r="T248" s="19">
        <f t="shared" si="57"/>
        <v>87.671737843136043</v>
      </c>
      <c r="U248" s="19">
        <f t="shared" si="57"/>
        <v>87.671737843136043</v>
      </c>
      <c r="V248" s="19">
        <f t="shared" si="58"/>
        <v>117.29254948753851</v>
      </c>
      <c r="W248" s="19">
        <f t="shared" si="58"/>
        <v>117.29254948753851</v>
      </c>
    </row>
    <row r="249" spans="1:23" x14ac:dyDescent="0.2">
      <c r="A249">
        <v>28</v>
      </c>
      <c r="B249" s="1">
        <v>37408</v>
      </c>
      <c r="P249" s="19">
        <f t="shared" si="54"/>
        <v>55.405174893749972</v>
      </c>
      <c r="Q249" s="19">
        <f t="shared" si="54"/>
        <v>55.405174893749972</v>
      </c>
      <c r="R249" s="19">
        <f t="shared" si="57"/>
        <v>77.63667602983719</v>
      </c>
      <c r="S249" s="19">
        <f t="shared" si="57"/>
        <v>77.63667602983719</v>
      </c>
      <c r="T249" s="19">
        <f t="shared" si="57"/>
        <v>77.63667602983719</v>
      </c>
      <c r="U249" s="19">
        <f t="shared" si="57"/>
        <v>77.63667602983719</v>
      </c>
      <c r="V249" s="19">
        <f t="shared" si="58"/>
        <v>107.1113867713641</v>
      </c>
      <c r="W249" s="19">
        <f t="shared" si="58"/>
        <v>107.1113867713641</v>
      </c>
    </row>
    <row r="250" spans="1:23" x14ac:dyDescent="0.2">
      <c r="A250">
        <v>29</v>
      </c>
      <c r="B250" s="1">
        <v>37438</v>
      </c>
      <c r="P250" s="19">
        <f t="shared" si="54"/>
        <v>45.997580544705215</v>
      </c>
      <c r="Q250" s="19">
        <f t="shared" si="54"/>
        <v>45.997580544705215</v>
      </c>
      <c r="R250" s="19">
        <f t="shared" si="57"/>
        <v>67.676337506170967</v>
      </c>
      <c r="S250" s="19">
        <f t="shared" si="57"/>
        <v>67.676337506170967</v>
      </c>
      <c r="T250" s="19">
        <f t="shared" si="57"/>
        <v>67.676337506170967</v>
      </c>
      <c r="U250" s="19">
        <f t="shared" si="57"/>
        <v>67.676337506170967</v>
      </c>
      <c r="V250" s="19">
        <f t="shared" si="58"/>
        <v>97.00603524445728</v>
      </c>
      <c r="W250" s="19">
        <f t="shared" si="58"/>
        <v>97.00603524445728</v>
      </c>
    </row>
    <row r="251" spans="1:23" x14ac:dyDescent="0.2">
      <c r="A251">
        <v>30</v>
      </c>
      <c r="B251" s="1">
        <v>37469</v>
      </c>
      <c r="P251" s="19">
        <f t="shared" si="54"/>
        <v>36.660037223782638</v>
      </c>
      <c r="Q251" s="19">
        <f t="shared" si="54"/>
        <v>36.660037223782638</v>
      </c>
      <c r="R251" s="19">
        <f t="shared" si="57"/>
        <v>57.790165865997551</v>
      </c>
      <c r="S251" s="19">
        <f t="shared" si="57"/>
        <v>57.790165865997551</v>
      </c>
      <c r="T251" s="19">
        <f t="shared" si="57"/>
        <v>57.790165865997551</v>
      </c>
      <c r="U251" s="19">
        <f t="shared" si="57"/>
        <v>57.790165865997551</v>
      </c>
      <c r="V251" s="19">
        <f t="shared" si="58"/>
        <v>86.975930399936487</v>
      </c>
      <c r="W251" s="19">
        <f t="shared" si="58"/>
        <v>86.975930399936487</v>
      </c>
    </row>
    <row r="252" spans="1:23" x14ac:dyDescent="0.2">
      <c r="A252">
        <v>31</v>
      </c>
      <c r="B252" s="1">
        <v>37500</v>
      </c>
      <c r="P252" s="19">
        <f t="shared" si="54"/>
        <v>31.292212065759486</v>
      </c>
      <c r="Q252" s="19">
        <f t="shared" si="54"/>
        <v>31.292212065759486</v>
      </c>
      <c r="R252" s="19">
        <f t="shared" si="57"/>
        <v>47.977608846298608</v>
      </c>
      <c r="S252" s="19">
        <f t="shared" si="57"/>
        <v>47.977608846298608</v>
      </c>
      <c r="T252" s="19">
        <f t="shared" si="57"/>
        <v>47.977608846298608</v>
      </c>
      <c r="U252" s="19">
        <f t="shared" si="57"/>
        <v>47.977608846298608</v>
      </c>
      <c r="V252" s="19">
        <f t="shared" si="58"/>
        <v>77.020511934362275</v>
      </c>
      <c r="W252" s="19">
        <f t="shared" si="58"/>
        <v>77.020511934362275</v>
      </c>
    </row>
    <row r="253" spans="1:23" x14ac:dyDescent="0.2">
      <c r="A253">
        <v>32</v>
      </c>
      <c r="B253" s="1">
        <v>37530</v>
      </c>
      <c r="P253" s="19">
        <f t="shared" si="54"/>
        <v>129.89636331868314</v>
      </c>
      <c r="Q253" s="19">
        <f t="shared" si="54"/>
        <v>129.89636331868314</v>
      </c>
      <c r="R253" s="19">
        <f t="shared" si="57"/>
        <v>38.238118296329731</v>
      </c>
      <c r="S253" s="19">
        <f t="shared" si="57"/>
        <v>38.238118296329731</v>
      </c>
      <c r="T253" s="19">
        <f t="shared" si="57"/>
        <v>40.969412460353169</v>
      </c>
      <c r="U253" s="19">
        <f t="shared" si="57"/>
        <v>40.969412460353169</v>
      </c>
      <c r="V253" s="19">
        <f t="shared" si="58"/>
        <v>67.139223716439574</v>
      </c>
      <c r="W253" s="19">
        <f t="shared" si="58"/>
        <v>67.139223716439574</v>
      </c>
    </row>
    <row r="254" spans="1:23" x14ac:dyDescent="0.2">
      <c r="A254">
        <v>33</v>
      </c>
      <c r="B254" s="1">
        <v>37561</v>
      </c>
      <c r="R254" s="19">
        <f t="shared" si="57"/>
        <v>32.652743025140353</v>
      </c>
      <c r="S254" s="19">
        <f t="shared" si="57"/>
        <v>32.652743025140353</v>
      </c>
      <c r="T254" s="19">
        <f t="shared" si="57"/>
        <v>118.36619346613315</v>
      </c>
      <c r="U254" s="19">
        <f t="shared" si="57"/>
        <v>118.36619346613315</v>
      </c>
      <c r="V254" s="19">
        <f t="shared" si="58"/>
        <v>57.331513755950027</v>
      </c>
      <c r="W254" s="19">
        <f t="shared" si="58"/>
        <v>57.331513755950027</v>
      </c>
    </row>
    <row r="255" spans="1:23" x14ac:dyDescent="0.2">
      <c r="A255">
        <v>34</v>
      </c>
      <c r="B255" s="1">
        <v>37591</v>
      </c>
      <c r="R255" s="19">
        <f t="shared" si="57"/>
        <v>135.54403128906051</v>
      </c>
      <c r="S255" s="19">
        <f t="shared" si="57"/>
        <v>135.54403128906051</v>
      </c>
      <c r="T255" s="19">
        <f t="shared" si="57"/>
        <v>81.326418773436671</v>
      </c>
      <c r="U255" s="19">
        <f t="shared" si="57"/>
        <v>81.326418773436671</v>
      </c>
      <c r="V255" s="19">
        <f t="shared" si="58"/>
        <v>47.596834172915123</v>
      </c>
      <c r="W255" s="19">
        <f t="shared" si="58"/>
        <v>47.596834172915123</v>
      </c>
    </row>
    <row r="256" spans="1:23" x14ac:dyDescent="0.2">
      <c r="A256">
        <v>35</v>
      </c>
      <c r="B256" s="1">
        <v>37622</v>
      </c>
      <c r="V256" s="19">
        <f t="shared" si="58"/>
        <v>37.934641166993742</v>
      </c>
      <c r="W256" s="19">
        <f t="shared" si="58"/>
        <v>37.934641166993742</v>
      </c>
    </row>
    <row r="257" spans="1:23" x14ac:dyDescent="0.2">
      <c r="A257">
        <v>36</v>
      </c>
      <c r="B257" s="1">
        <v>37653</v>
      </c>
      <c r="V257" s="19">
        <f t="shared" si="58"/>
        <v>32.380636833264134</v>
      </c>
      <c r="W257" s="19">
        <f t="shared" si="58"/>
        <v>32.380636833264134</v>
      </c>
    </row>
    <row r="258" spans="1:23" x14ac:dyDescent="0.2">
      <c r="A258">
        <v>37</v>
      </c>
      <c r="B258" s="1">
        <v>37681</v>
      </c>
      <c r="V258" s="19">
        <f t="shared" si="58"/>
        <v>134.41449769498649</v>
      </c>
      <c r="W258" s="19">
        <f t="shared" si="58"/>
        <v>134.41449769498649</v>
      </c>
    </row>
    <row r="259" spans="1:23" x14ac:dyDescent="0.2">
      <c r="A259">
        <v>38</v>
      </c>
      <c r="B259" s="1">
        <v>37712</v>
      </c>
    </row>
    <row r="260" spans="1:23" x14ac:dyDescent="0.2">
      <c r="A260">
        <v>39</v>
      </c>
      <c r="B260" s="1">
        <v>37742</v>
      </c>
    </row>
    <row r="261" spans="1:23" x14ac:dyDescent="0.2">
      <c r="A261">
        <v>40</v>
      </c>
      <c r="B261" s="1">
        <v>37773</v>
      </c>
    </row>
    <row r="262" spans="1:23" x14ac:dyDescent="0.2">
      <c r="A262">
        <v>41</v>
      </c>
      <c r="B262" s="1">
        <v>37803</v>
      </c>
    </row>
    <row r="263" spans="1:23" x14ac:dyDescent="0.2">
      <c r="A263">
        <v>42</v>
      </c>
      <c r="B263" s="1">
        <v>37834</v>
      </c>
    </row>
    <row r="264" spans="1:23" x14ac:dyDescent="0.2">
      <c r="A264">
        <v>43</v>
      </c>
      <c r="B264" s="1">
        <v>37865</v>
      </c>
    </row>
    <row r="265" spans="1:23" x14ac:dyDescent="0.2">
      <c r="A265">
        <v>44</v>
      </c>
      <c r="B265" s="1">
        <v>37895</v>
      </c>
    </row>
    <row r="266" spans="1:23" x14ac:dyDescent="0.2">
      <c r="A266">
        <v>45</v>
      </c>
      <c r="B266" s="1">
        <v>37926</v>
      </c>
    </row>
    <row r="267" spans="1:23" x14ac:dyDescent="0.2">
      <c r="A267">
        <v>46</v>
      </c>
      <c r="B267" s="1">
        <v>37956</v>
      </c>
    </row>
    <row r="268" spans="1:23" x14ac:dyDescent="0.2">
      <c r="B268" s="3" t="s">
        <v>34</v>
      </c>
      <c r="C268" s="3"/>
      <c r="D268" s="5">
        <f>SUM(D221:D267)</f>
        <v>1950.4041280516938</v>
      </c>
      <c r="E268" s="5">
        <f t="shared" ref="E268:W268" si="59">SUM(E221:E267)</f>
        <v>1643.3388075719888</v>
      </c>
      <c r="F268" s="5">
        <f t="shared" si="59"/>
        <v>1835.1310246222652</v>
      </c>
      <c r="G268" s="5">
        <f t="shared" si="59"/>
        <v>1835.1310246222652</v>
      </c>
      <c r="H268" s="5">
        <f t="shared" si="59"/>
        <v>1878.5631177788387</v>
      </c>
      <c r="I268" s="5">
        <f t="shared" si="59"/>
        <v>1878.5631177788387</v>
      </c>
      <c r="J268" s="5">
        <f t="shared" si="59"/>
        <v>2595.7757790034539</v>
      </c>
      <c r="K268" s="5">
        <f t="shared" si="59"/>
        <v>2595.7757790034539</v>
      </c>
      <c r="L268" s="5">
        <f t="shared" si="59"/>
        <v>2595.7757790034539</v>
      </c>
      <c r="M268" s="5">
        <f t="shared" si="59"/>
        <v>2595.7757790034539</v>
      </c>
      <c r="N268" s="5">
        <f t="shared" si="59"/>
        <v>2640.8654426120243</v>
      </c>
      <c r="O268" s="5">
        <f t="shared" si="59"/>
        <v>2640.8654426120243</v>
      </c>
      <c r="P268" s="5">
        <f t="shared" si="59"/>
        <v>2865.5620859687237</v>
      </c>
      <c r="Q268" s="5">
        <f t="shared" si="59"/>
        <v>2865.5620859687237</v>
      </c>
      <c r="R268" s="5">
        <f t="shared" si="59"/>
        <v>2998.4546408073306</v>
      </c>
      <c r="S268" s="5">
        <f t="shared" si="59"/>
        <v>2998.4546408073306</v>
      </c>
      <c r="T268" s="5">
        <f t="shared" si="59"/>
        <v>3134.2580373194714</v>
      </c>
      <c r="U268" s="5">
        <f t="shared" si="59"/>
        <v>3134.2580373194714</v>
      </c>
      <c r="V268" s="5">
        <f t="shared" si="59"/>
        <v>3078.0931966447943</v>
      </c>
      <c r="W268" s="5">
        <f t="shared" si="59"/>
        <v>3078.0931966447943</v>
      </c>
    </row>
    <row r="272" spans="1:23" x14ac:dyDescent="0.2">
      <c r="B272" t="s">
        <v>46</v>
      </c>
    </row>
    <row r="274" spans="1:23" x14ac:dyDescent="0.2">
      <c r="A274">
        <v>1</v>
      </c>
      <c r="B274" s="1">
        <v>36586</v>
      </c>
      <c r="D274" s="19">
        <f t="shared" ref="D274:E286" si="60">((D51*$G$16)*(1+$M$14/12)^($A$64-$A51+1))-(D51*$G$16)</f>
        <v>146.44599772095626</v>
      </c>
      <c r="E274" s="19">
        <f t="shared" si="60"/>
        <v>0</v>
      </c>
      <c r="F274" s="19">
        <f t="shared" ref="F274:G290" si="61">((F51*$G$16)*(1+$M$14/12)^($A$68-$A51+1))-(F51*$G$16)</f>
        <v>0</v>
      </c>
      <c r="G274" s="19">
        <f t="shared" si="61"/>
        <v>0</v>
      </c>
      <c r="H274" s="19">
        <f t="shared" ref="H274:I292" si="62">((H51*$G$16)*(1+$M$14/12)^($A$70-$A51+1))-(H51*$G$16)</f>
        <v>0</v>
      </c>
      <c r="I274" s="19">
        <f t="shared" si="62"/>
        <v>0</v>
      </c>
      <c r="J274" s="19">
        <f t="shared" ref="J274:M296" si="63">((J51*$G$16)*(1+$M$14/12)^($A$74-$A51+1))-(J51*$G$16)</f>
        <v>0</v>
      </c>
      <c r="K274" s="19">
        <f t="shared" si="63"/>
        <v>0</v>
      </c>
      <c r="L274" s="19">
        <f t="shared" si="63"/>
        <v>0</v>
      </c>
      <c r="M274" s="19">
        <f t="shared" si="63"/>
        <v>0</v>
      </c>
      <c r="N274" s="19">
        <f t="shared" ref="N274:O298" si="64">((N51*$G$16)*(1+$M$14/12)^($A$76-$A51+1))-(N51*$G$16)</f>
        <v>0</v>
      </c>
      <c r="O274" s="19">
        <f t="shared" si="64"/>
        <v>0</v>
      </c>
      <c r="P274" s="19">
        <f t="shared" ref="P274:Q305" si="65">((P51*$G$16)*(1+$M$14/12)^($A$83-$A51+1))-(P51*$G$16)</f>
        <v>0</v>
      </c>
      <c r="Q274" s="19">
        <f t="shared" si="65"/>
        <v>0</v>
      </c>
      <c r="R274" s="19">
        <f t="shared" ref="R274:U293" si="66">((R51*$G$16)*(1+$M$14/12)^($A$85-$A51+1))-(R51*$G$16)</f>
        <v>0</v>
      </c>
      <c r="S274" s="19">
        <f t="shared" si="66"/>
        <v>0</v>
      </c>
      <c r="T274" s="19">
        <f t="shared" si="66"/>
        <v>0</v>
      </c>
      <c r="U274" s="19">
        <f t="shared" si="66"/>
        <v>0</v>
      </c>
      <c r="V274" s="19">
        <f t="shared" ref="V274:W293" si="67">((V51*$G$16)*(1+$M$14/12)^($A$88-$A51+1))-(V51*$G$16)</f>
        <v>0</v>
      </c>
      <c r="W274" s="19">
        <f t="shared" si="67"/>
        <v>0</v>
      </c>
    </row>
    <row r="275" spans="1:23" x14ac:dyDescent="0.2">
      <c r="A275">
        <v>2</v>
      </c>
      <c r="B275" s="1">
        <v>36617</v>
      </c>
      <c r="D275" s="19">
        <f t="shared" si="60"/>
        <v>149.15045629901715</v>
      </c>
      <c r="E275" s="19">
        <f t="shared" si="60"/>
        <v>111.07974209022132</v>
      </c>
      <c r="F275" s="19">
        <f t="shared" si="61"/>
        <v>0</v>
      </c>
      <c r="G275" s="19">
        <f t="shared" si="61"/>
        <v>0</v>
      </c>
      <c r="H275" s="19">
        <f t="shared" si="62"/>
        <v>0</v>
      </c>
      <c r="I275" s="19">
        <f t="shared" si="62"/>
        <v>0</v>
      </c>
      <c r="J275" s="19">
        <f t="shared" si="63"/>
        <v>127.13097204583494</v>
      </c>
      <c r="K275" s="19">
        <f t="shared" si="63"/>
        <v>127.13097204583494</v>
      </c>
      <c r="L275" s="19">
        <f t="shared" si="63"/>
        <v>127.13097204583494</v>
      </c>
      <c r="M275" s="19">
        <f t="shared" si="63"/>
        <v>127.13097204583494</v>
      </c>
      <c r="N275" s="19">
        <f t="shared" si="64"/>
        <v>138.2282571317412</v>
      </c>
      <c r="O275" s="19">
        <f t="shared" si="64"/>
        <v>138.2282571317412</v>
      </c>
      <c r="P275" s="19">
        <f t="shared" si="65"/>
        <v>180.75685937348248</v>
      </c>
      <c r="Q275" s="19">
        <f t="shared" si="65"/>
        <v>180.75685937348248</v>
      </c>
      <c r="R275" s="19">
        <f t="shared" si="66"/>
        <v>0</v>
      </c>
      <c r="S275" s="19">
        <f t="shared" si="66"/>
        <v>0</v>
      </c>
      <c r="T275" s="19">
        <f t="shared" si="66"/>
        <v>0</v>
      </c>
      <c r="U275" s="19">
        <f t="shared" si="66"/>
        <v>0</v>
      </c>
      <c r="V275" s="19">
        <f t="shared" si="67"/>
        <v>0</v>
      </c>
      <c r="W275" s="19">
        <f t="shared" si="67"/>
        <v>0</v>
      </c>
    </row>
    <row r="276" spans="1:23" x14ac:dyDescent="0.2">
      <c r="A276">
        <v>3</v>
      </c>
      <c r="B276" s="1">
        <v>36647</v>
      </c>
      <c r="D276" s="19">
        <f t="shared" si="60"/>
        <v>137.26381303010248</v>
      </c>
      <c r="E276" s="19">
        <f t="shared" si="60"/>
        <v>128.9851124057775</v>
      </c>
      <c r="F276" s="19">
        <f t="shared" si="61"/>
        <v>168.67854658741498</v>
      </c>
      <c r="G276" s="19">
        <f t="shared" si="61"/>
        <v>168.67854658741498</v>
      </c>
      <c r="H276" s="19">
        <f t="shared" si="62"/>
        <v>0</v>
      </c>
      <c r="I276" s="19">
        <f t="shared" si="62"/>
        <v>0</v>
      </c>
      <c r="J276" s="19">
        <f t="shared" si="63"/>
        <v>0</v>
      </c>
      <c r="K276" s="19">
        <f t="shared" si="63"/>
        <v>0</v>
      </c>
      <c r="L276" s="19">
        <f t="shared" si="63"/>
        <v>0</v>
      </c>
      <c r="M276" s="19">
        <f t="shared" si="63"/>
        <v>0</v>
      </c>
      <c r="N276" s="19">
        <f t="shared" si="64"/>
        <v>0</v>
      </c>
      <c r="O276" s="19">
        <f t="shared" si="64"/>
        <v>0</v>
      </c>
      <c r="P276" s="19">
        <f t="shared" si="65"/>
        <v>0</v>
      </c>
      <c r="Q276" s="19">
        <f t="shared" si="65"/>
        <v>0</v>
      </c>
      <c r="R276" s="19">
        <f t="shared" si="66"/>
        <v>194.99452681186085</v>
      </c>
      <c r="S276" s="19">
        <f t="shared" si="66"/>
        <v>194.99452681186085</v>
      </c>
      <c r="T276" s="19">
        <f t="shared" si="66"/>
        <v>194.99452681186085</v>
      </c>
      <c r="U276" s="19">
        <f t="shared" si="66"/>
        <v>194.99452681186085</v>
      </c>
      <c r="V276" s="19">
        <f t="shared" si="67"/>
        <v>213.02151226695059</v>
      </c>
      <c r="W276" s="19">
        <f t="shared" si="67"/>
        <v>213.02151226695059</v>
      </c>
    </row>
    <row r="277" spans="1:23" x14ac:dyDescent="0.2">
      <c r="A277">
        <v>4</v>
      </c>
      <c r="B277" s="1">
        <v>36678</v>
      </c>
      <c r="D277" s="19">
        <f t="shared" si="60"/>
        <v>125.44759931833164</v>
      </c>
      <c r="E277" s="19">
        <f t="shared" si="60"/>
        <v>117.88156209503973</v>
      </c>
      <c r="F277" s="19">
        <f t="shared" si="61"/>
        <v>0</v>
      </c>
      <c r="G277" s="19">
        <f t="shared" si="61"/>
        <v>0</v>
      </c>
      <c r="H277" s="19">
        <f t="shared" si="62"/>
        <v>179.76300559113702</v>
      </c>
      <c r="I277" s="19">
        <f t="shared" si="62"/>
        <v>179.76300559113702</v>
      </c>
      <c r="J277" s="19">
        <f t="shared" si="63"/>
        <v>0</v>
      </c>
      <c r="K277" s="19">
        <f t="shared" si="63"/>
        <v>0</v>
      </c>
      <c r="L277" s="19">
        <f t="shared" si="63"/>
        <v>0</v>
      </c>
      <c r="M277" s="19">
        <f t="shared" si="63"/>
        <v>0</v>
      </c>
      <c r="N277" s="19">
        <f t="shared" si="64"/>
        <v>0</v>
      </c>
      <c r="O277" s="19">
        <f t="shared" si="64"/>
        <v>0</v>
      </c>
      <c r="P277" s="19">
        <f t="shared" si="65"/>
        <v>0</v>
      </c>
      <c r="Q277" s="19">
        <f t="shared" si="65"/>
        <v>0</v>
      </c>
      <c r="R277" s="19">
        <f t="shared" si="66"/>
        <v>0</v>
      </c>
      <c r="S277" s="19">
        <f t="shared" si="66"/>
        <v>0</v>
      </c>
      <c r="T277" s="19">
        <f t="shared" si="66"/>
        <v>0</v>
      </c>
      <c r="U277" s="19">
        <f t="shared" si="66"/>
        <v>0</v>
      </c>
      <c r="V277" s="19">
        <f t="shared" si="67"/>
        <v>0</v>
      </c>
      <c r="W277" s="19">
        <f t="shared" si="67"/>
        <v>0</v>
      </c>
    </row>
    <row r="278" spans="1:23" x14ac:dyDescent="0.2">
      <c r="A278">
        <v>5</v>
      </c>
      <c r="B278" s="1">
        <v>36708</v>
      </c>
      <c r="D278" s="19">
        <f t="shared" si="60"/>
        <v>113.70139786149434</v>
      </c>
      <c r="E278" s="19">
        <f t="shared" si="60"/>
        <v>106.84380143689145</v>
      </c>
      <c r="F278" s="19">
        <f t="shared" si="61"/>
        <v>0</v>
      </c>
      <c r="G278" s="19">
        <f t="shared" si="61"/>
        <v>0</v>
      </c>
      <c r="H278" s="19">
        <f t="shared" si="62"/>
        <v>0</v>
      </c>
      <c r="I278" s="19">
        <f t="shared" si="62"/>
        <v>0</v>
      </c>
      <c r="J278" s="19">
        <f t="shared" si="63"/>
        <v>0</v>
      </c>
      <c r="K278" s="19">
        <f t="shared" si="63"/>
        <v>0</v>
      </c>
      <c r="L278" s="19">
        <f t="shared" si="63"/>
        <v>0</v>
      </c>
      <c r="M278" s="19">
        <f t="shared" si="63"/>
        <v>0</v>
      </c>
      <c r="N278" s="19">
        <f t="shared" si="64"/>
        <v>0</v>
      </c>
      <c r="O278" s="19">
        <f t="shared" si="64"/>
        <v>0</v>
      </c>
      <c r="P278" s="19">
        <f t="shared" si="65"/>
        <v>0</v>
      </c>
      <c r="Q278" s="19">
        <f t="shared" si="65"/>
        <v>0</v>
      </c>
      <c r="R278" s="19">
        <f t="shared" si="66"/>
        <v>0</v>
      </c>
      <c r="S278" s="19">
        <f t="shared" si="66"/>
        <v>0</v>
      </c>
      <c r="T278" s="19">
        <f t="shared" si="66"/>
        <v>0</v>
      </c>
      <c r="U278" s="19">
        <f t="shared" si="66"/>
        <v>0</v>
      </c>
      <c r="V278" s="19">
        <f t="shared" si="67"/>
        <v>0</v>
      </c>
      <c r="W278" s="19">
        <f t="shared" si="67"/>
        <v>0</v>
      </c>
    </row>
    <row r="279" spans="1:23" x14ac:dyDescent="0.2">
      <c r="A279">
        <v>6</v>
      </c>
      <c r="B279" s="1">
        <v>36739</v>
      </c>
      <c r="D279" s="19">
        <f t="shared" si="60"/>
        <v>102.02479382993715</v>
      </c>
      <c r="E279" s="19">
        <f t="shared" si="60"/>
        <v>95.871440621023339</v>
      </c>
      <c r="F279" s="19">
        <f t="shared" si="61"/>
        <v>135.81767452969211</v>
      </c>
      <c r="G279" s="19">
        <f t="shared" si="61"/>
        <v>135.81767452969211</v>
      </c>
      <c r="H279" s="19">
        <f t="shared" si="62"/>
        <v>0</v>
      </c>
      <c r="I279" s="19">
        <f t="shared" si="62"/>
        <v>0</v>
      </c>
      <c r="J279" s="19">
        <f t="shared" si="63"/>
        <v>145.35228503292797</v>
      </c>
      <c r="K279" s="19">
        <f t="shared" si="63"/>
        <v>145.35228503292797</v>
      </c>
      <c r="L279" s="19">
        <f t="shared" si="63"/>
        <v>145.35228503292797</v>
      </c>
      <c r="M279" s="19">
        <f t="shared" si="63"/>
        <v>145.35228503292797</v>
      </c>
      <c r="N279" s="19">
        <f t="shared" si="64"/>
        <v>0</v>
      </c>
      <c r="O279" s="19">
        <f t="shared" si="64"/>
        <v>0</v>
      </c>
      <c r="P279" s="19">
        <f t="shared" si="65"/>
        <v>0</v>
      </c>
      <c r="Q279" s="19">
        <f t="shared" si="65"/>
        <v>0</v>
      </c>
      <c r="R279" s="19">
        <f t="shared" si="66"/>
        <v>0</v>
      </c>
      <c r="S279" s="19">
        <f t="shared" si="66"/>
        <v>0</v>
      </c>
      <c r="T279" s="19">
        <f t="shared" si="66"/>
        <v>0</v>
      </c>
      <c r="U279" s="19">
        <f t="shared" si="66"/>
        <v>0</v>
      </c>
      <c r="V279" s="19">
        <f t="shared" si="67"/>
        <v>0</v>
      </c>
      <c r="W279" s="19">
        <f t="shared" si="67"/>
        <v>0</v>
      </c>
    </row>
    <row r="280" spans="1:23" x14ac:dyDescent="0.2">
      <c r="A280">
        <v>7</v>
      </c>
      <c r="B280" s="1">
        <v>36770</v>
      </c>
      <c r="D280" s="19">
        <f t="shared" si="60"/>
        <v>90.417374851913564</v>
      </c>
      <c r="E280" s="19">
        <f t="shared" si="60"/>
        <v>84.964092146790108</v>
      </c>
      <c r="F280" s="19">
        <f t="shared" si="61"/>
        <v>137.48556393968261</v>
      </c>
      <c r="G280" s="19">
        <f t="shared" si="61"/>
        <v>137.48556393968261</v>
      </c>
      <c r="H280" s="19">
        <f t="shared" si="62"/>
        <v>0</v>
      </c>
      <c r="I280" s="19">
        <f t="shared" si="62"/>
        <v>0</v>
      </c>
      <c r="J280" s="19">
        <f t="shared" si="63"/>
        <v>137.28613579437001</v>
      </c>
      <c r="K280" s="19">
        <f t="shared" si="63"/>
        <v>137.28613579437001</v>
      </c>
      <c r="L280" s="19">
        <f t="shared" si="63"/>
        <v>137.28613579437001</v>
      </c>
      <c r="M280" s="19">
        <f t="shared" si="63"/>
        <v>137.28613579437001</v>
      </c>
      <c r="N280" s="19">
        <f t="shared" si="64"/>
        <v>0</v>
      </c>
      <c r="O280" s="19">
        <f t="shared" si="64"/>
        <v>0</v>
      </c>
      <c r="P280" s="19">
        <f t="shared" si="65"/>
        <v>0</v>
      </c>
      <c r="Q280" s="19">
        <f t="shared" si="65"/>
        <v>0</v>
      </c>
      <c r="R280" s="19">
        <f t="shared" si="66"/>
        <v>169.2724568075887</v>
      </c>
      <c r="S280" s="19">
        <f t="shared" si="66"/>
        <v>169.2724568075887</v>
      </c>
      <c r="T280" s="19">
        <f t="shared" si="66"/>
        <v>169.2724568075887</v>
      </c>
      <c r="U280" s="19">
        <f t="shared" si="66"/>
        <v>169.2724568075887</v>
      </c>
      <c r="V280" s="19">
        <f t="shared" si="67"/>
        <v>187.04041184301263</v>
      </c>
      <c r="W280" s="19">
        <f t="shared" si="67"/>
        <v>187.04041184301263</v>
      </c>
    </row>
    <row r="281" spans="1:23" x14ac:dyDescent="0.2">
      <c r="A281">
        <v>8</v>
      </c>
      <c r="B281" s="1">
        <v>36800</v>
      </c>
      <c r="D281" s="19">
        <f t="shared" si="60"/>
        <v>78.878730999021172</v>
      </c>
      <c r="E281" s="19">
        <f t="shared" si="60"/>
        <v>74.121370809527207</v>
      </c>
      <c r="F281" s="19">
        <f t="shared" si="61"/>
        <v>125.65026102966999</v>
      </c>
      <c r="G281" s="19">
        <f t="shared" si="61"/>
        <v>125.65026102966999</v>
      </c>
      <c r="H281" s="19">
        <f t="shared" si="62"/>
        <v>135.81767452969211</v>
      </c>
      <c r="I281" s="19">
        <f t="shared" si="62"/>
        <v>135.81767452969211</v>
      </c>
      <c r="J281" s="19">
        <f t="shared" si="63"/>
        <v>129.26777930149183</v>
      </c>
      <c r="K281" s="19">
        <f t="shared" si="63"/>
        <v>129.26777930149183</v>
      </c>
      <c r="L281" s="19">
        <f t="shared" si="63"/>
        <v>129.26777930149183</v>
      </c>
      <c r="M281" s="19">
        <f t="shared" si="63"/>
        <v>129.26777930149183</v>
      </c>
      <c r="N281" s="19">
        <f t="shared" si="64"/>
        <v>144.39601999981664</v>
      </c>
      <c r="O281" s="19">
        <f t="shared" si="64"/>
        <v>144.39601999981664</v>
      </c>
      <c r="P281" s="19">
        <f t="shared" si="65"/>
        <v>0</v>
      </c>
      <c r="Q281" s="19">
        <f t="shared" si="65"/>
        <v>0</v>
      </c>
      <c r="R281" s="19">
        <f t="shared" si="66"/>
        <v>0</v>
      </c>
      <c r="S281" s="19">
        <f t="shared" si="66"/>
        <v>0</v>
      </c>
      <c r="T281" s="19">
        <f t="shared" si="66"/>
        <v>0</v>
      </c>
      <c r="U281" s="19">
        <f t="shared" si="66"/>
        <v>0</v>
      </c>
      <c r="V281" s="19">
        <f t="shared" si="67"/>
        <v>0</v>
      </c>
      <c r="W281" s="19">
        <f t="shared" si="67"/>
        <v>0</v>
      </c>
    </row>
    <row r="282" spans="1:23" x14ac:dyDescent="0.2">
      <c r="A282">
        <v>9</v>
      </c>
      <c r="B282" s="1">
        <v>36831</v>
      </c>
      <c r="D282" s="19">
        <f t="shared" si="60"/>
        <v>67.408454771725474</v>
      </c>
      <c r="E282" s="19">
        <f t="shared" si="60"/>
        <v>63.342893686947036</v>
      </c>
      <c r="F282" s="19">
        <f t="shared" si="61"/>
        <v>113.88508348001051</v>
      </c>
      <c r="G282" s="19">
        <f t="shared" si="61"/>
        <v>113.88508348001051</v>
      </c>
      <c r="H282" s="19">
        <f t="shared" si="62"/>
        <v>137.48556393968261</v>
      </c>
      <c r="I282" s="19">
        <f t="shared" si="62"/>
        <v>137.48556393968261</v>
      </c>
      <c r="J282" s="19">
        <f t="shared" si="63"/>
        <v>121.29693237746687</v>
      </c>
      <c r="K282" s="19">
        <f t="shared" si="63"/>
        <v>121.29693237746687</v>
      </c>
      <c r="L282" s="19">
        <f t="shared" si="63"/>
        <v>121.29693237746687</v>
      </c>
      <c r="M282" s="19">
        <f t="shared" si="63"/>
        <v>121.29693237746687</v>
      </c>
      <c r="N282" s="19">
        <f t="shared" si="64"/>
        <v>136.38293753256494</v>
      </c>
      <c r="O282" s="19">
        <f t="shared" si="64"/>
        <v>136.38293753256494</v>
      </c>
      <c r="P282" s="19">
        <f t="shared" si="65"/>
        <v>0</v>
      </c>
      <c r="Q282" s="19">
        <f t="shared" si="65"/>
        <v>0</v>
      </c>
      <c r="R282" s="19">
        <f t="shared" si="66"/>
        <v>0</v>
      </c>
      <c r="S282" s="19">
        <f t="shared" si="66"/>
        <v>0</v>
      </c>
      <c r="T282" s="19">
        <f t="shared" si="66"/>
        <v>0</v>
      </c>
      <c r="U282" s="19">
        <f t="shared" si="66"/>
        <v>0</v>
      </c>
      <c r="V282" s="19">
        <f t="shared" si="67"/>
        <v>0</v>
      </c>
      <c r="W282" s="19">
        <f t="shared" si="67"/>
        <v>0</v>
      </c>
    </row>
    <row r="283" spans="1:23" x14ac:dyDescent="0.2">
      <c r="A283">
        <v>10</v>
      </c>
      <c r="B283" s="1">
        <v>36861</v>
      </c>
      <c r="D283" s="19">
        <f t="shared" si="60"/>
        <v>56.006141084966657</v>
      </c>
      <c r="E283" s="19">
        <f t="shared" si="60"/>
        <v>52.628280125614765</v>
      </c>
      <c r="F283" s="19">
        <f t="shared" si="61"/>
        <v>102.18961579089</v>
      </c>
      <c r="G283" s="19">
        <f t="shared" si="61"/>
        <v>102.18961579089</v>
      </c>
      <c r="H283" s="19">
        <f t="shared" si="62"/>
        <v>125.65026102966999</v>
      </c>
      <c r="I283" s="19">
        <f t="shared" si="62"/>
        <v>125.65026102966999</v>
      </c>
      <c r="J283" s="19">
        <f t="shared" si="63"/>
        <v>113.37331352332035</v>
      </c>
      <c r="K283" s="19">
        <f t="shared" si="63"/>
        <v>113.37331352332035</v>
      </c>
      <c r="L283" s="19">
        <f t="shared" si="63"/>
        <v>113.37331352332035</v>
      </c>
      <c r="M283" s="19">
        <f t="shared" si="63"/>
        <v>113.37331352332035</v>
      </c>
      <c r="N283" s="19">
        <f t="shared" si="64"/>
        <v>128.41733338503468</v>
      </c>
      <c r="O283" s="19">
        <f t="shared" si="64"/>
        <v>128.41733338503468</v>
      </c>
      <c r="P283" s="19">
        <f t="shared" si="65"/>
        <v>0</v>
      </c>
      <c r="Q283" s="19">
        <f t="shared" si="65"/>
        <v>0</v>
      </c>
      <c r="R283" s="19">
        <f t="shared" si="66"/>
        <v>0</v>
      </c>
      <c r="S283" s="19">
        <f t="shared" si="66"/>
        <v>0</v>
      </c>
      <c r="T283" s="19">
        <f t="shared" si="66"/>
        <v>0</v>
      </c>
      <c r="U283" s="19">
        <f t="shared" si="66"/>
        <v>0</v>
      </c>
      <c r="V283" s="19">
        <f t="shared" si="67"/>
        <v>0</v>
      </c>
      <c r="W283" s="19">
        <f t="shared" si="67"/>
        <v>0</v>
      </c>
    </row>
    <row r="284" spans="1:23" x14ac:dyDescent="0.2">
      <c r="A284">
        <v>11</v>
      </c>
      <c r="B284" s="1">
        <v>36892</v>
      </c>
      <c r="D284" s="19">
        <f t="shared" si="60"/>
        <v>44.671387253855528</v>
      </c>
      <c r="E284" s="19">
        <f t="shared" si="60"/>
        <v>41.977151727505543</v>
      </c>
      <c r="F284" s="19">
        <f t="shared" si="61"/>
        <v>90.563444924372106</v>
      </c>
      <c r="G284" s="19">
        <f t="shared" si="61"/>
        <v>90.563444924372106</v>
      </c>
      <c r="H284" s="19">
        <f t="shared" si="62"/>
        <v>113.88508348001051</v>
      </c>
      <c r="I284" s="19">
        <f t="shared" si="62"/>
        <v>113.88508348001051</v>
      </c>
      <c r="J284" s="19">
        <f t="shared" si="63"/>
        <v>105.49664290798751</v>
      </c>
      <c r="K284" s="19">
        <f t="shared" si="63"/>
        <v>105.49664290798751</v>
      </c>
      <c r="L284" s="19">
        <f t="shared" si="63"/>
        <v>105.49664290798751</v>
      </c>
      <c r="M284" s="19">
        <f t="shared" si="63"/>
        <v>105.49664290798751</v>
      </c>
      <c r="N284" s="19">
        <f t="shared" si="64"/>
        <v>120.49892624340464</v>
      </c>
      <c r="O284" s="19">
        <f t="shared" si="64"/>
        <v>120.49892624340464</v>
      </c>
      <c r="P284" s="19">
        <f t="shared" si="65"/>
        <v>0</v>
      </c>
      <c r="Q284" s="19">
        <f t="shared" si="65"/>
        <v>0</v>
      </c>
      <c r="R284" s="19">
        <f t="shared" si="66"/>
        <v>0</v>
      </c>
      <c r="S284" s="19">
        <f t="shared" si="66"/>
        <v>0</v>
      </c>
      <c r="T284" s="19">
        <f t="shared" si="66"/>
        <v>0</v>
      </c>
      <c r="U284" s="19">
        <f t="shared" si="66"/>
        <v>0</v>
      </c>
      <c r="V284" s="19">
        <f t="shared" si="67"/>
        <v>0</v>
      </c>
      <c r="W284" s="19">
        <f t="shared" si="67"/>
        <v>0</v>
      </c>
    </row>
    <row r="285" spans="1:23" x14ac:dyDescent="0.2">
      <c r="A285">
        <v>12</v>
      </c>
      <c r="B285" s="1">
        <v>36923</v>
      </c>
      <c r="D285" s="19">
        <f t="shared" si="60"/>
        <v>33.4037929794506</v>
      </c>
      <c r="E285" s="19">
        <f t="shared" si="60"/>
        <v>31.389132336640387</v>
      </c>
      <c r="F285" s="19">
        <f t="shared" si="61"/>
        <v>79.006160289811305</v>
      </c>
      <c r="G285" s="19">
        <f t="shared" si="61"/>
        <v>79.006160289811305</v>
      </c>
      <c r="H285" s="19">
        <f t="shared" si="62"/>
        <v>102.18961579089</v>
      </c>
      <c r="I285" s="19">
        <f t="shared" si="62"/>
        <v>102.18961579089</v>
      </c>
      <c r="J285" s="19">
        <f t="shared" si="63"/>
        <v>97.666642358430181</v>
      </c>
      <c r="K285" s="19">
        <f t="shared" si="63"/>
        <v>97.666642358430181</v>
      </c>
      <c r="L285" s="19">
        <f t="shared" si="63"/>
        <v>97.666642358430181</v>
      </c>
      <c r="M285" s="19">
        <f t="shared" si="63"/>
        <v>97.666642358430181</v>
      </c>
      <c r="N285" s="19">
        <f t="shared" si="64"/>
        <v>112.62743646066701</v>
      </c>
      <c r="O285" s="19">
        <f t="shared" si="64"/>
        <v>112.62743646066701</v>
      </c>
      <c r="P285" s="19">
        <f t="shared" si="65"/>
        <v>0</v>
      </c>
      <c r="Q285" s="19">
        <f t="shared" si="65"/>
        <v>0</v>
      </c>
      <c r="R285" s="19">
        <f t="shared" si="66"/>
        <v>0</v>
      </c>
      <c r="S285" s="19">
        <f t="shared" si="66"/>
        <v>0</v>
      </c>
      <c r="T285" s="19">
        <f t="shared" si="66"/>
        <v>0</v>
      </c>
      <c r="U285" s="19">
        <f t="shared" si="66"/>
        <v>0</v>
      </c>
      <c r="V285" s="19">
        <f t="shared" si="67"/>
        <v>0</v>
      </c>
      <c r="W285" s="19">
        <f t="shared" si="67"/>
        <v>0</v>
      </c>
    </row>
    <row r="286" spans="1:23" x14ac:dyDescent="0.2">
      <c r="A286">
        <v>13</v>
      </c>
      <c r="B286" s="1">
        <v>36951</v>
      </c>
      <c r="D286" s="19">
        <f t="shared" si="60"/>
        <v>100.91167755746574</v>
      </c>
      <c r="E286" s="19">
        <f t="shared" si="60"/>
        <v>94.837846728178192</v>
      </c>
      <c r="F286" s="19">
        <f t="shared" si="61"/>
        <v>67.517353729353317</v>
      </c>
      <c r="G286" s="19">
        <f t="shared" si="61"/>
        <v>67.517353729353317</v>
      </c>
      <c r="H286" s="19">
        <f t="shared" si="62"/>
        <v>90.563444924372106</v>
      </c>
      <c r="I286" s="19">
        <f t="shared" si="62"/>
        <v>90.563444924372106</v>
      </c>
      <c r="J286" s="19">
        <f t="shared" si="63"/>
        <v>89.883035349814008</v>
      </c>
      <c r="K286" s="19">
        <f t="shared" si="63"/>
        <v>89.883035349814008</v>
      </c>
      <c r="L286" s="19">
        <f t="shared" si="63"/>
        <v>89.883035349814008</v>
      </c>
      <c r="M286" s="19">
        <f t="shared" si="63"/>
        <v>89.883035349814008</v>
      </c>
      <c r="N286" s="19">
        <f t="shared" si="64"/>
        <v>104.80258604675078</v>
      </c>
      <c r="O286" s="19">
        <f t="shared" si="64"/>
        <v>104.80258604675078</v>
      </c>
      <c r="P286" s="19">
        <f t="shared" si="65"/>
        <v>0</v>
      </c>
      <c r="Q286" s="19">
        <f t="shared" si="65"/>
        <v>0</v>
      </c>
      <c r="R286" s="19">
        <f t="shared" si="66"/>
        <v>0</v>
      </c>
      <c r="S286" s="19">
        <f t="shared" si="66"/>
        <v>0</v>
      </c>
      <c r="T286" s="19">
        <f t="shared" si="66"/>
        <v>0</v>
      </c>
      <c r="U286" s="19">
        <f t="shared" si="66"/>
        <v>0</v>
      </c>
      <c r="V286" s="19">
        <f t="shared" si="67"/>
        <v>0</v>
      </c>
      <c r="W286" s="19">
        <f t="shared" si="67"/>
        <v>0</v>
      </c>
    </row>
    <row r="287" spans="1:23" x14ac:dyDescent="0.2">
      <c r="A287">
        <v>14</v>
      </c>
      <c r="B287" s="1">
        <v>36982</v>
      </c>
      <c r="F287" s="19">
        <f t="shared" si="61"/>
        <v>56.096619503520742</v>
      </c>
      <c r="G287" s="19">
        <f t="shared" si="61"/>
        <v>56.096619503520742</v>
      </c>
      <c r="H287" s="19">
        <f t="shared" si="62"/>
        <v>79.006160289811305</v>
      </c>
      <c r="I287" s="19">
        <f t="shared" si="62"/>
        <v>79.006160289811305</v>
      </c>
      <c r="J287" s="19">
        <f t="shared" si="63"/>
        <v>82.145546995741142</v>
      </c>
      <c r="K287" s="19">
        <f t="shared" si="63"/>
        <v>82.145546995741142</v>
      </c>
      <c r="L287" s="19">
        <f t="shared" si="63"/>
        <v>82.145546995741142</v>
      </c>
      <c r="M287" s="19">
        <f t="shared" si="63"/>
        <v>82.145546995741142</v>
      </c>
      <c r="N287" s="19">
        <f t="shared" si="64"/>
        <v>97.024098658703679</v>
      </c>
      <c r="O287" s="19">
        <f t="shared" si="64"/>
        <v>97.024098658703679</v>
      </c>
      <c r="P287" s="19">
        <f t="shared" si="65"/>
        <v>0</v>
      </c>
      <c r="Q287" s="19">
        <f t="shared" si="65"/>
        <v>0</v>
      </c>
      <c r="R287" s="19">
        <f t="shared" si="66"/>
        <v>0</v>
      </c>
      <c r="S287" s="19">
        <f t="shared" si="66"/>
        <v>0</v>
      </c>
      <c r="T287" s="19">
        <f t="shared" si="66"/>
        <v>0</v>
      </c>
      <c r="U287" s="19">
        <f t="shared" si="66"/>
        <v>0</v>
      </c>
      <c r="V287" s="19">
        <f t="shared" si="67"/>
        <v>0</v>
      </c>
      <c r="W287" s="19">
        <f t="shared" si="67"/>
        <v>0</v>
      </c>
    </row>
    <row r="288" spans="1:23" x14ac:dyDescent="0.2">
      <c r="A288">
        <v>15</v>
      </c>
      <c r="B288" s="1">
        <v>37012</v>
      </c>
      <c r="F288" s="19">
        <f t="shared" si="61"/>
        <v>44.743554276882833</v>
      </c>
      <c r="G288" s="19">
        <f t="shared" si="61"/>
        <v>44.743554276882833</v>
      </c>
      <c r="H288" s="19">
        <f t="shared" si="62"/>
        <v>67.517353729353317</v>
      </c>
      <c r="I288" s="19">
        <f t="shared" si="62"/>
        <v>67.517353729353317</v>
      </c>
      <c r="J288" s="19">
        <f t="shared" si="63"/>
        <v>74.453904038544579</v>
      </c>
      <c r="K288" s="19">
        <f t="shared" si="63"/>
        <v>74.453904038544579</v>
      </c>
      <c r="L288" s="19">
        <f t="shared" si="63"/>
        <v>74.453904038544579</v>
      </c>
      <c r="M288" s="19">
        <f t="shared" si="63"/>
        <v>74.453904038544579</v>
      </c>
      <c r="N288" s="19">
        <f t="shared" si="64"/>
        <v>89.291699590933604</v>
      </c>
      <c r="O288" s="19">
        <f t="shared" si="64"/>
        <v>89.291699590933604</v>
      </c>
      <c r="P288" s="19">
        <f t="shared" si="65"/>
        <v>144.39601999981664</v>
      </c>
      <c r="Q288" s="19">
        <f t="shared" si="65"/>
        <v>144.39601999981664</v>
      </c>
      <c r="R288" s="19">
        <f t="shared" si="66"/>
        <v>0</v>
      </c>
      <c r="S288" s="19">
        <f t="shared" si="66"/>
        <v>0</v>
      </c>
      <c r="T288" s="19">
        <f t="shared" si="66"/>
        <v>0</v>
      </c>
      <c r="U288" s="19">
        <f t="shared" si="66"/>
        <v>0</v>
      </c>
      <c r="V288" s="19">
        <f t="shared" si="67"/>
        <v>0</v>
      </c>
      <c r="W288" s="19">
        <f t="shared" si="67"/>
        <v>0</v>
      </c>
    </row>
    <row r="289" spans="1:23" x14ac:dyDescent="0.2">
      <c r="A289">
        <v>16</v>
      </c>
      <c r="B289" s="1">
        <v>37043</v>
      </c>
      <c r="F289" s="19">
        <f t="shared" si="61"/>
        <v>33.457757103811673</v>
      </c>
      <c r="G289" s="19">
        <f t="shared" si="61"/>
        <v>33.457757103811673</v>
      </c>
      <c r="H289" s="19">
        <f t="shared" si="62"/>
        <v>56.096619503520742</v>
      </c>
      <c r="I289" s="19">
        <f t="shared" si="62"/>
        <v>56.096619503520742</v>
      </c>
      <c r="J289" s="19">
        <f t="shared" si="63"/>
        <v>66.807834839635689</v>
      </c>
      <c r="K289" s="19">
        <f t="shared" si="63"/>
        <v>66.807834839635689</v>
      </c>
      <c r="L289" s="19">
        <f t="shared" si="63"/>
        <v>66.807834839635689</v>
      </c>
      <c r="M289" s="19">
        <f t="shared" si="63"/>
        <v>66.807834839635689</v>
      </c>
      <c r="N289" s="19">
        <f t="shared" si="64"/>
        <v>81.605115765506071</v>
      </c>
      <c r="O289" s="19">
        <f t="shared" si="64"/>
        <v>81.605115765506071</v>
      </c>
      <c r="P289" s="19">
        <f t="shared" si="65"/>
        <v>136.38293753256494</v>
      </c>
      <c r="Q289" s="19">
        <f t="shared" si="65"/>
        <v>136.38293753256494</v>
      </c>
      <c r="R289" s="19">
        <f t="shared" si="66"/>
        <v>0</v>
      </c>
      <c r="S289" s="19">
        <f t="shared" si="66"/>
        <v>0</v>
      </c>
      <c r="T289" s="19">
        <f t="shared" si="66"/>
        <v>79.509788228257548</v>
      </c>
      <c r="U289" s="19">
        <f t="shared" si="66"/>
        <v>79.509788228257548</v>
      </c>
      <c r="V289" s="19">
        <f t="shared" si="67"/>
        <v>0</v>
      </c>
      <c r="W289" s="19">
        <f t="shared" si="67"/>
        <v>0</v>
      </c>
    </row>
    <row r="290" spans="1:23" x14ac:dyDescent="0.2">
      <c r="A290">
        <v>17</v>
      </c>
      <c r="B290" s="1">
        <v>37073</v>
      </c>
      <c r="F290" s="19">
        <f t="shared" si="61"/>
        <v>101.07906659606851</v>
      </c>
      <c r="G290" s="19">
        <f t="shared" si="61"/>
        <v>101.07906659606851</v>
      </c>
      <c r="H290" s="19">
        <f t="shared" si="62"/>
        <v>44.743554276882833</v>
      </c>
      <c r="I290" s="19">
        <f t="shared" si="62"/>
        <v>44.743554276882833</v>
      </c>
      <c r="J290" s="19">
        <f t="shared" si="63"/>
        <v>59.207069369912006</v>
      </c>
      <c r="K290" s="19">
        <f t="shared" si="63"/>
        <v>59.207069369912006</v>
      </c>
      <c r="L290" s="19">
        <f t="shared" si="63"/>
        <v>59.207069369912006</v>
      </c>
      <c r="M290" s="19">
        <f t="shared" si="63"/>
        <v>59.207069369912006</v>
      </c>
      <c r="N290" s="19">
        <f t="shared" si="64"/>
        <v>73.964075722501548</v>
      </c>
      <c r="O290" s="19">
        <f t="shared" si="64"/>
        <v>73.964075722501548</v>
      </c>
      <c r="P290" s="19">
        <f t="shared" si="65"/>
        <v>128.41733338503468</v>
      </c>
      <c r="Q290" s="19">
        <f t="shared" si="65"/>
        <v>128.41733338503468</v>
      </c>
      <c r="R290" s="19">
        <f t="shared" si="66"/>
        <v>150.61174271504046</v>
      </c>
      <c r="S290" s="19">
        <f t="shared" si="66"/>
        <v>150.61174271504046</v>
      </c>
      <c r="T290" s="19">
        <f t="shared" si="66"/>
        <v>150.61174271504046</v>
      </c>
      <c r="U290" s="19">
        <f t="shared" si="66"/>
        <v>150.61174271504046</v>
      </c>
      <c r="V290" s="19">
        <f t="shared" si="67"/>
        <v>0</v>
      </c>
      <c r="W290" s="19">
        <f t="shared" si="67"/>
        <v>0</v>
      </c>
    </row>
    <row r="291" spans="1:23" x14ac:dyDescent="0.2">
      <c r="A291">
        <v>18</v>
      </c>
      <c r="B291" s="1">
        <v>37104</v>
      </c>
      <c r="H291" s="19">
        <f t="shared" si="62"/>
        <v>33.457757103811673</v>
      </c>
      <c r="I291" s="19">
        <f t="shared" si="62"/>
        <v>33.457757103811673</v>
      </c>
      <c r="J291" s="19">
        <f t="shared" si="63"/>
        <v>51.651339200220718</v>
      </c>
      <c r="K291" s="19">
        <f t="shared" si="63"/>
        <v>51.651339200220718</v>
      </c>
      <c r="L291" s="19">
        <f t="shared" si="63"/>
        <v>51.651339200220718</v>
      </c>
      <c r="M291" s="19">
        <f t="shared" si="63"/>
        <v>51.651339200220718</v>
      </c>
      <c r="N291" s="19">
        <f t="shared" si="64"/>
        <v>66.368309610427559</v>
      </c>
      <c r="O291" s="19">
        <f t="shared" si="64"/>
        <v>66.368309610427559</v>
      </c>
      <c r="P291" s="19">
        <f t="shared" si="65"/>
        <v>120.49892624340464</v>
      </c>
      <c r="Q291" s="19">
        <f t="shared" si="65"/>
        <v>120.49892624340464</v>
      </c>
      <c r="R291" s="19">
        <f t="shared" si="66"/>
        <v>142.25372623429803</v>
      </c>
      <c r="S291" s="19">
        <f t="shared" si="66"/>
        <v>142.25372623429803</v>
      </c>
      <c r="T291" s="19">
        <f t="shared" si="66"/>
        <v>142.25372623429803</v>
      </c>
      <c r="U291" s="19">
        <f t="shared" si="66"/>
        <v>142.25372623429803</v>
      </c>
      <c r="V291" s="19">
        <f t="shared" si="67"/>
        <v>0</v>
      </c>
      <c r="W291" s="19">
        <f t="shared" si="67"/>
        <v>0</v>
      </c>
    </row>
    <row r="292" spans="1:23" x14ac:dyDescent="0.2">
      <c r="A292">
        <v>19</v>
      </c>
      <c r="B292" s="1">
        <v>37135</v>
      </c>
      <c r="H292" s="19">
        <f t="shared" si="62"/>
        <v>101.07906659606851</v>
      </c>
      <c r="I292" s="19">
        <f t="shared" si="62"/>
        <v>101.07906659606851</v>
      </c>
      <c r="J292" s="19">
        <f t="shared" si="63"/>
        <v>44.140377491878326</v>
      </c>
      <c r="K292" s="19">
        <f t="shared" si="63"/>
        <v>44.140377491878326</v>
      </c>
      <c r="L292" s="19">
        <f t="shared" si="63"/>
        <v>44.140377491878326</v>
      </c>
      <c r="M292" s="19">
        <f t="shared" si="63"/>
        <v>44.140377491878326</v>
      </c>
      <c r="N292" s="19">
        <f t="shared" si="64"/>
        <v>58.817549176688999</v>
      </c>
      <c r="O292" s="19">
        <f t="shared" si="64"/>
        <v>58.817549176688999</v>
      </c>
      <c r="P292" s="19">
        <f t="shared" si="65"/>
        <v>112.62743646066701</v>
      </c>
      <c r="Q292" s="19">
        <f t="shared" si="65"/>
        <v>112.62743646066701</v>
      </c>
      <c r="R292" s="19">
        <f t="shared" si="66"/>
        <v>133.94523184200625</v>
      </c>
      <c r="S292" s="19">
        <f t="shared" si="66"/>
        <v>133.94523184200625</v>
      </c>
      <c r="T292" s="19">
        <f t="shared" si="66"/>
        <v>133.94523184200625</v>
      </c>
      <c r="U292" s="19">
        <f t="shared" si="66"/>
        <v>133.94523184200625</v>
      </c>
      <c r="V292" s="19">
        <f t="shared" si="67"/>
        <v>0</v>
      </c>
      <c r="W292" s="19">
        <f t="shared" si="67"/>
        <v>0</v>
      </c>
    </row>
    <row r="293" spans="1:23" x14ac:dyDescent="0.2">
      <c r="A293">
        <v>20</v>
      </c>
      <c r="B293" s="1">
        <v>37165</v>
      </c>
      <c r="J293" s="19">
        <f t="shared" si="63"/>
        <v>36.673918987248044</v>
      </c>
      <c r="K293" s="19">
        <f t="shared" si="63"/>
        <v>36.673918987248044</v>
      </c>
      <c r="L293" s="19">
        <f t="shared" si="63"/>
        <v>36.673918987248044</v>
      </c>
      <c r="M293" s="19">
        <f t="shared" si="63"/>
        <v>36.673918987248044</v>
      </c>
      <c r="N293" s="19">
        <f t="shared" si="64"/>
        <v>51.311527758113925</v>
      </c>
      <c r="O293" s="19">
        <f t="shared" si="64"/>
        <v>51.311527758113925</v>
      </c>
      <c r="P293" s="19">
        <f t="shared" si="65"/>
        <v>104.80258604675078</v>
      </c>
      <c r="Q293" s="19">
        <f t="shared" si="65"/>
        <v>104.80258604675078</v>
      </c>
      <c r="R293" s="19">
        <f t="shared" si="66"/>
        <v>125.68596611480939</v>
      </c>
      <c r="S293" s="19">
        <f t="shared" si="66"/>
        <v>125.68596611480939</v>
      </c>
      <c r="T293" s="19">
        <f t="shared" si="66"/>
        <v>125.68596611480939</v>
      </c>
      <c r="U293" s="19">
        <f t="shared" si="66"/>
        <v>125.68596611480939</v>
      </c>
      <c r="V293" s="19">
        <f t="shared" si="67"/>
        <v>149.4164114236512</v>
      </c>
      <c r="W293" s="19">
        <f t="shared" si="67"/>
        <v>149.4164114236512</v>
      </c>
    </row>
    <row r="294" spans="1:23" x14ac:dyDescent="0.2">
      <c r="A294">
        <v>21</v>
      </c>
      <c r="B294" s="1">
        <v>37196</v>
      </c>
      <c r="J294" s="19">
        <f t="shared" si="63"/>
        <v>29.251700000370647</v>
      </c>
      <c r="K294" s="19">
        <f t="shared" si="63"/>
        <v>29.251700000370647</v>
      </c>
      <c r="L294" s="19">
        <f t="shared" si="63"/>
        <v>29.251700000370647</v>
      </c>
      <c r="M294" s="19">
        <f t="shared" si="63"/>
        <v>29.251700000370647</v>
      </c>
      <c r="N294" s="19">
        <f t="shared" si="64"/>
        <v>43.849980271537106</v>
      </c>
      <c r="O294" s="19">
        <f t="shared" si="64"/>
        <v>43.849980271537106</v>
      </c>
      <c r="P294" s="19">
        <f t="shared" si="65"/>
        <v>97.024098658703679</v>
      </c>
      <c r="Q294" s="19">
        <f t="shared" si="65"/>
        <v>97.024098658703679</v>
      </c>
      <c r="R294" s="19">
        <f t="shared" ref="R294:U307" si="68">((R71*$G$16)*(1+$M$14/12)^($A$85-$A71+1))-(R71*$G$16)</f>
        <v>117.47563736791426</v>
      </c>
      <c r="S294" s="19">
        <f t="shared" si="68"/>
        <v>117.47563736791426</v>
      </c>
      <c r="T294" s="19">
        <f t="shared" si="68"/>
        <v>117.47563736791426</v>
      </c>
      <c r="U294" s="19">
        <f t="shared" si="68"/>
        <v>117.47563736791426</v>
      </c>
      <c r="V294" s="19">
        <f t="shared" ref="V294:W310" si="69">((V71*$G$16)*(1+$M$14/12)^($A$88-$A71+1))-(V71*$G$16)</f>
        <v>141.12472840704163</v>
      </c>
      <c r="W294" s="19">
        <f t="shared" si="69"/>
        <v>141.12472840704163</v>
      </c>
    </row>
    <row r="295" spans="1:23" x14ac:dyDescent="0.2">
      <c r="A295">
        <v>22</v>
      </c>
      <c r="B295" s="1">
        <v>37226</v>
      </c>
      <c r="J295" s="19">
        <f t="shared" si="63"/>
        <v>25.003377620590527</v>
      </c>
      <c r="K295" s="19">
        <f t="shared" si="63"/>
        <v>25.003377620590527</v>
      </c>
      <c r="L295" s="19">
        <f t="shared" si="63"/>
        <v>25.003377620590527</v>
      </c>
      <c r="M295" s="19">
        <f t="shared" si="63"/>
        <v>25.003377620590527</v>
      </c>
      <c r="N295" s="19">
        <f t="shared" si="64"/>
        <v>36.432643204437227</v>
      </c>
      <c r="O295" s="19">
        <f t="shared" si="64"/>
        <v>36.432643204437227</v>
      </c>
      <c r="P295" s="19">
        <f t="shared" si="65"/>
        <v>89.291699590933604</v>
      </c>
      <c r="Q295" s="19">
        <f t="shared" si="65"/>
        <v>89.291699590933604</v>
      </c>
      <c r="R295" s="19">
        <f t="shared" si="68"/>
        <v>109.31395564478976</v>
      </c>
      <c r="S295" s="19">
        <f t="shared" si="68"/>
        <v>109.31395564478976</v>
      </c>
      <c r="T295" s="19">
        <f t="shared" si="68"/>
        <v>109.31395564478976</v>
      </c>
      <c r="U295" s="19">
        <f t="shared" si="68"/>
        <v>109.31395564478976</v>
      </c>
      <c r="V295" s="19">
        <f t="shared" si="69"/>
        <v>132.88217444643487</v>
      </c>
      <c r="W295" s="19">
        <f t="shared" si="69"/>
        <v>132.88217444643487</v>
      </c>
    </row>
    <row r="296" spans="1:23" x14ac:dyDescent="0.2">
      <c r="A296">
        <v>23</v>
      </c>
      <c r="B296" s="1">
        <v>37257</v>
      </c>
      <c r="J296" s="19">
        <f t="shared" si="63"/>
        <v>103.8409857330098</v>
      </c>
      <c r="K296" s="19">
        <f t="shared" si="63"/>
        <v>103.8409857330098</v>
      </c>
      <c r="L296" s="19">
        <f t="shared" si="63"/>
        <v>103.8409857330098</v>
      </c>
      <c r="M296" s="19">
        <f t="shared" si="63"/>
        <v>103.8409857330098</v>
      </c>
      <c r="N296" s="19">
        <f t="shared" si="64"/>
        <v>29.059254605631395</v>
      </c>
      <c r="O296" s="19">
        <f t="shared" si="64"/>
        <v>29.059254605631395</v>
      </c>
      <c r="P296" s="19">
        <f t="shared" si="65"/>
        <v>81.605115765506071</v>
      </c>
      <c r="Q296" s="19">
        <f t="shared" si="65"/>
        <v>81.605115765506071</v>
      </c>
      <c r="R296" s="19">
        <f t="shared" si="68"/>
        <v>101.20063270692617</v>
      </c>
      <c r="S296" s="19">
        <f t="shared" si="68"/>
        <v>101.20063270692617</v>
      </c>
      <c r="T296" s="19">
        <f t="shared" si="68"/>
        <v>101.20063270692617</v>
      </c>
      <c r="U296" s="19">
        <f t="shared" si="68"/>
        <v>101.20063270692617</v>
      </c>
      <c r="V296" s="19">
        <f t="shared" si="69"/>
        <v>124.6884584472316</v>
      </c>
      <c r="W296" s="19">
        <f t="shared" si="69"/>
        <v>124.6884584472316</v>
      </c>
    </row>
    <row r="297" spans="1:23" x14ac:dyDescent="0.2">
      <c r="A297">
        <v>24</v>
      </c>
      <c r="B297" s="1">
        <v>37288</v>
      </c>
      <c r="N297" s="19">
        <f t="shared" si="64"/>
        <v>24.823497206053844</v>
      </c>
      <c r="O297" s="19">
        <f t="shared" si="64"/>
        <v>24.823497206053844</v>
      </c>
      <c r="P297" s="19">
        <f t="shared" si="65"/>
        <v>73.964075722501548</v>
      </c>
      <c r="Q297" s="19">
        <f t="shared" si="65"/>
        <v>73.964075722501548</v>
      </c>
      <c r="R297" s="19">
        <f t="shared" si="68"/>
        <v>93.135382023655893</v>
      </c>
      <c r="S297" s="19">
        <f t="shared" si="68"/>
        <v>93.135382023655893</v>
      </c>
      <c r="T297" s="19">
        <f t="shared" si="68"/>
        <v>93.135382023655893</v>
      </c>
      <c r="U297" s="19">
        <f t="shared" si="68"/>
        <v>93.135382023655893</v>
      </c>
      <c r="V297" s="19">
        <f t="shared" si="69"/>
        <v>116.54329103959753</v>
      </c>
      <c r="W297" s="19">
        <f t="shared" si="69"/>
        <v>116.54329103959753</v>
      </c>
    </row>
    <row r="298" spans="1:23" x14ac:dyDescent="0.2">
      <c r="A298">
        <v>25</v>
      </c>
      <c r="B298" s="1">
        <v>37316</v>
      </c>
      <c r="N298" s="19">
        <f t="shared" si="64"/>
        <v>103.12360413899842</v>
      </c>
      <c r="O298" s="19">
        <f t="shared" si="64"/>
        <v>103.12360413899842</v>
      </c>
      <c r="P298" s="19">
        <f t="shared" si="65"/>
        <v>66.368309610427559</v>
      </c>
      <c r="Q298" s="19">
        <f t="shared" si="65"/>
        <v>66.368309610427559</v>
      </c>
      <c r="R298" s="19">
        <f t="shared" si="68"/>
        <v>85.117918762034378</v>
      </c>
      <c r="S298" s="19">
        <f t="shared" si="68"/>
        <v>85.117918762034378</v>
      </c>
      <c r="T298" s="19">
        <f t="shared" si="68"/>
        <v>85.117918762034378</v>
      </c>
      <c r="U298" s="19">
        <f t="shared" si="68"/>
        <v>85.117918762034378</v>
      </c>
      <c r="V298" s="19">
        <f t="shared" si="69"/>
        <v>108.44638456824373</v>
      </c>
      <c r="W298" s="19">
        <f t="shared" si="69"/>
        <v>108.44638456824373</v>
      </c>
    </row>
    <row r="299" spans="1:23" x14ac:dyDescent="0.2">
      <c r="A299">
        <v>26</v>
      </c>
      <c r="B299" s="1">
        <v>37347</v>
      </c>
      <c r="P299" s="19">
        <f t="shared" si="65"/>
        <v>58.817549176688999</v>
      </c>
      <c r="Q299" s="19">
        <f t="shared" si="65"/>
        <v>58.817549176688999</v>
      </c>
      <c r="R299" s="19">
        <f t="shared" si="68"/>
        <v>77.147959776781363</v>
      </c>
      <c r="S299" s="19">
        <f t="shared" si="68"/>
        <v>77.147959776781363</v>
      </c>
      <c r="T299" s="19">
        <f t="shared" si="68"/>
        <v>77.147959776781363</v>
      </c>
      <c r="U299" s="19">
        <f t="shared" si="68"/>
        <v>77.147959776781363</v>
      </c>
      <c r="V299" s="19">
        <f t="shared" si="69"/>
        <v>100.39745308226793</v>
      </c>
      <c r="W299" s="19">
        <f t="shared" si="69"/>
        <v>100.39745308226793</v>
      </c>
    </row>
    <row r="300" spans="1:23" x14ac:dyDescent="0.2">
      <c r="A300">
        <v>27</v>
      </c>
      <c r="B300" s="1">
        <v>37377</v>
      </c>
      <c r="P300" s="19">
        <f t="shared" si="65"/>
        <v>51.311527758113925</v>
      </c>
      <c r="Q300" s="19">
        <f t="shared" si="65"/>
        <v>51.311527758113925</v>
      </c>
      <c r="R300" s="19">
        <f t="shared" si="68"/>
        <v>69.225223600280515</v>
      </c>
      <c r="S300" s="19">
        <f t="shared" si="68"/>
        <v>69.225223600280515</v>
      </c>
      <c r="T300" s="19">
        <f t="shared" si="68"/>
        <v>69.225223600280515</v>
      </c>
      <c r="U300" s="19">
        <f t="shared" si="68"/>
        <v>69.225223600280515</v>
      </c>
      <c r="V300" s="19">
        <f t="shared" si="69"/>
        <v>92.396212325055558</v>
      </c>
      <c r="W300" s="19">
        <f t="shared" si="69"/>
        <v>92.396212325055558</v>
      </c>
    </row>
    <row r="301" spans="1:23" x14ac:dyDescent="0.2">
      <c r="A301">
        <v>28</v>
      </c>
      <c r="B301" s="1">
        <v>37408</v>
      </c>
      <c r="P301" s="19">
        <f t="shared" si="65"/>
        <v>43.849980271537106</v>
      </c>
      <c r="Q301" s="19">
        <f t="shared" si="65"/>
        <v>43.849980271537106</v>
      </c>
      <c r="R301" s="19">
        <f t="shared" si="68"/>
        <v>61.34943043263911</v>
      </c>
      <c r="S301" s="19">
        <f t="shared" si="68"/>
        <v>61.34943043263911</v>
      </c>
      <c r="T301" s="19">
        <f t="shared" si="68"/>
        <v>61.34943043263911</v>
      </c>
      <c r="U301" s="19">
        <f t="shared" si="68"/>
        <v>61.34943043263911</v>
      </c>
      <c r="V301" s="19">
        <f t="shared" si="69"/>
        <v>84.442379724240482</v>
      </c>
      <c r="W301" s="19">
        <f t="shared" si="69"/>
        <v>84.442379724240482</v>
      </c>
    </row>
    <row r="302" spans="1:23" x14ac:dyDescent="0.2">
      <c r="A302">
        <v>29</v>
      </c>
      <c r="B302" s="1">
        <v>37438</v>
      </c>
      <c r="P302" s="19">
        <f t="shared" si="65"/>
        <v>36.432643204437227</v>
      </c>
      <c r="Q302" s="19">
        <f t="shared" si="65"/>
        <v>36.432643204437227</v>
      </c>
      <c r="R302" s="19">
        <f t="shared" si="68"/>
        <v>53.520302131807512</v>
      </c>
      <c r="S302" s="19">
        <f t="shared" si="68"/>
        <v>53.520302131807512</v>
      </c>
      <c r="T302" s="19">
        <f t="shared" si="68"/>
        <v>53.520302131807512</v>
      </c>
      <c r="U302" s="19">
        <f t="shared" si="68"/>
        <v>53.520302131807512</v>
      </c>
      <c r="V302" s="19">
        <f t="shared" si="69"/>
        <v>76.535674381727404</v>
      </c>
      <c r="W302" s="19">
        <f t="shared" si="69"/>
        <v>76.535674381727404</v>
      </c>
    </row>
    <row r="303" spans="1:23" x14ac:dyDescent="0.2">
      <c r="A303">
        <v>30</v>
      </c>
      <c r="B303" s="1">
        <v>37469</v>
      </c>
      <c r="P303" s="19">
        <f t="shared" si="65"/>
        <v>29.059254605631395</v>
      </c>
      <c r="Q303" s="19">
        <f t="shared" si="65"/>
        <v>29.059254605631395</v>
      </c>
      <c r="R303" s="19">
        <f t="shared" si="68"/>
        <v>45.737562203755488</v>
      </c>
      <c r="S303" s="19">
        <f t="shared" si="68"/>
        <v>45.737562203755488</v>
      </c>
      <c r="T303" s="19">
        <f t="shared" si="68"/>
        <v>45.737562203755488</v>
      </c>
      <c r="U303" s="19">
        <f t="shared" si="68"/>
        <v>45.737562203755488</v>
      </c>
      <c r="V303" s="19">
        <f t="shared" si="69"/>
        <v>68.675817063770182</v>
      </c>
      <c r="W303" s="19">
        <f t="shared" si="69"/>
        <v>68.675817063770182</v>
      </c>
    </row>
    <row r="304" spans="1:23" x14ac:dyDescent="0.2">
      <c r="A304">
        <v>31</v>
      </c>
      <c r="B304" s="1">
        <v>37500</v>
      </c>
      <c r="P304" s="19">
        <f t="shared" si="65"/>
        <v>24.823497206053844</v>
      </c>
      <c r="Q304" s="19">
        <f t="shared" si="65"/>
        <v>24.823497206053844</v>
      </c>
      <c r="R304" s="19">
        <f t="shared" si="68"/>
        <v>38.000935792707651</v>
      </c>
      <c r="S304" s="19">
        <f t="shared" si="68"/>
        <v>38.000935792707651</v>
      </c>
      <c r="T304" s="19">
        <f t="shared" si="68"/>
        <v>38.000935792707651</v>
      </c>
      <c r="U304" s="19">
        <f t="shared" si="68"/>
        <v>38.000935792707651</v>
      </c>
      <c r="V304" s="19">
        <f t="shared" si="69"/>
        <v>60.862530191110409</v>
      </c>
      <c r="W304" s="19">
        <f t="shared" si="69"/>
        <v>60.862530191110409</v>
      </c>
    </row>
    <row r="305" spans="1:23" x14ac:dyDescent="0.2">
      <c r="A305">
        <v>32</v>
      </c>
      <c r="B305" s="1">
        <v>37530</v>
      </c>
      <c r="P305" s="19">
        <f t="shared" si="65"/>
        <v>103.12360413899842</v>
      </c>
      <c r="Q305" s="19">
        <f t="shared" si="65"/>
        <v>103.12360413899842</v>
      </c>
      <c r="R305" s="19">
        <f t="shared" si="68"/>
        <v>30.310149671436648</v>
      </c>
      <c r="S305" s="19">
        <f t="shared" si="68"/>
        <v>30.310149671436648</v>
      </c>
      <c r="T305" s="19">
        <f t="shared" si="68"/>
        <v>32.475160362253519</v>
      </c>
      <c r="U305" s="19">
        <f t="shared" si="68"/>
        <v>32.475160362253519</v>
      </c>
      <c r="V305" s="19">
        <f t="shared" si="69"/>
        <v>53.095537829174191</v>
      </c>
      <c r="W305" s="19">
        <f t="shared" si="69"/>
        <v>53.095537829174191</v>
      </c>
    </row>
    <row r="306" spans="1:23" x14ac:dyDescent="0.2">
      <c r="A306">
        <v>33</v>
      </c>
      <c r="B306" s="1">
        <v>37561</v>
      </c>
      <c r="R306" s="19">
        <f t="shared" si="68"/>
        <v>25.902779693273487</v>
      </c>
      <c r="S306" s="19">
        <f t="shared" si="68"/>
        <v>25.902779693273487</v>
      </c>
      <c r="T306" s="19">
        <f t="shared" si="68"/>
        <v>93.897576388116249</v>
      </c>
      <c r="U306" s="19">
        <f t="shared" si="68"/>
        <v>93.897576388116249</v>
      </c>
      <c r="V306" s="19">
        <f t="shared" si="69"/>
        <v>45.374565678328963</v>
      </c>
      <c r="W306" s="19">
        <f t="shared" si="69"/>
        <v>45.374565678328963</v>
      </c>
    </row>
    <row r="307" spans="1:23" x14ac:dyDescent="0.2">
      <c r="A307">
        <v>34</v>
      </c>
      <c r="B307" s="1">
        <v>37591</v>
      </c>
      <c r="R307" s="19">
        <f t="shared" si="68"/>
        <v>107.60723910156412</v>
      </c>
      <c r="S307" s="19">
        <f t="shared" si="68"/>
        <v>107.60723910156412</v>
      </c>
      <c r="T307" s="19">
        <f t="shared" si="68"/>
        <v>64.564343460938289</v>
      </c>
      <c r="U307" s="19">
        <f t="shared" si="68"/>
        <v>64.564343460938289</v>
      </c>
      <c r="V307" s="19">
        <f t="shared" si="69"/>
        <v>37.699341064193959</v>
      </c>
      <c r="W307" s="19">
        <f t="shared" si="69"/>
        <v>37.699341064193959</v>
      </c>
    </row>
    <row r="308" spans="1:23" x14ac:dyDescent="0.2">
      <c r="A308">
        <v>35</v>
      </c>
      <c r="B308" s="1">
        <v>37622</v>
      </c>
      <c r="V308" s="19">
        <f t="shared" si="69"/>
        <v>30.069592928012526</v>
      </c>
      <c r="W308" s="19">
        <f t="shared" si="69"/>
        <v>30.069592928012526</v>
      </c>
    </row>
    <row r="309" spans="1:23" x14ac:dyDescent="0.2">
      <c r="A309">
        <v>36</v>
      </c>
      <c r="B309" s="1">
        <v>37653</v>
      </c>
      <c r="V309" s="19">
        <f t="shared" si="69"/>
        <v>25.68692319582965</v>
      </c>
      <c r="W309" s="19">
        <f t="shared" si="69"/>
        <v>25.68692319582965</v>
      </c>
    </row>
    <row r="310" spans="1:23" x14ac:dyDescent="0.2">
      <c r="A310">
        <v>37</v>
      </c>
      <c r="B310" s="1">
        <v>37681</v>
      </c>
      <c r="V310" s="19">
        <f t="shared" si="69"/>
        <v>106.71051210904989</v>
      </c>
      <c r="W310" s="19">
        <f t="shared" si="69"/>
        <v>106.71051210904989</v>
      </c>
    </row>
    <row r="311" spans="1:23" x14ac:dyDescent="0.2">
      <c r="A311">
        <v>38</v>
      </c>
      <c r="B311" s="1">
        <v>37712</v>
      </c>
    </row>
    <row r="312" spans="1:23" x14ac:dyDescent="0.2">
      <c r="A312">
        <v>39</v>
      </c>
      <c r="B312" s="1">
        <v>37742</v>
      </c>
    </row>
    <row r="313" spans="1:23" x14ac:dyDescent="0.2">
      <c r="A313">
        <v>40</v>
      </c>
      <c r="B313" s="1">
        <v>37773</v>
      </c>
    </row>
    <row r="314" spans="1:23" x14ac:dyDescent="0.2">
      <c r="A314">
        <v>41</v>
      </c>
      <c r="B314" s="1">
        <v>37803</v>
      </c>
    </row>
    <row r="315" spans="1:23" x14ac:dyDescent="0.2">
      <c r="A315">
        <v>42</v>
      </c>
      <c r="B315" s="1">
        <v>37834</v>
      </c>
    </row>
    <row r="316" spans="1:23" x14ac:dyDescent="0.2">
      <c r="A316">
        <v>43</v>
      </c>
      <c r="B316" s="1">
        <v>37865</v>
      </c>
    </row>
    <row r="317" spans="1:23" x14ac:dyDescent="0.2">
      <c r="A317">
        <v>44</v>
      </c>
      <c r="B317" s="1">
        <v>37895</v>
      </c>
    </row>
    <row r="318" spans="1:23" x14ac:dyDescent="0.2">
      <c r="A318">
        <v>45</v>
      </c>
      <c r="B318" s="1">
        <v>37926</v>
      </c>
    </row>
    <row r="319" spans="1:23" x14ac:dyDescent="0.2">
      <c r="A319">
        <v>46</v>
      </c>
      <c r="B319" s="1">
        <v>37956</v>
      </c>
    </row>
    <row r="320" spans="1:23" x14ac:dyDescent="0.2">
      <c r="B320" s="3" t="s">
        <v>34</v>
      </c>
      <c r="C320" s="3"/>
      <c r="D320" s="5">
        <f t="shared" ref="D320:W320" si="70">SUM(D274:D319)</f>
        <v>1245.7316175582378</v>
      </c>
      <c r="E320" s="5">
        <f t="shared" si="70"/>
        <v>1003.9224262101566</v>
      </c>
      <c r="F320" s="5">
        <f t="shared" si="70"/>
        <v>1256.1707017811807</v>
      </c>
      <c r="G320" s="5">
        <f t="shared" si="70"/>
        <v>1256.1707017811807</v>
      </c>
      <c r="H320" s="5">
        <f t="shared" si="70"/>
        <v>1267.2551607849027</v>
      </c>
      <c r="I320" s="5">
        <f t="shared" si="70"/>
        <v>1267.2551607849027</v>
      </c>
      <c r="J320" s="5">
        <f t="shared" si="70"/>
        <v>1639.9297929687953</v>
      </c>
      <c r="K320" s="5">
        <f t="shared" si="70"/>
        <v>1639.9297929687953</v>
      </c>
      <c r="L320" s="5">
        <f t="shared" si="70"/>
        <v>1639.9297929687953</v>
      </c>
      <c r="M320" s="5">
        <f t="shared" si="70"/>
        <v>1639.9297929687953</v>
      </c>
      <c r="N320" s="5">
        <f t="shared" si="70"/>
        <v>1641.0248525095133</v>
      </c>
      <c r="O320" s="5">
        <f t="shared" si="70"/>
        <v>1641.0248525095133</v>
      </c>
      <c r="P320" s="5">
        <f t="shared" si="70"/>
        <v>1683.5534547512545</v>
      </c>
      <c r="Q320" s="5">
        <f t="shared" si="70"/>
        <v>1683.5534547512545</v>
      </c>
      <c r="R320" s="5">
        <f t="shared" si="70"/>
        <v>1931.80875943517</v>
      </c>
      <c r="S320" s="5">
        <f t="shared" si="70"/>
        <v>1931.80875943517</v>
      </c>
      <c r="T320" s="5">
        <f t="shared" si="70"/>
        <v>2038.4354594084614</v>
      </c>
      <c r="U320" s="5">
        <f t="shared" si="70"/>
        <v>2038.4354594084614</v>
      </c>
      <c r="V320" s="5">
        <f t="shared" si="70"/>
        <v>1955.1099120149249</v>
      </c>
      <c r="W320" s="5">
        <f t="shared" si="70"/>
        <v>1955.1099120149249</v>
      </c>
    </row>
    <row r="323" spans="1:23" x14ac:dyDescent="0.2">
      <c r="B323" t="s">
        <v>62</v>
      </c>
    </row>
    <row r="325" spans="1:23" x14ac:dyDescent="0.2">
      <c r="A325">
        <v>1</v>
      </c>
      <c r="B325" s="1">
        <v>36586</v>
      </c>
      <c r="D325" s="4">
        <f t="shared" ref="D325:W325" si="71">D51*$M$17</f>
        <v>0</v>
      </c>
      <c r="E325" s="4">
        <f t="shared" si="71"/>
        <v>0</v>
      </c>
      <c r="F325" s="4">
        <f t="shared" si="71"/>
        <v>0</v>
      </c>
      <c r="G325" s="4">
        <f t="shared" si="71"/>
        <v>0</v>
      </c>
      <c r="H325" s="4">
        <f t="shared" si="71"/>
        <v>0</v>
      </c>
      <c r="I325" s="4">
        <f t="shared" si="71"/>
        <v>0</v>
      </c>
      <c r="J325" s="4">
        <f t="shared" si="71"/>
        <v>0</v>
      </c>
      <c r="K325" s="4">
        <f t="shared" si="71"/>
        <v>0</v>
      </c>
      <c r="L325" s="4">
        <f t="shared" si="71"/>
        <v>0</v>
      </c>
      <c r="M325" s="4">
        <f t="shared" si="71"/>
        <v>0</v>
      </c>
      <c r="N325" s="4">
        <f t="shared" si="71"/>
        <v>0</v>
      </c>
      <c r="O325" s="4">
        <f t="shared" si="71"/>
        <v>0</v>
      </c>
      <c r="P325" s="4">
        <f t="shared" si="71"/>
        <v>0</v>
      </c>
      <c r="Q325" s="4">
        <f t="shared" si="71"/>
        <v>0</v>
      </c>
      <c r="R325" s="4">
        <f t="shared" si="71"/>
        <v>0</v>
      </c>
      <c r="S325" s="4">
        <f t="shared" si="71"/>
        <v>0</v>
      </c>
      <c r="T325" s="4">
        <f t="shared" si="71"/>
        <v>0</v>
      </c>
      <c r="U325" s="4">
        <f t="shared" si="71"/>
        <v>0</v>
      </c>
      <c r="V325" s="4">
        <f t="shared" si="71"/>
        <v>0</v>
      </c>
      <c r="W325" s="4">
        <f t="shared" si="71"/>
        <v>0</v>
      </c>
    </row>
    <row r="326" spans="1:23" x14ac:dyDescent="0.2">
      <c r="A326">
        <v>2</v>
      </c>
      <c r="B326" s="1">
        <v>36617</v>
      </c>
      <c r="D326" s="4">
        <f t="shared" ref="D326:W326" si="72">D52*$M$17</f>
        <v>0</v>
      </c>
      <c r="E326" s="4">
        <f t="shared" si="72"/>
        <v>0</v>
      </c>
      <c r="F326" s="4">
        <f t="shared" si="72"/>
        <v>0</v>
      </c>
      <c r="G326" s="4">
        <f t="shared" si="72"/>
        <v>0</v>
      </c>
      <c r="H326" s="4">
        <f t="shared" si="72"/>
        <v>0</v>
      </c>
      <c r="I326" s="4">
        <f t="shared" si="72"/>
        <v>0</v>
      </c>
      <c r="J326" s="4">
        <f t="shared" si="72"/>
        <v>0</v>
      </c>
      <c r="K326" s="4">
        <f t="shared" si="72"/>
        <v>0</v>
      </c>
      <c r="L326" s="4">
        <f t="shared" si="72"/>
        <v>0</v>
      </c>
      <c r="M326" s="4">
        <f t="shared" si="72"/>
        <v>0</v>
      </c>
      <c r="N326" s="4">
        <f t="shared" si="72"/>
        <v>0</v>
      </c>
      <c r="O326" s="4">
        <f t="shared" si="72"/>
        <v>0</v>
      </c>
      <c r="P326" s="4">
        <f t="shared" si="72"/>
        <v>0</v>
      </c>
      <c r="Q326" s="4">
        <f t="shared" si="72"/>
        <v>0</v>
      </c>
      <c r="R326" s="4">
        <f t="shared" si="72"/>
        <v>0</v>
      </c>
      <c r="S326" s="4">
        <f t="shared" si="72"/>
        <v>0</v>
      </c>
      <c r="T326" s="4">
        <f t="shared" si="72"/>
        <v>0</v>
      </c>
      <c r="U326" s="4">
        <f t="shared" si="72"/>
        <v>0</v>
      </c>
      <c r="V326" s="4">
        <f t="shared" si="72"/>
        <v>0</v>
      </c>
      <c r="W326" s="4">
        <f t="shared" si="72"/>
        <v>0</v>
      </c>
    </row>
    <row r="327" spans="1:23" x14ac:dyDescent="0.2">
      <c r="A327">
        <v>3</v>
      </c>
      <c r="B327" s="1">
        <v>36647</v>
      </c>
      <c r="D327" s="4">
        <f t="shared" ref="D327:W327" si="73">D53*$M$17</f>
        <v>0</v>
      </c>
      <c r="E327" s="4">
        <f t="shared" si="73"/>
        <v>0</v>
      </c>
      <c r="F327" s="4">
        <f t="shared" si="73"/>
        <v>0</v>
      </c>
      <c r="G327" s="4">
        <f t="shared" si="73"/>
        <v>0</v>
      </c>
      <c r="H327" s="4">
        <f t="shared" si="73"/>
        <v>0</v>
      </c>
      <c r="I327" s="4">
        <f t="shared" si="73"/>
        <v>0</v>
      </c>
      <c r="J327" s="4">
        <f t="shared" si="73"/>
        <v>0</v>
      </c>
      <c r="K327" s="4">
        <f t="shared" si="73"/>
        <v>0</v>
      </c>
      <c r="L327" s="4">
        <f t="shared" si="73"/>
        <v>0</v>
      </c>
      <c r="M327" s="4">
        <f t="shared" si="73"/>
        <v>0</v>
      </c>
      <c r="N327" s="4">
        <f t="shared" si="73"/>
        <v>0</v>
      </c>
      <c r="O327" s="4">
        <f t="shared" si="73"/>
        <v>0</v>
      </c>
      <c r="P327" s="4">
        <f t="shared" si="73"/>
        <v>0</v>
      </c>
      <c r="Q327" s="4">
        <f t="shared" si="73"/>
        <v>0</v>
      </c>
      <c r="R327" s="4">
        <f t="shared" si="73"/>
        <v>0</v>
      </c>
      <c r="S327" s="4">
        <f t="shared" si="73"/>
        <v>0</v>
      </c>
      <c r="T327" s="4">
        <f t="shared" si="73"/>
        <v>0</v>
      </c>
      <c r="U327" s="4">
        <f t="shared" si="73"/>
        <v>0</v>
      </c>
      <c r="V327" s="4">
        <f t="shared" si="73"/>
        <v>0</v>
      </c>
      <c r="W327" s="4">
        <f t="shared" si="73"/>
        <v>0</v>
      </c>
    </row>
    <row r="328" spans="1:23" x14ac:dyDescent="0.2">
      <c r="A328">
        <v>4</v>
      </c>
      <c r="B328" s="1">
        <v>36678</v>
      </c>
      <c r="D328" s="4">
        <f t="shared" ref="D328:W328" si="74">D54*$M$17</f>
        <v>0</v>
      </c>
      <c r="E328" s="4">
        <f t="shared" si="74"/>
        <v>0</v>
      </c>
      <c r="F328" s="4">
        <f t="shared" si="74"/>
        <v>0</v>
      </c>
      <c r="G328" s="4">
        <f t="shared" si="74"/>
        <v>0</v>
      </c>
      <c r="H328" s="4">
        <f t="shared" si="74"/>
        <v>0</v>
      </c>
      <c r="I328" s="4">
        <f t="shared" si="74"/>
        <v>0</v>
      </c>
      <c r="J328" s="4">
        <f t="shared" si="74"/>
        <v>0</v>
      </c>
      <c r="K328" s="4">
        <f t="shared" si="74"/>
        <v>0</v>
      </c>
      <c r="L328" s="4">
        <f t="shared" si="74"/>
        <v>0</v>
      </c>
      <c r="M328" s="4">
        <f t="shared" si="74"/>
        <v>0</v>
      </c>
      <c r="N328" s="4">
        <f t="shared" si="74"/>
        <v>0</v>
      </c>
      <c r="O328" s="4">
        <f t="shared" si="74"/>
        <v>0</v>
      </c>
      <c r="P328" s="4">
        <f t="shared" si="74"/>
        <v>0</v>
      </c>
      <c r="Q328" s="4">
        <f t="shared" si="74"/>
        <v>0</v>
      </c>
      <c r="R328" s="4">
        <f t="shared" si="74"/>
        <v>0</v>
      </c>
      <c r="S328" s="4">
        <f t="shared" si="74"/>
        <v>0</v>
      </c>
      <c r="T328" s="4">
        <f t="shared" si="74"/>
        <v>0</v>
      </c>
      <c r="U328" s="4">
        <f t="shared" si="74"/>
        <v>0</v>
      </c>
      <c r="V328" s="4">
        <f t="shared" si="74"/>
        <v>0</v>
      </c>
      <c r="W328" s="4">
        <f t="shared" si="74"/>
        <v>0</v>
      </c>
    </row>
    <row r="329" spans="1:23" x14ac:dyDescent="0.2">
      <c r="A329">
        <v>5</v>
      </c>
      <c r="B329" s="1">
        <v>36708</v>
      </c>
      <c r="D329" s="4">
        <f t="shared" ref="D329:W329" si="75">D55*$M$17</f>
        <v>0</v>
      </c>
      <c r="E329" s="4">
        <f t="shared" si="75"/>
        <v>0</v>
      </c>
      <c r="F329" s="4">
        <f t="shared" si="75"/>
        <v>0</v>
      </c>
      <c r="G329" s="4">
        <f t="shared" si="75"/>
        <v>0</v>
      </c>
      <c r="H329" s="4">
        <f t="shared" si="75"/>
        <v>0</v>
      </c>
      <c r="I329" s="4">
        <f t="shared" si="75"/>
        <v>0</v>
      </c>
      <c r="J329" s="4">
        <f t="shared" si="75"/>
        <v>0</v>
      </c>
      <c r="K329" s="4">
        <f t="shared" si="75"/>
        <v>0</v>
      </c>
      <c r="L329" s="4">
        <f t="shared" si="75"/>
        <v>0</v>
      </c>
      <c r="M329" s="4">
        <f t="shared" si="75"/>
        <v>0</v>
      </c>
      <c r="N329" s="4">
        <f t="shared" si="75"/>
        <v>0</v>
      </c>
      <c r="O329" s="4">
        <f t="shared" si="75"/>
        <v>0</v>
      </c>
      <c r="P329" s="4">
        <f t="shared" si="75"/>
        <v>0</v>
      </c>
      <c r="Q329" s="4">
        <f t="shared" si="75"/>
        <v>0</v>
      </c>
      <c r="R329" s="4">
        <f t="shared" si="75"/>
        <v>0</v>
      </c>
      <c r="S329" s="4">
        <f t="shared" si="75"/>
        <v>0</v>
      </c>
      <c r="T329" s="4">
        <f t="shared" si="75"/>
        <v>0</v>
      </c>
      <c r="U329" s="4">
        <f t="shared" si="75"/>
        <v>0</v>
      </c>
      <c r="V329" s="4">
        <f t="shared" si="75"/>
        <v>0</v>
      </c>
      <c r="W329" s="4">
        <f t="shared" si="75"/>
        <v>0</v>
      </c>
    </row>
    <row r="330" spans="1:23" x14ac:dyDescent="0.2">
      <c r="A330">
        <v>6</v>
      </c>
      <c r="B330" s="1">
        <v>36739</v>
      </c>
      <c r="D330" s="4">
        <f t="shared" ref="D330:W330" si="76">D56*$M$17</f>
        <v>0</v>
      </c>
      <c r="E330" s="4">
        <f t="shared" si="76"/>
        <v>0</v>
      </c>
      <c r="F330" s="4">
        <f t="shared" si="76"/>
        <v>0</v>
      </c>
      <c r="G330" s="4">
        <f t="shared" si="76"/>
        <v>0</v>
      </c>
      <c r="H330" s="4">
        <f t="shared" si="76"/>
        <v>0</v>
      </c>
      <c r="I330" s="4">
        <f t="shared" si="76"/>
        <v>0</v>
      </c>
      <c r="J330" s="4">
        <f t="shared" si="76"/>
        <v>0</v>
      </c>
      <c r="K330" s="4">
        <f t="shared" si="76"/>
        <v>0</v>
      </c>
      <c r="L330" s="4">
        <f t="shared" si="76"/>
        <v>0</v>
      </c>
      <c r="M330" s="4">
        <f t="shared" si="76"/>
        <v>0</v>
      </c>
      <c r="N330" s="4">
        <f t="shared" si="76"/>
        <v>0</v>
      </c>
      <c r="O330" s="4">
        <f t="shared" si="76"/>
        <v>0</v>
      </c>
      <c r="P330" s="4">
        <f t="shared" si="76"/>
        <v>0</v>
      </c>
      <c r="Q330" s="4">
        <f t="shared" si="76"/>
        <v>0</v>
      </c>
      <c r="R330" s="4">
        <f t="shared" si="76"/>
        <v>0</v>
      </c>
      <c r="S330" s="4">
        <f t="shared" si="76"/>
        <v>0</v>
      </c>
      <c r="T330" s="4">
        <f t="shared" si="76"/>
        <v>0</v>
      </c>
      <c r="U330" s="4">
        <f t="shared" si="76"/>
        <v>0</v>
      </c>
      <c r="V330" s="4">
        <f t="shared" si="76"/>
        <v>0</v>
      </c>
      <c r="W330" s="4">
        <f t="shared" si="76"/>
        <v>0</v>
      </c>
    </row>
    <row r="331" spans="1:23" x14ac:dyDescent="0.2">
      <c r="A331">
        <v>7</v>
      </c>
      <c r="B331" s="1">
        <v>36770</v>
      </c>
      <c r="D331" s="4">
        <f t="shared" ref="D331:W331" si="77">D57*$M$17</f>
        <v>0</v>
      </c>
      <c r="E331" s="4">
        <f t="shared" si="77"/>
        <v>0</v>
      </c>
      <c r="F331" s="4">
        <f t="shared" si="77"/>
        <v>0</v>
      </c>
      <c r="G331" s="4">
        <f t="shared" si="77"/>
        <v>0</v>
      </c>
      <c r="H331" s="4">
        <f t="shared" si="77"/>
        <v>0</v>
      </c>
      <c r="I331" s="4">
        <f t="shared" si="77"/>
        <v>0</v>
      </c>
      <c r="J331" s="4">
        <f t="shared" si="77"/>
        <v>0</v>
      </c>
      <c r="K331" s="4">
        <f t="shared" si="77"/>
        <v>0</v>
      </c>
      <c r="L331" s="4">
        <f t="shared" si="77"/>
        <v>0</v>
      </c>
      <c r="M331" s="4">
        <f t="shared" si="77"/>
        <v>0</v>
      </c>
      <c r="N331" s="4">
        <f t="shared" si="77"/>
        <v>0</v>
      </c>
      <c r="O331" s="4">
        <f t="shared" si="77"/>
        <v>0</v>
      </c>
      <c r="P331" s="4">
        <f t="shared" si="77"/>
        <v>0</v>
      </c>
      <c r="Q331" s="4">
        <f t="shared" si="77"/>
        <v>0</v>
      </c>
      <c r="R331" s="4">
        <f t="shared" si="77"/>
        <v>0</v>
      </c>
      <c r="S331" s="4">
        <f t="shared" si="77"/>
        <v>0</v>
      </c>
      <c r="T331" s="4">
        <f t="shared" si="77"/>
        <v>0</v>
      </c>
      <c r="U331" s="4">
        <f t="shared" si="77"/>
        <v>0</v>
      </c>
      <c r="V331" s="4">
        <f t="shared" si="77"/>
        <v>0</v>
      </c>
      <c r="W331" s="4">
        <f t="shared" si="77"/>
        <v>0</v>
      </c>
    </row>
    <row r="332" spans="1:23" x14ac:dyDescent="0.2">
      <c r="A332">
        <v>8</v>
      </c>
      <c r="B332" s="1">
        <v>36800</v>
      </c>
      <c r="D332" s="4">
        <f t="shared" ref="D332:W332" si="78">D58*$M$17</f>
        <v>0</v>
      </c>
      <c r="E332" s="4">
        <f t="shared" si="78"/>
        <v>0</v>
      </c>
      <c r="F332" s="4">
        <f t="shared" si="78"/>
        <v>0</v>
      </c>
      <c r="G332" s="4">
        <f t="shared" si="78"/>
        <v>0</v>
      </c>
      <c r="H332" s="4">
        <f t="shared" si="78"/>
        <v>0</v>
      </c>
      <c r="I332" s="4">
        <f t="shared" si="78"/>
        <v>0</v>
      </c>
      <c r="J332" s="4">
        <f t="shared" si="78"/>
        <v>0</v>
      </c>
      <c r="K332" s="4">
        <f t="shared" si="78"/>
        <v>0</v>
      </c>
      <c r="L332" s="4">
        <f t="shared" si="78"/>
        <v>0</v>
      </c>
      <c r="M332" s="4">
        <f t="shared" si="78"/>
        <v>0</v>
      </c>
      <c r="N332" s="4">
        <f t="shared" si="78"/>
        <v>0</v>
      </c>
      <c r="O332" s="4">
        <f t="shared" si="78"/>
        <v>0</v>
      </c>
      <c r="P332" s="4">
        <f t="shared" si="78"/>
        <v>0</v>
      </c>
      <c r="Q332" s="4">
        <f t="shared" si="78"/>
        <v>0</v>
      </c>
      <c r="R332" s="4">
        <f t="shared" si="78"/>
        <v>0</v>
      </c>
      <c r="S332" s="4">
        <f t="shared" si="78"/>
        <v>0</v>
      </c>
      <c r="T332" s="4">
        <f t="shared" si="78"/>
        <v>0</v>
      </c>
      <c r="U332" s="4">
        <f t="shared" si="78"/>
        <v>0</v>
      </c>
      <c r="V332" s="4">
        <f t="shared" si="78"/>
        <v>0</v>
      </c>
      <c r="W332" s="4">
        <f t="shared" si="78"/>
        <v>0</v>
      </c>
    </row>
    <row r="333" spans="1:23" x14ac:dyDescent="0.2">
      <c r="A333">
        <v>9</v>
      </c>
      <c r="B333" s="1">
        <v>36831</v>
      </c>
      <c r="D333" s="4">
        <f t="shared" ref="D333:W333" si="79">D59*$M$17</f>
        <v>0</v>
      </c>
      <c r="E333" s="4">
        <f t="shared" si="79"/>
        <v>0</v>
      </c>
      <c r="F333" s="4">
        <f t="shared" si="79"/>
        <v>0</v>
      </c>
      <c r="G333" s="4">
        <f t="shared" si="79"/>
        <v>0</v>
      </c>
      <c r="H333" s="4">
        <f t="shared" si="79"/>
        <v>0</v>
      </c>
      <c r="I333" s="4">
        <f t="shared" si="79"/>
        <v>0</v>
      </c>
      <c r="J333" s="4">
        <f t="shared" si="79"/>
        <v>0</v>
      </c>
      <c r="K333" s="4">
        <f t="shared" si="79"/>
        <v>0</v>
      </c>
      <c r="L333" s="4">
        <f t="shared" si="79"/>
        <v>0</v>
      </c>
      <c r="M333" s="4">
        <f t="shared" si="79"/>
        <v>0</v>
      </c>
      <c r="N333" s="4">
        <f t="shared" si="79"/>
        <v>0</v>
      </c>
      <c r="O333" s="4">
        <f t="shared" si="79"/>
        <v>0</v>
      </c>
      <c r="P333" s="4">
        <f t="shared" si="79"/>
        <v>0</v>
      </c>
      <c r="Q333" s="4">
        <f t="shared" si="79"/>
        <v>0</v>
      </c>
      <c r="R333" s="4">
        <f t="shared" si="79"/>
        <v>0</v>
      </c>
      <c r="S333" s="4">
        <f t="shared" si="79"/>
        <v>0</v>
      </c>
      <c r="T333" s="4">
        <f t="shared" si="79"/>
        <v>0</v>
      </c>
      <c r="U333" s="4">
        <f t="shared" si="79"/>
        <v>0</v>
      </c>
      <c r="V333" s="4">
        <f t="shared" si="79"/>
        <v>0</v>
      </c>
      <c r="W333" s="4">
        <f t="shared" si="79"/>
        <v>0</v>
      </c>
    </row>
    <row r="334" spans="1:23" x14ac:dyDescent="0.2">
      <c r="A334">
        <v>10</v>
      </c>
      <c r="B334" s="1">
        <v>36861</v>
      </c>
      <c r="D334" s="4">
        <f t="shared" ref="D334:W334" si="80">D60*$M$17</f>
        <v>0</v>
      </c>
      <c r="E334" s="4">
        <f t="shared" si="80"/>
        <v>0</v>
      </c>
      <c r="F334" s="4">
        <f t="shared" si="80"/>
        <v>0</v>
      </c>
      <c r="G334" s="4">
        <f t="shared" si="80"/>
        <v>0</v>
      </c>
      <c r="H334" s="4">
        <f t="shared" si="80"/>
        <v>0</v>
      </c>
      <c r="I334" s="4">
        <f t="shared" si="80"/>
        <v>0</v>
      </c>
      <c r="J334" s="4">
        <f t="shared" si="80"/>
        <v>0</v>
      </c>
      <c r="K334" s="4">
        <f t="shared" si="80"/>
        <v>0</v>
      </c>
      <c r="L334" s="4">
        <f t="shared" si="80"/>
        <v>0</v>
      </c>
      <c r="M334" s="4">
        <f t="shared" si="80"/>
        <v>0</v>
      </c>
      <c r="N334" s="4">
        <f t="shared" si="80"/>
        <v>0</v>
      </c>
      <c r="O334" s="4">
        <f t="shared" si="80"/>
        <v>0</v>
      </c>
      <c r="P334" s="4">
        <f t="shared" si="80"/>
        <v>0</v>
      </c>
      <c r="Q334" s="4">
        <f t="shared" si="80"/>
        <v>0</v>
      </c>
      <c r="R334" s="4">
        <f t="shared" si="80"/>
        <v>0</v>
      </c>
      <c r="S334" s="4">
        <f t="shared" si="80"/>
        <v>0</v>
      </c>
      <c r="T334" s="4">
        <f t="shared" si="80"/>
        <v>0</v>
      </c>
      <c r="U334" s="4">
        <f t="shared" si="80"/>
        <v>0</v>
      </c>
      <c r="V334" s="4">
        <f t="shared" si="80"/>
        <v>0</v>
      </c>
      <c r="W334" s="4">
        <f t="shared" si="80"/>
        <v>0</v>
      </c>
    </row>
    <row r="335" spans="1:23" x14ac:dyDescent="0.2">
      <c r="A335">
        <v>11</v>
      </c>
      <c r="B335" s="1">
        <v>36892</v>
      </c>
      <c r="D335" s="4">
        <f t="shared" ref="D335:W335" si="81">D61*$M$17</f>
        <v>0</v>
      </c>
      <c r="E335" s="4">
        <f t="shared" si="81"/>
        <v>0</v>
      </c>
      <c r="F335" s="4">
        <f t="shared" si="81"/>
        <v>0</v>
      </c>
      <c r="G335" s="4">
        <f t="shared" si="81"/>
        <v>0</v>
      </c>
      <c r="H335" s="4">
        <f t="shared" si="81"/>
        <v>0</v>
      </c>
      <c r="I335" s="4">
        <f t="shared" si="81"/>
        <v>0</v>
      </c>
      <c r="J335" s="4">
        <f t="shared" si="81"/>
        <v>0</v>
      </c>
      <c r="K335" s="4">
        <f t="shared" si="81"/>
        <v>0</v>
      </c>
      <c r="L335" s="4">
        <f t="shared" si="81"/>
        <v>0</v>
      </c>
      <c r="M335" s="4">
        <f t="shared" si="81"/>
        <v>0</v>
      </c>
      <c r="N335" s="4">
        <f t="shared" si="81"/>
        <v>0</v>
      </c>
      <c r="O335" s="4">
        <f t="shared" si="81"/>
        <v>0</v>
      </c>
      <c r="P335" s="4">
        <f t="shared" si="81"/>
        <v>0</v>
      </c>
      <c r="Q335" s="4">
        <f t="shared" si="81"/>
        <v>0</v>
      </c>
      <c r="R335" s="4">
        <f t="shared" si="81"/>
        <v>0</v>
      </c>
      <c r="S335" s="4">
        <f t="shared" si="81"/>
        <v>0</v>
      </c>
      <c r="T335" s="4">
        <f t="shared" si="81"/>
        <v>0</v>
      </c>
      <c r="U335" s="4">
        <f t="shared" si="81"/>
        <v>0</v>
      </c>
      <c r="V335" s="4">
        <f t="shared" si="81"/>
        <v>0</v>
      </c>
      <c r="W335" s="4">
        <f t="shared" si="81"/>
        <v>0</v>
      </c>
    </row>
    <row r="336" spans="1:23" x14ac:dyDescent="0.2">
      <c r="A336">
        <v>12</v>
      </c>
      <c r="B336" s="1">
        <v>36923</v>
      </c>
      <c r="D336" s="4">
        <f t="shared" ref="D336:W336" si="82">D62*$M$17</f>
        <v>0</v>
      </c>
      <c r="E336" s="4">
        <f t="shared" si="82"/>
        <v>0</v>
      </c>
      <c r="F336" s="4">
        <f t="shared" si="82"/>
        <v>0</v>
      </c>
      <c r="G336" s="4">
        <f t="shared" si="82"/>
        <v>0</v>
      </c>
      <c r="H336" s="4">
        <f t="shared" si="82"/>
        <v>0</v>
      </c>
      <c r="I336" s="4">
        <f t="shared" si="82"/>
        <v>0</v>
      </c>
      <c r="J336" s="4">
        <f t="shared" si="82"/>
        <v>0</v>
      </c>
      <c r="K336" s="4">
        <f t="shared" si="82"/>
        <v>0</v>
      </c>
      <c r="L336" s="4">
        <f t="shared" si="82"/>
        <v>0</v>
      </c>
      <c r="M336" s="4">
        <f t="shared" si="82"/>
        <v>0</v>
      </c>
      <c r="N336" s="4">
        <f t="shared" si="82"/>
        <v>0</v>
      </c>
      <c r="O336" s="4">
        <f t="shared" si="82"/>
        <v>0</v>
      </c>
      <c r="P336" s="4">
        <f t="shared" si="82"/>
        <v>0</v>
      </c>
      <c r="Q336" s="4">
        <f t="shared" si="82"/>
        <v>0</v>
      </c>
      <c r="R336" s="4">
        <f t="shared" si="82"/>
        <v>0</v>
      </c>
      <c r="S336" s="4">
        <f t="shared" si="82"/>
        <v>0</v>
      </c>
      <c r="T336" s="4">
        <f t="shared" si="82"/>
        <v>0</v>
      </c>
      <c r="U336" s="4">
        <f t="shared" si="82"/>
        <v>0</v>
      </c>
      <c r="V336" s="4">
        <f t="shared" si="82"/>
        <v>0</v>
      </c>
      <c r="W336" s="4">
        <f t="shared" si="82"/>
        <v>0</v>
      </c>
    </row>
    <row r="337" spans="1:23" x14ac:dyDescent="0.2">
      <c r="A337">
        <v>13</v>
      </c>
      <c r="B337" s="1">
        <v>36951</v>
      </c>
      <c r="D337" s="4">
        <f t="shared" ref="D337:W337" si="83">D63*$M$17</f>
        <v>0</v>
      </c>
      <c r="E337" s="4">
        <f t="shared" si="83"/>
        <v>0</v>
      </c>
      <c r="F337" s="4">
        <f t="shared" si="83"/>
        <v>0</v>
      </c>
      <c r="G337" s="4">
        <f t="shared" si="83"/>
        <v>0</v>
      </c>
      <c r="H337" s="4">
        <f t="shared" si="83"/>
        <v>0</v>
      </c>
      <c r="I337" s="4">
        <f t="shared" si="83"/>
        <v>0</v>
      </c>
      <c r="J337" s="4">
        <f t="shared" si="83"/>
        <v>0</v>
      </c>
      <c r="K337" s="4">
        <f t="shared" si="83"/>
        <v>0</v>
      </c>
      <c r="L337" s="4">
        <f t="shared" si="83"/>
        <v>0</v>
      </c>
      <c r="M337" s="4">
        <f t="shared" si="83"/>
        <v>0</v>
      </c>
      <c r="N337" s="4">
        <f t="shared" si="83"/>
        <v>0</v>
      </c>
      <c r="O337" s="4">
        <f t="shared" si="83"/>
        <v>0</v>
      </c>
      <c r="P337" s="4">
        <f t="shared" si="83"/>
        <v>0</v>
      </c>
      <c r="Q337" s="4">
        <f t="shared" si="83"/>
        <v>0</v>
      </c>
      <c r="R337" s="4">
        <f t="shared" si="83"/>
        <v>0</v>
      </c>
      <c r="S337" s="4">
        <f t="shared" si="83"/>
        <v>0</v>
      </c>
      <c r="T337" s="4">
        <f t="shared" si="83"/>
        <v>0</v>
      </c>
      <c r="U337" s="4">
        <f t="shared" si="83"/>
        <v>0</v>
      </c>
      <c r="V337" s="4">
        <f t="shared" si="83"/>
        <v>0</v>
      </c>
      <c r="W337" s="4">
        <f t="shared" si="83"/>
        <v>0</v>
      </c>
    </row>
    <row r="338" spans="1:23" x14ac:dyDescent="0.2">
      <c r="A338">
        <v>14</v>
      </c>
      <c r="B338" s="1">
        <v>36982</v>
      </c>
      <c r="D338" s="4">
        <v>0</v>
      </c>
      <c r="E338" s="4">
        <v>0</v>
      </c>
      <c r="F338" s="4">
        <f t="shared" ref="F338:W338" si="84">F64*$M$17</f>
        <v>0</v>
      </c>
      <c r="G338" s="4">
        <f t="shared" si="84"/>
        <v>0</v>
      </c>
      <c r="H338" s="4">
        <f t="shared" si="84"/>
        <v>0</v>
      </c>
      <c r="I338" s="4">
        <f t="shared" si="84"/>
        <v>0</v>
      </c>
      <c r="J338" s="4">
        <f t="shared" si="84"/>
        <v>0</v>
      </c>
      <c r="K338" s="4">
        <f t="shared" si="84"/>
        <v>0</v>
      </c>
      <c r="L338" s="4">
        <f t="shared" si="84"/>
        <v>0</v>
      </c>
      <c r="M338" s="4">
        <f t="shared" si="84"/>
        <v>0</v>
      </c>
      <c r="N338" s="4">
        <f t="shared" si="84"/>
        <v>0</v>
      </c>
      <c r="O338" s="4">
        <f t="shared" si="84"/>
        <v>0</v>
      </c>
      <c r="P338" s="4">
        <f t="shared" si="84"/>
        <v>0</v>
      </c>
      <c r="Q338" s="4">
        <f t="shared" si="84"/>
        <v>0</v>
      </c>
      <c r="R338" s="4">
        <f t="shared" si="84"/>
        <v>0</v>
      </c>
      <c r="S338" s="4">
        <f t="shared" si="84"/>
        <v>0</v>
      </c>
      <c r="T338" s="4">
        <f t="shared" si="84"/>
        <v>0</v>
      </c>
      <c r="U338" s="4">
        <f t="shared" si="84"/>
        <v>0</v>
      </c>
      <c r="V338" s="4">
        <f t="shared" si="84"/>
        <v>0</v>
      </c>
      <c r="W338" s="4">
        <f t="shared" si="84"/>
        <v>0</v>
      </c>
    </row>
    <row r="339" spans="1:23" x14ac:dyDescent="0.2">
      <c r="A339">
        <v>15</v>
      </c>
      <c r="B339" s="1">
        <v>37012</v>
      </c>
      <c r="D339" s="4">
        <f t="shared" ref="D339:E370" si="85">D65*$M$17</f>
        <v>0</v>
      </c>
      <c r="E339" s="4">
        <f t="shared" si="85"/>
        <v>0</v>
      </c>
      <c r="F339" s="4">
        <f t="shared" ref="F339:W339" si="86">F65*$M$17</f>
        <v>0</v>
      </c>
      <c r="G339" s="4">
        <f t="shared" si="86"/>
        <v>0</v>
      </c>
      <c r="H339" s="4">
        <f t="shared" si="86"/>
        <v>0</v>
      </c>
      <c r="I339" s="4">
        <f t="shared" si="86"/>
        <v>0</v>
      </c>
      <c r="J339" s="4">
        <f t="shared" si="86"/>
        <v>0</v>
      </c>
      <c r="K339" s="4">
        <f t="shared" si="86"/>
        <v>0</v>
      </c>
      <c r="L339" s="4">
        <f t="shared" si="86"/>
        <v>0</v>
      </c>
      <c r="M339" s="4">
        <f t="shared" si="86"/>
        <v>0</v>
      </c>
      <c r="N339" s="4">
        <f t="shared" si="86"/>
        <v>0</v>
      </c>
      <c r="O339" s="4">
        <f t="shared" si="86"/>
        <v>0</v>
      </c>
      <c r="P339" s="4">
        <f t="shared" si="86"/>
        <v>0</v>
      </c>
      <c r="Q339" s="4">
        <f t="shared" si="86"/>
        <v>0</v>
      </c>
      <c r="R339" s="4">
        <f t="shared" si="86"/>
        <v>0</v>
      </c>
      <c r="S339" s="4">
        <f t="shared" si="86"/>
        <v>0</v>
      </c>
      <c r="T339" s="4">
        <f t="shared" si="86"/>
        <v>0</v>
      </c>
      <c r="U339" s="4">
        <f t="shared" si="86"/>
        <v>0</v>
      </c>
      <c r="V339" s="4">
        <f t="shared" si="86"/>
        <v>0</v>
      </c>
      <c r="W339" s="4">
        <f t="shared" si="86"/>
        <v>0</v>
      </c>
    </row>
    <row r="340" spans="1:23" x14ac:dyDescent="0.2">
      <c r="A340">
        <v>16</v>
      </c>
      <c r="B340" s="1">
        <v>37043</v>
      </c>
      <c r="D340" s="4">
        <f t="shared" si="85"/>
        <v>0</v>
      </c>
      <c r="E340" s="4">
        <f t="shared" si="85"/>
        <v>0</v>
      </c>
      <c r="F340" s="4">
        <f t="shared" ref="F340:W340" si="87">F66*$M$17</f>
        <v>0</v>
      </c>
      <c r="G340" s="4">
        <f t="shared" si="87"/>
        <v>0</v>
      </c>
      <c r="H340" s="4">
        <f t="shared" si="87"/>
        <v>0</v>
      </c>
      <c r="I340" s="4">
        <f t="shared" si="87"/>
        <v>0</v>
      </c>
      <c r="J340" s="4">
        <f t="shared" si="87"/>
        <v>0</v>
      </c>
      <c r="K340" s="4">
        <f t="shared" si="87"/>
        <v>0</v>
      </c>
      <c r="L340" s="4">
        <f t="shared" si="87"/>
        <v>0</v>
      </c>
      <c r="M340" s="4">
        <f t="shared" si="87"/>
        <v>0</v>
      </c>
      <c r="N340" s="4">
        <f t="shared" si="87"/>
        <v>0</v>
      </c>
      <c r="O340" s="4">
        <f t="shared" si="87"/>
        <v>0</v>
      </c>
      <c r="P340" s="4">
        <f t="shared" si="87"/>
        <v>0</v>
      </c>
      <c r="Q340" s="4">
        <f t="shared" si="87"/>
        <v>0</v>
      </c>
      <c r="R340" s="4">
        <f t="shared" si="87"/>
        <v>0</v>
      </c>
      <c r="S340" s="4">
        <f t="shared" si="87"/>
        <v>0</v>
      </c>
      <c r="T340" s="4">
        <f t="shared" si="87"/>
        <v>0</v>
      </c>
      <c r="U340" s="4">
        <f t="shared" si="87"/>
        <v>0</v>
      </c>
      <c r="V340" s="4">
        <f t="shared" si="87"/>
        <v>0</v>
      </c>
      <c r="W340" s="4">
        <f t="shared" si="87"/>
        <v>0</v>
      </c>
    </row>
    <row r="341" spans="1:23" x14ac:dyDescent="0.2">
      <c r="A341">
        <v>17</v>
      </c>
      <c r="B341" s="1">
        <v>37073</v>
      </c>
      <c r="D341" s="4">
        <f t="shared" si="85"/>
        <v>0</v>
      </c>
      <c r="E341" s="4">
        <f t="shared" si="85"/>
        <v>0</v>
      </c>
      <c r="F341" s="4">
        <f t="shared" ref="F341:W341" si="88">F67*$M$17</f>
        <v>0</v>
      </c>
      <c r="G341" s="4">
        <f t="shared" si="88"/>
        <v>0</v>
      </c>
      <c r="H341" s="4">
        <f t="shared" si="88"/>
        <v>0</v>
      </c>
      <c r="I341" s="4">
        <f t="shared" si="88"/>
        <v>0</v>
      </c>
      <c r="J341" s="4">
        <f t="shared" si="88"/>
        <v>0</v>
      </c>
      <c r="K341" s="4">
        <f t="shared" si="88"/>
        <v>0</v>
      </c>
      <c r="L341" s="4">
        <f t="shared" si="88"/>
        <v>0</v>
      </c>
      <c r="M341" s="4">
        <f t="shared" si="88"/>
        <v>0</v>
      </c>
      <c r="N341" s="4">
        <f t="shared" si="88"/>
        <v>0</v>
      </c>
      <c r="O341" s="4">
        <f t="shared" si="88"/>
        <v>0</v>
      </c>
      <c r="P341" s="4">
        <f t="shared" si="88"/>
        <v>0</v>
      </c>
      <c r="Q341" s="4">
        <f t="shared" si="88"/>
        <v>0</v>
      </c>
      <c r="R341" s="4">
        <f t="shared" si="88"/>
        <v>0</v>
      </c>
      <c r="S341" s="4">
        <f t="shared" si="88"/>
        <v>0</v>
      </c>
      <c r="T341" s="4">
        <f t="shared" si="88"/>
        <v>0</v>
      </c>
      <c r="U341" s="4">
        <f t="shared" si="88"/>
        <v>0</v>
      </c>
      <c r="V341" s="4">
        <f t="shared" si="88"/>
        <v>0</v>
      </c>
      <c r="W341" s="4">
        <f t="shared" si="88"/>
        <v>0</v>
      </c>
    </row>
    <row r="342" spans="1:23" x14ac:dyDescent="0.2">
      <c r="A342">
        <v>18</v>
      </c>
      <c r="B342" s="1">
        <v>37104</v>
      </c>
      <c r="D342" s="4">
        <f t="shared" si="85"/>
        <v>0</v>
      </c>
      <c r="E342" s="4">
        <f t="shared" si="85"/>
        <v>0</v>
      </c>
      <c r="F342" s="4">
        <v>0</v>
      </c>
      <c r="G342" s="4">
        <v>0</v>
      </c>
      <c r="H342" s="4">
        <f t="shared" ref="H342:W342" si="89">H68*$M$17</f>
        <v>0</v>
      </c>
      <c r="I342" s="4">
        <f t="shared" si="89"/>
        <v>0</v>
      </c>
      <c r="J342" s="4">
        <f t="shared" si="89"/>
        <v>0</v>
      </c>
      <c r="K342" s="4">
        <f t="shared" si="89"/>
        <v>0</v>
      </c>
      <c r="L342" s="4">
        <f t="shared" si="89"/>
        <v>0</v>
      </c>
      <c r="M342" s="4">
        <f t="shared" si="89"/>
        <v>0</v>
      </c>
      <c r="N342" s="4">
        <f t="shared" si="89"/>
        <v>0</v>
      </c>
      <c r="O342" s="4">
        <f t="shared" si="89"/>
        <v>0</v>
      </c>
      <c r="P342" s="4">
        <f t="shared" si="89"/>
        <v>0</v>
      </c>
      <c r="Q342" s="4">
        <f t="shared" si="89"/>
        <v>0</v>
      </c>
      <c r="R342" s="4">
        <f t="shared" si="89"/>
        <v>0</v>
      </c>
      <c r="S342" s="4">
        <f t="shared" si="89"/>
        <v>0</v>
      </c>
      <c r="T342" s="4">
        <f t="shared" si="89"/>
        <v>0</v>
      </c>
      <c r="U342" s="4">
        <f t="shared" si="89"/>
        <v>0</v>
      </c>
      <c r="V342" s="4">
        <f t="shared" si="89"/>
        <v>0</v>
      </c>
      <c r="W342" s="4">
        <f t="shared" si="89"/>
        <v>0</v>
      </c>
    </row>
    <row r="343" spans="1:23" x14ac:dyDescent="0.2">
      <c r="A343">
        <v>19</v>
      </c>
      <c r="B343" s="1">
        <v>37135</v>
      </c>
      <c r="D343" s="4">
        <f t="shared" si="85"/>
        <v>0</v>
      </c>
      <c r="E343" s="4">
        <f t="shared" si="85"/>
        <v>0</v>
      </c>
      <c r="F343" s="4">
        <f t="shared" ref="F343:G370" si="90">F69*$M$17</f>
        <v>0</v>
      </c>
      <c r="G343" s="4">
        <f t="shared" si="90"/>
        <v>0</v>
      </c>
      <c r="H343" s="4">
        <f t="shared" ref="H343:W343" si="91">H69*$M$17</f>
        <v>0</v>
      </c>
      <c r="I343" s="4">
        <f t="shared" si="91"/>
        <v>0</v>
      </c>
      <c r="J343" s="4">
        <f t="shared" si="91"/>
        <v>0</v>
      </c>
      <c r="K343" s="4">
        <f t="shared" si="91"/>
        <v>0</v>
      </c>
      <c r="L343" s="4">
        <f t="shared" si="91"/>
        <v>0</v>
      </c>
      <c r="M343" s="4">
        <f t="shared" si="91"/>
        <v>0</v>
      </c>
      <c r="N343" s="4">
        <f t="shared" si="91"/>
        <v>0</v>
      </c>
      <c r="O343" s="4">
        <f t="shared" si="91"/>
        <v>0</v>
      </c>
      <c r="P343" s="4">
        <f t="shared" si="91"/>
        <v>0</v>
      </c>
      <c r="Q343" s="4">
        <f t="shared" si="91"/>
        <v>0</v>
      </c>
      <c r="R343" s="4">
        <f t="shared" si="91"/>
        <v>0</v>
      </c>
      <c r="S343" s="4">
        <f t="shared" si="91"/>
        <v>0</v>
      </c>
      <c r="T343" s="4">
        <f t="shared" si="91"/>
        <v>0</v>
      </c>
      <c r="U343" s="4">
        <f t="shared" si="91"/>
        <v>0</v>
      </c>
      <c r="V343" s="4">
        <f t="shared" si="91"/>
        <v>0</v>
      </c>
      <c r="W343" s="4">
        <f t="shared" si="91"/>
        <v>0</v>
      </c>
    </row>
    <row r="344" spans="1:23" x14ac:dyDescent="0.2">
      <c r="A344">
        <v>20</v>
      </c>
      <c r="B344" s="1">
        <v>37165</v>
      </c>
      <c r="D344" s="4">
        <f t="shared" si="85"/>
        <v>0</v>
      </c>
      <c r="E344" s="4">
        <f t="shared" si="85"/>
        <v>0</v>
      </c>
      <c r="F344" s="4">
        <f t="shared" si="90"/>
        <v>0</v>
      </c>
      <c r="G344" s="4">
        <f t="shared" si="90"/>
        <v>0</v>
      </c>
      <c r="H344" s="4">
        <v>0</v>
      </c>
      <c r="I344" s="4">
        <v>0</v>
      </c>
      <c r="J344" s="4">
        <f t="shared" ref="J344:W344" si="92">J70*$M$17</f>
        <v>0</v>
      </c>
      <c r="K344" s="4">
        <f t="shared" si="92"/>
        <v>0</v>
      </c>
      <c r="L344" s="4">
        <f t="shared" si="92"/>
        <v>0</v>
      </c>
      <c r="M344" s="4">
        <f t="shared" si="92"/>
        <v>0</v>
      </c>
      <c r="N344" s="4">
        <f t="shared" si="92"/>
        <v>0</v>
      </c>
      <c r="O344" s="4">
        <f t="shared" si="92"/>
        <v>0</v>
      </c>
      <c r="P344" s="4">
        <f t="shared" si="92"/>
        <v>0</v>
      </c>
      <c r="Q344" s="4">
        <f t="shared" si="92"/>
        <v>0</v>
      </c>
      <c r="R344" s="4">
        <f t="shared" si="92"/>
        <v>0</v>
      </c>
      <c r="S344" s="4">
        <f t="shared" si="92"/>
        <v>0</v>
      </c>
      <c r="T344" s="4">
        <f t="shared" si="92"/>
        <v>0</v>
      </c>
      <c r="U344" s="4">
        <f t="shared" si="92"/>
        <v>0</v>
      </c>
      <c r="V344" s="4">
        <f t="shared" si="92"/>
        <v>0</v>
      </c>
      <c r="W344" s="4">
        <f t="shared" si="92"/>
        <v>0</v>
      </c>
    </row>
    <row r="345" spans="1:23" x14ac:dyDescent="0.2">
      <c r="A345">
        <v>21</v>
      </c>
      <c r="B345" s="1">
        <v>37196</v>
      </c>
      <c r="D345" s="4">
        <f t="shared" si="85"/>
        <v>0</v>
      </c>
      <c r="E345" s="4">
        <f t="shared" si="85"/>
        <v>0</v>
      </c>
      <c r="F345" s="4">
        <f t="shared" si="90"/>
        <v>0</v>
      </c>
      <c r="G345" s="4">
        <f t="shared" si="90"/>
        <v>0</v>
      </c>
      <c r="H345" s="4">
        <f t="shared" ref="H345:I370" si="93">H71*$M$17</f>
        <v>0</v>
      </c>
      <c r="I345" s="4">
        <f t="shared" si="93"/>
        <v>0</v>
      </c>
      <c r="J345" s="4">
        <f t="shared" ref="J345:W345" si="94">J71*$M$17</f>
        <v>0</v>
      </c>
      <c r="K345" s="4">
        <f t="shared" si="94"/>
        <v>0</v>
      </c>
      <c r="L345" s="4">
        <f t="shared" si="94"/>
        <v>0</v>
      </c>
      <c r="M345" s="4">
        <f t="shared" si="94"/>
        <v>0</v>
      </c>
      <c r="N345" s="4">
        <f t="shared" si="94"/>
        <v>0</v>
      </c>
      <c r="O345" s="4">
        <f t="shared" si="94"/>
        <v>0</v>
      </c>
      <c r="P345" s="4">
        <f t="shared" si="94"/>
        <v>0</v>
      </c>
      <c r="Q345" s="4">
        <f t="shared" si="94"/>
        <v>0</v>
      </c>
      <c r="R345" s="4">
        <f t="shared" si="94"/>
        <v>0</v>
      </c>
      <c r="S345" s="4">
        <f t="shared" si="94"/>
        <v>0</v>
      </c>
      <c r="T345" s="4">
        <f t="shared" si="94"/>
        <v>0</v>
      </c>
      <c r="U345" s="4">
        <f t="shared" si="94"/>
        <v>0</v>
      </c>
      <c r="V345" s="4">
        <f t="shared" si="94"/>
        <v>0</v>
      </c>
      <c r="W345" s="4">
        <f t="shared" si="94"/>
        <v>0</v>
      </c>
    </row>
    <row r="346" spans="1:23" x14ac:dyDescent="0.2">
      <c r="A346">
        <v>22</v>
      </c>
      <c r="B346" s="1">
        <v>37226</v>
      </c>
      <c r="D346" s="4">
        <f t="shared" si="85"/>
        <v>0</v>
      </c>
      <c r="E346" s="4">
        <f t="shared" si="85"/>
        <v>0</v>
      </c>
      <c r="F346" s="4">
        <f t="shared" si="90"/>
        <v>0</v>
      </c>
      <c r="G346" s="4">
        <f t="shared" si="90"/>
        <v>0</v>
      </c>
      <c r="H346" s="4">
        <f t="shared" si="93"/>
        <v>0</v>
      </c>
      <c r="I346" s="4">
        <f t="shared" si="93"/>
        <v>0</v>
      </c>
      <c r="J346" s="4">
        <f t="shared" ref="J346:W346" si="95">J72*$M$17</f>
        <v>0</v>
      </c>
      <c r="K346" s="4">
        <f t="shared" si="95"/>
        <v>0</v>
      </c>
      <c r="L346" s="4">
        <f t="shared" si="95"/>
        <v>0</v>
      </c>
      <c r="M346" s="4">
        <f t="shared" si="95"/>
        <v>0</v>
      </c>
      <c r="N346" s="4">
        <f t="shared" si="95"/>
        <v>0</v>
      </c>
      <c r="O346" s="4">
        <f t="shared" si="95"/>
        <v>0</v>
      </c>
      <c r="P346" s="4">
        <f t="shared" si="95"/>
        <v>0</v>
      </c>
      <c r="Q346" s="4">
        <f t="shared" si="95"/>
        <v>0</v>
      </c>
      <c r="R346" s="4">
        <f t="shared" si="95"/>
        <v>0</v>
      </c>
      <c r="S346" s="4">
        <f t="shared" si="95"/>
        <v>0</v>
      </c>
      <c r="T346" s="4">
        <f t="shared" si="95"/>
        <v>0</v>
      </c>
      <c r="U346" s="4">
        <f t="shared" si="95"/>
        <v>0</v>
      </c>
      <c r="V346" s="4">
        <f t="shared" si="95"/>
        <v>0</v>
      </c>
      <c r="W346" s="4">
        <f t="shared" si="95"/>
        <v>0</v>
      </c>
    </row>
    <row r="347" spans="1:23" x14ac:dyDescent="0.2">
      <c r="A347">
        <v>23</v>
      </c>
      <c r="B347" s="1">
        <v>37257</v>
      </c>
      <c r="D347" s="4">
        <f t="shared" si="85"/>
        <v>0</v>
      </c>
      <c r="E347" s="4">
        <f t="shared" si="85"/>
        <v>0</v>
      </c>
      <c r="F347" s="4">
        <f t="shared" si="90"/>
        <v>0</v>
      </c>
      <c r="G347" s="4">
        <f t="shared" si="90"/>
        <v>0</v>
      </c>
      <c r="H347" s="4">
        <f t="shared" si="93"/>
        <v>0</v>
      </c>
      <c r="I347" s="4">
        <f t="shared" si="93"/>
        <v>0</v>
      </c>
      <c r="J347" s="4">
        <f t="shared" ref="J347:W347" si="96">J73*$M$17</f>
        <v>0</v>
      </c>
      <c r="K347" s="4">
        <f t="shared" si="96"/>
        <v>0</v>
      </c>
      <c r="L347" s="4">
        <f t="shared" si="96"/>
        <v>0</v>
      </c>
      <c r="M347" s="4">
        <f t="shared" si="96"/>
        <v>0</v>
      </c>
      <c r="N347" s="4">
        <f t="shared" si="96"/>
        <v>0</v>
      </c>
      <c r="O347" s="4">
        <f t="shared" si="96"/>
        <v>0</v>
      </c>
      <c r="P347" s="4">
        <f t="shared" si="96"/>
        <v>0</v>
      </c>
      <c r="Q347" s="4">
        <f t="shared" si="96"/>
        <v>0</v>
      </c>
      <c r="R347" s="4">
        <f t="shared" si="96"/>
        <v>0</v>
      </c>
      <c r="S347" s="4">
        <f t="shared" si="96"/>
        <v>0</v>
      </c>
      <c r="T347" s="4">
        <f t="shared" si="96"/>
        <v>0</v>
      </c>
      <c r="U347" s="4">
        <f t="shared" si="96"/>
        <v>0</v>
      </c>
      <c r="V347" s="4">
        <f t="shared" si="96"/>
        <v>0</v>
      </c>
      <c r="W347" s="4">
        <f t="shared" si="96"/>
        <v>0</v>
      </c>
    </row>
    <row r="348" spans="1:23" x14ac:dyDescent="0.2">
      <c r="A348">
        <v>24</v>
      </c>
      <c r="B348" s="1">
        <v>37288</v>
      </c>
      <c r="D348" s="4">
        <f t="shared" si="85"/>
        <v>0</v>
      </c>
      <c r="E348" s="4">
        <f t="shared" si="85"/>
        <v>0</v>
      </c>
      <c r="F348" s="4">
        <f t="shared" si="90"/>
        <v>0</v>
      </c>
      <c r="G348" s="4">
        <f t="shared" si="90"/>
        <v>0</v>
      </c>
      <c r="H348" s="4">
        <f t="shared" si="93"/>
        <v>0</v>
      </c>
      <c r="I348" s="4">
        <f t="shared" si="93"/>
        <v>0</v>
      </c>
      <c r="J348" s="4">
        <v>0</v>
      </c>
      <c r="K348" s="4">
        <v>0</v>
      </c>
      <c r="L348" s="4">
        <v>0</v>
      </c>
      <c r="M348" s="4">
        <v>0</v>
      </c>
      <c r="N348" s="4">
        <f t="shared" ref="N348:W348" si="97">N74*$M$17</f>
        <v>0</v>
      </c>
      <c r="O348" s="4">
        <f t="shared" si="97"/>
        <v>0</v>
      </c>
      <c r="P348" s="4">
        <f t="shared" si="97"/>
        <v>0</v>
      </c>
      <c r="Q348" s="4">
        <f t="shared" si="97"/>
        <v>0</v>
      </c>
      <c r="R348" s="4">
        <f t="shared" si="97"/>
        <v>0</v>
      </c>
      <c r="S348" s="4">
        <f t="shared" si="97"/>
        <v>0</v>
      </c>
      <c r="T348" s="4">
        <f t="shared" si="97"/>
        <v>0</v>
      </c>
      <c r="U348" s="4">
        <f t="shared" si="97"/>
        <v>0</v>
      </c>
      <c r="V348" s="4">
        <f t="shared" si="97"/>
        <v>0</v>
      </c>
      <c r="W348" s="4">
        <f t="shared" si="97"/>
        <v>0</v>
      </c>
    </row>
    <row r="349" spans="1:23" x14ac:dyDescent="0.2">
      <c r="A349">
        <v>25</v>
      </c>
      <c r="B349" s="1">
        <v>37316</v>
      </c>
      <c r="D349" s="4">
        <f t="shared" si="85"/>
        <v>0</v>
      </c>
      <c r="E349" s="4">
        <f t="shared" si="85"/>
        <v>0</v>
      </c>
      <c r="F349" s="4">
        <f t="shared" si="90"/>
        <v>0</v>
      </c>
      <c r="G349" s="4">
        <f t="shared" si="90"/>
        <v>0</v>
      </c>
      <c r="H349" s="4">
        <f t="shared" si="93"/>
        <v>0</v>
      </c>
      <c r="I349" s="4">
        <f t="shared" si="93"/>
        <v>0</v>
      </c>
      <c r="J349" s="4">
        <f t="shared" ref="J349:M370" si="98">J75*$M$17</f>
        <v>0</v>
      </c>
      <c r="K349" s="4">
        <f t="shared" si="98"/>
        <v>0</v>
      </c>
      <c r="L349" s="4">
        <f t="shared" si="98"/>
        <v>0</v>
      </c>
      <c r="M349" s="4">
        <f t="shared" si="98"/>
        <v>0</v>
      </c>
      <c r="N349" s="4">
        <f t="shared" ref="N349:W349" si="99">N75*$M$17</f>
        <v>0</v>
      </c>
      <c r="O349" s="4">
        <f t="shared" si="99"/>
        <v>0</v>
      </c>
      <c r="P349" s="4">
        <f t="shared" si="99"/>
        <v>0</v>
      </c>
      <c r="Q349" s="4">
        <f t="shared" si="99"/>
        <v>0</v>
      </c>
      <c r="R349" s="4">
        <f t="shared" si="99"/>
        <v>0</v>
      </c>
      <c r="S349" s="4">
        <f t="shared" si="99"/>
        <v>0</v>
      </c>
      <c r="T349" s="4">
        <f t="shared" si="99"/>
        <v>0</v>
      </c>
      <c r="U349" s="4">
        <f t="shared" si="99"/>
        <v>0</v>
      </c>
      <c r="V349" s="4">
        <f t="shared" si="99"/>
        <v>0</v>
      </c>
      <c r="W349" s="4">
        <f t="shared" si="99"/>
        <v>0</v>
      </c>
    </row>
    <row r="350" spans="1:23" x14ac:dyDescent="0.2">
      <c r="A350">
        <v>26</v>
      </c>
      <c r="B350" s="1">
        <v>37347</v>
      </c>
      <c r="D350" s="4">
        <f t="shared" si="85"/>
        <v>0</v>
      </c>
      <c r="E350" s="4">
        <f t="shared" si="85"/>
        <v>0</v>
      </c>
      <c r="F350" s="4">
        <f t="shared" si="90"/>
        <v>0</v>
      </c>
      <c r="G350" s="4">
        <f t="shared" si="90"/>
        <v>0</v>
      </c>
      <c r="H350" s="4">
        <f t="shared" si="93"/>
        <v>0</v>
      </c>
      <c r="I350" s="4">
        <f t="shared" si="93"/>
        <v>0</v>
      </c>
      <c r="J350" s="4">
        <f t="shared" si="98"/>
        <v>0</v>
      </c>
      <c r="K350" s="4">
        <f t="shared" si="98"/>
        <v>0</v>
      </c>
      <c r="L350" s="4">
        <f t="shared" si="98"/>
        <v>0</v>
      </c>
      <c r="M350" s="4">
        <f t="shared" si="98"/>
        <v>0</v>
      </c>
      <c r="N350" s="4">
        <v>0</v>
      </c>
      <c r="O350" s="4">
        <v>0</v>
      </c>
      <c r="P350" s="4">
        <f t="shared" ref="P350:W356" si="100">P76*$M$17</f>
        <v>0</v>
      </c>
      <c r="Q350" s="4">
        <f t="shared" si="100"/>
        <v>0</v>
      </c>
      <c r="R350" s="4">
        <f t="shared" si="100"/>
        <v>0</v>
      </c>
      <c r="S350" s="4">
        <f t="shared" si="100"/>
        <v>0</v>
      </c>
      <c r="T350" s="4">
        <f t="shared" si="100"/>
        <v>0</v>
      </c>
      <c r="U350" s="4">
        <f t="shared" si="100"/>
        <v>0</v>
      </c>
      <c r="V350" s="4">
        <f t="shared" si="100"/>
        <v>0</v>
      </c>
      <c r="W350" s="4">
        <f t="shared" si="100"/>
        <v>0</v>
      </c>
    </row>
    <row r="351" spans="1:23" x14ac:dyDescent="0.2">
      <c r="A351">
        <v>27</v>
      </c>
      <c r="B351" s="1">
        <v>37377</v>
      </c>
      <c r="D351" s="4">
        <f t="shared" si="85"/>
        <v>0</v>
      </c>
      <c r="E351" s="4">
        <f t="shared" si="85"/>
        <v>0</v>
      </c>
      <c r="F351" s="4">
        <f t="shared" si="90"/>
        <v>0</v>
      </c>
      <c r="G351" s="4">
        <f t="shared" si="90"/>
        <v>0</v>
      </c>
      <c r="H351" s="4">
        <f t="shared" si="93"/>
        <v>0</v>
      </c>
      <c r="I351" s="4">
        <f t="shared" si="93"/>
        <v>0</v>
      </c>
      <c r="J351" s="4">
        <f t="shared" si="98"/>
        <v>0</v>
      </c>
      <c r="K351" s="4">
        <f t="shared" si="98"/>
        <v>0</v>
      </c>
      <c r="L351" s="4">
        <f t="shared" si="98"/>
        <v>0</v>
      </c>
      <c r="M351" s="4">
        <f t="shared" si="98"/>
        <v>0</v>
      </c>
      <c r="N351" s="4">
        <f t="shared" ref="N351:O370" si="101">N77*$M$17</f>
        <v>0</v>
      </c>
      <c r="O351" s="4">
        <f t="shared" si="101"/>
        <v>0</v>
      </c>
      <c r="P351" s="4">
        <f t="shared" si="100"/>
        <v>0</v>
      </c>
      <c r="Q351" s="4">
        <f t="shared" si="100"/>
        <v>0</v>
      </c>
      <c r="R351" s="4">
        <f t="shared" si="100"/>
        <v>0</v>
      </c>
      <c r="S351" s="4">
        <f t="shared" si="100"/>
        <v>0</v>
      </c>
      <c r="T351" s="4">
        <f t="shared" si="100"/>
        <v>0</v>
      </c>
      <c r="U351" s="4">
        <f t="shared" si="100"/>
        <v>0</v>
      </c>
      <c r="V351" s="4">
        <f t="shared" si="100"/>
        <v>0</v>
      </c>
      <c r="W351" s="4">
        <f t="shared" si="100"/>
        <v>0</v>
      </c>
    </row>
    <row r="352" spans="1:23" x14ac:dyDescent="0.2">
      <c r="A352">
        <v>28</v>
      </c>
      <c r="B352" s="1">
        <v>37408</v>
      </c>
      <c r="D352" s="4">
        <f t="shared" si="85"/>
        <v>0</v>
      </c>
      <c r="E352" s="4">
        <f t="shared" si="85"/>
        <v>0</v>
      </c>
      <c r="F352" s="4">
        <f t="shared" si="90"/>
        <v>0</v>
      </c>
      <c r="G352" s="4">
        <f t="shared" si="90"/>
        <v>0</v>
      </c>
      <c r="H352" s="4">
        <f t="shared" si="93"/>
        <v>0</v>
      </c>
      <c r="I352" s="4">
        <f t="shared" si="93"/>
        <v>0</v>
      </c>
      <c r="J352" s="4">
        <f t="shared" si="98"/>
        <v>0</v>
      </c>
      <c r="K352" s="4">
        <f t="shared" si="98"/>
        <v>0</v>
      </c>
      <c r="L352" s="4">
        <f t="shared" si="98"/>
        <v>0</v>
      </c>
      <c r="M352" s="4">
        <f t="shared" si="98"/>
        <v>0</v>
      </c>
      <c r="N352" s="4">
        <f t="shared" si="101"/>
        <v>0</v>
      </c>
      <c r="O352" s="4">
        <f t="shared" si="101"/>
        <v>0</v>
      </c>
      <c r="P352" s="4">
        <f t="shared" si="100"/>
        <v>0</v>
      </c>
      <c r="Q352" s="4">
        <f t="shared" si="100"/>
        <v>0</v>
      </c>
      <c r="R352" s="4">
        <f t="shared" si="100"/>
        <v>0</v>
      </c>
      <c r="S352" s="4">
        <f t="shared" si="100"/>
        <v>0</v>
      </c>
      <c r="T352" s="4">
        <f t="shared" si="100"/>
        <v>0</v>
      </c>
      <c r="U352" s="4">
        <f t="shared" si="100"/>
        <v>0</v>
      </c>
      <c r="V352" s="4">
        <f t="shared" si="100"/>
        <v>0</v>
      </c>
      <c r="W352" s="4">
        <f t="shared" si="100"/>
        <v>0</v>
      </c>
    </row>
    <row r="353" spans="1:23" x14ac:dyDescent="0.2">
      <c r="A353">
        <v>29</v>
      </c>
      <c r="B353" s="1">
        <v>37438</v>
      </c>
      <c r="D353" s="4">
        <f t="shared" si="85"/>
        <v>0</v>
      </c>
      <c r="E353" s="4">
        <f t="shared" si="85"/>
        <v>0</v>
      </c>
      <c r="F353" s="4">
        <f t="shared" si="90"/>
        <v>0</v>
      </c>
      <c r="G353" s="4">
        <f t="shared" si="90"/>
        <v>0</v>
      </c>
      <c r="H353" s="4">
        <f t="shared" si="93"/>
        <v>0</v>
      </c>
      <c r="I353" s="4">
        <f t="shared" si="93"/>
        <v>0</v>
      </c>
      <c r="J353" s="4">
        <f t="shared" si="98"/>
        <v>0</v>
      </c>
      <c r="K353" s="4">
        <f t="shared" si="98"/>
        <v>0</v>
      </c>
      <c r="L353" s="4">
        <f t="shared" si="98"/>
        <v>0</v>
      </c>
      <c r="M353" s="4">
        <f t="shared" si="98"/>
        <v>0</v>
      </c>
      <c r="N353" s="4">
        <f t="shared" si="101"/>
        <v>0</v>
      </c>
      <c r="O353" s="4">
        <f t="shared" si="101"/>
        <v>0</v>
      </c>
      <c r="P353" s="4">
        <f t="shared" si="100"/>
        <v>0</v>
      </c>
      <c r="Q353" s="4">
        <f t="shared" si="100"/>
        <v>0</v>
      </c>
      <c r="R353" s="4">
        <f t="shared" si="100"/>
        <v>0</v>
      </c>
      <c r="S353" s="4">
        <f t="shared" si="100"/>
        <v>0</v>
      </c>
      <c r="T353" s="4">
        <f t="shared" si="100"/>
        <v>0</v>
      </c>
      <c r="U353" s="4">
        <f t="shared" si="100"/>
        <v>0</v>
      </c>
      <c r="V353" s="4">
        <f t="shared" si="100"/>
        <v>0</v>
      </c>
      <c r="W353" s="4">
        <f t="shared" si="100"/>
        <v>0</v>
      </c>
    </row>
    <row r="354" spans="1:23" x14ac:dyDescent="0.2">
      <c r="A354">
        <v>30</v>
      </c>
      <c r="B354" s="1">
        <v>37469</v>
      </c>
      <c r="D354" s="4">
        <f t="shared" si="85"/>
        <v>0</v>
      </c>
      <c r="E354" s="4">
        <f t="shared" si="85"/>
        <v>0</v>
      </c>
      <c r="F354" s="4">
        <f t="shared" si="90"/>
        <v>0</v>
      </c>
      <c r="G354" s="4">
        <f t="shared" si="90"/>
        <v>0</v>
      </c>
      <c r="H354" s="4">
        <f t="shared" si="93"/>
        <v>0</v>
      </c>
      <c r="I354" s="4">
        <f t="shared" si="93"/>
        <v>0</v>
      </c>
      <c r="J354" s="4">
        <f t="shared" si="98"/>
        <v>0</v>
      </c>
      <c r="K354" s="4">
        <f t="shared" si="98"/>
        <v>0</v>
      </c>
      <c r="L354" s="4">
        <f t="shared" si="98"/>
        <v>0</v>
      </c>
      <c r="M354" s="4">
        <f t="shared" si="98"/>
        <v>0</v>
      </c>
      <c r="N354" s="4">
        <f t="shared" si="101"/>
        <v>0</v>
      </c>
      <c r="O354" s="4">
        <f t="shared" si="101"/>
        <v>0</v>
      </c>
      <c r="P354" s="4">
        <f t="shared" si="100"/>
        <v>0</v>
      </c>
      <c r="Q354" s="4">
        <f t="shared" si="100"/>
        <v>0</v>
      </c>
      <c r="R354" s="4">
        <f t="shared" si="100"/>
        <v>0</v>
      </c>
      <c r="S354" s="4">
        <f t="shared" si="100"/>
        <v>0</v>
      </c>
      <c r="T354" s="4">
        <f t="shared" si="100"/>
        <v>0</v>
      </c>
      <c r="U354" s="4">
        <f t="shared" si="100"/>
        <v>0</v>
      </c>
      <c r="V354" s="4">
        <f t="shared" si="100"/>
        <v>0</v>
      </c>
      <c r="W354" s="4">
        <f t="shared" si="100"/>
        <v>0</v>
      </c>
    </row>
    <row r="355" spans="1:23" x14ac:dyDescent="0.2">
      <c r="A355">
        <v>31</v>
      </c>
      <c r="B355" s="1">
        <v>37500</v>
      </c>
      <c r="D355" s="4">
        <f t="shared" si="85"/>
        <v>0</v>
      </c>
      <c r="E355" s="4">
        <f t="shared" si="85"/>
        <v>0</v>
      </c>
      <c r="F355" s="4">
        <f t="shared" si="90"/>
        <v>0</v>
      </c>
      <c r="G355" s="4">
        <f t="shared" si="90"/>
        <v>0</v>
      </c>
      <c r="H355" s="4">
        <f t="shared" si="93"/>
        <v>0</v>
      </c>
      <c r="I355" s="4">
        <f t="shared" si="93"/>
        <v>0</v>
      </c>
      <c r="J355" s="4">
        <f t="shared" si="98"/>
        <v>0</v>
      </c>
      <c r="K355" s="4">
        <f t="shared" si="98"/>
        <v>0</v>
      </c>
      <c r="L355" s="4">
        <f t="shared" si="98"/>
        <v>0</v>
      </c>
      <c r="M355" s="4">
        <f t="shared" si="98"/>
        <v>0</v>
      </c>
      <c r="N355" s="4">
        <f t="shared" si="101"/>
        <v>0</v>
      </c>
      <c r="O355" s="4">
        <f t="shared" si="101"/>
        <v>0</v>
      </c>
      <c r="P355" s="4">
        <f t="shared" si="100"/>
        <v>0</v>
      </c>
      <c r="Q355" s="4">
        <f t="shared" si="100"/>
        <v>0</v>
      </c>
      <c r="R355" s="4">
        <f t="shared" si="100"/>
        <v>0</v>
      </c>
      <c r="S355" s="4">
        <f t="shared" si="100"/>
        <v>0</v>
      </c>
      <c r="T355" s="4">
        <f t="shared" si="100"/>
        <v>0</v>
      </c>
      <c r="U355" s="4">
        <f t="shared" si="100"/>
        <v>0</v>
      </c>
      <c r="V355" s="4">
        <f t="shared" si="100"/>
        <v>0</v>
      </c>
      <c r="W355" s="4">
        <f t="shared" si="100"/>
        <v>0</v>
      </c>
    </row>
    <row r="356" spans="1:23" x14ac:dyDescent="0.2">
      <c r="A356">
        <v>32</v>
      </c>
      <c r="B356" s="1">
        <v>37530</v>
      </c>
      <c r="D356" s="4">
        <f t="shared" si="85"/>
        <v>0</v>
      </c>
      <c r="E356" s="4">
        <f t="shared" si="85"/>
        <v>0</v>
      </c>
      <c r="F356" s="4">
        <f t="shared" si="90"/>
        <v>0</v>
      </c>
      <c r="G356" s="4">
        <f t="shared" si="90"/>
        <v>0</v>
      </c>
      <c r="H356" s="4">
        <f t="shared" si="93"/>
        <v>0</v>
      </c>
      <c r="I356" s="4">
        <f t="shared" si="93"/>
        <v>0</v>
      </c>
      <c r="J356" s="4">
        <f t="shared" si="98"/>
        <v>0</v>
      </c>
      <c r="K356" s="4">
        <f t="shared" si="98"/>
        <v>0</v>
      </c>
      <c r="L356" s="4">
        <f t="shared" si="98"/>
        <v>0</v>
      </c>
      <c r="M356" s="4">
        <f t="shared" si="98"/>
        <v>0</v>
      </c>
      <c r="N356" s="4">
        <f t="shared" si="101"/>
        <v>0</v>
      </c>
      <c r="O356" s="4">
        <f t="shared" si="101"/>
        <v>0</v>
      </c>
      <c r="P356" s="4">
        <f t="shared" si="100"/>
        <v>0</v>
      </c>
      <c r="Q356" s="4">
        <f t="shared" si="100"/>
        <v>0</v>
      </c>
      <c r="R356" s="4">
        <f t="shared" si="100"/>
        <v>0</v>
      </c>
      <c r="S356" s="4">
        <f t="shared" si="100"/>
        <v>0</v>
      </c>
      <c r="T356" s="4">
        <f t="shared" si="100"/>
        <v>0</v>
      </c>
      <c r="U356" s="4">
        <f t="shared" si="100"/>
        <v>0</v>
      </c>
      <c r="V356" s="4">
        <f t="shared" si="100"/>
        <v>0</v>
      </c>
      <c r="W356" s="4">
        <f t="shared" si="100"/>
        <v>0</v>
      </c>
    </row>
    <row r="357" spans="1:23" x14ac:dyDescent="0.2">
      <c r="A357">
        <v>33</v>
      </c>
      <c r="B357" s="1">
        <v>37561</v>
      </c>
      <c r="D357" s="4">
        <f t="shared" si="85"/>
        <v>0</v>
      </c>
      <c r="E357" s="4">
        <f t="shared" si="85"/>
        <v>0</v>
      </c>
      <c r="F357" s="4">
        <f t="shared" si="90"/>
        <v>0</v>
      </c>
      <c r="G357" s="4">
        <f t="shared" si="90"/>
        <v>0</v>
      </c>
      <c r="H357" s="4">
        <f t="shared" si="93"/>
        <v>0</v>
      </c>
      <c r="I357" s="4">
        <f t="shared" si="93"/>
        <v>0</v>
      </c>
      <c r="J357" s="4">
        <f t="shared" si="98"/>
        <v>0</v>
      </c>
      <c r="K357" s="4">
        <f t="shared" si="98"/>
        <v>0</v>
      </c>
      <c r="L357" s="4">
        <f t="shared" si="98"/>
        <v>0</v>
      </c>
      <c r="M357" s="4">
        <f t="shared" si="98"/>
        <v>0</v>
      </c>
      <c r="N357" s="4">
        <f t="shared" si="101"/>
        <v>0</v>
      </c>
      <c r="O357" s="4">
        <f t="shared" si="101"/>
        <v>0</v>
      </c>
      <c r="P357" s="4">
        <v>0</v>
      </c>
      <c r="Q357" s="4">
        <v>0</v>
      </c>
      <c r="R357" s="4">
        <f t="shared" ref="R357:W358" si="102">R83*$M$17</f>
        <v>0</v>
      </c>
      <c r="S357" s="4">
        <f t="shared" si="102"/>
        <v>0</v>
      </c>
      <c r="T357" s="4">
        <f t="shared" si="102"/>
        <v>0</v>
      </c>
      <c r="U357" s="4">
        <f t="shared" si="102"/>
        <v>0</v>
      </c>
      <c r="V357" s="4">
        <f t="shared" si="102"/>
        <v>0</v>
      </c>
      <c r="W357" s="4">
        <f t="shared" si="102"/>
        <v>0</v>
      </c>
    </row>
    <row r="358" spans="1:23" x14ac:dyDescent="0.2">
      <c r="A358">
        <v>34</v>
      </c>
      <c r="B358" s="1">
        <v>37591</v>
      </c>
      <c r="D358" s="4">
        <f t="shared" si="85"/>
        <v>0</v>
      </c>
      <c r="E358" s="4">
        <f t="shared" si="85"/>
        <v>0</v>
      </c>
      <c r="F358" s="4">
        <f t="shared" si="90"/>
        <v>0</v>
      </c>
      <c r="G358" s="4">
        <f t="shared" si="90"/>
        <v>0</v>
      </c>
      <c r="H358" s="4">
        <f t="shared" si="93"/>
        <v>0</v>
      </c>
      <c r="I358" s="4">
        <f t="shared" si="93"/>
        <v>0</v>
      </c>
      <c r="J358" s="4">
        <f t="shared" si="98"/>
        <v>0</v>
      </c>
      <c r="K358" s="4">
        <f t="shared" si="98"/>
        <v>0</v>
      </c>
      <c r="L358" s="4">
        <f t="shared" si="98"/>
        <v>0</v>
      </c>
      <c r="M358" s="4">
        <f t="shared" si="98"/>
        <v>0</v>
      </c>
      <c r="N358" s="4">
        <f t="shared" si="101"/>
        <v>0</v>
      </c>
      <c r="O358" s="4">
        <f t="shared" si="101"/>
        <v>0</v>
      </c>
      <c r="P358" s="4">
        <f t="shared" ref="P358:Q370" si="103">P84*$M$17</f>
        <v>0</v>
      </c>
      <c r="Q358" s="4">
        <f t="shared" si="103"/>
        <v>0</v>
      </c>
      <c r="R358" s="4">
        <f t="shared" si="102"/>
        <v>0</v>
      </c>
      <c r="S358" s="4">
        <f t="shared" si="102"/>
        <v>0</v>
      </c>
      <c r="T358" s="4">
        <f t="shared" si="102"/>
        <v>0</v>
      </c>
      <c r="U358" s="4">
        <f t="shared" si="102"/>
        <v>0</v>
      </c>
      <c r="V358" s="4">
        <f t="shared" si="102"/>
        <v>0</v>
      </c>
      <c r="W358" s="4">
        <f t="shared" si="102"/>
        <v>0</v>
      </c>
    </row>
    <row r="359" spans="1:23" x14ac:dyDescent="0.2">
      <c r="A359">
        <v>35</v>
      </c>
      <c r="B359" s="1">
        <v>37622</v>
      </c>
      <c r="D359" s="4">
        <f t="shared" si="85"/>
        <v>0</v>
      </c>
      <c r="E359" s="4">
        <f t="shared" si="85"/>
        <v>0</v>
      </c>
      <c r="F359" s="4">
        <f t="shared" si="90"/>
        <v>0</v>
      </c>
      <c r="G359" s="4">
        <f t="shared" si="90"/>
        <v>0</v>
      </c>
      <c r="H359" s="4">
        <f t="shared" si="93"/>
        <v>0</v>
      </c>
      <c r="I359" s="4">
        <f t="shared" si="93"/>
        <v>0</v>
      </c>
      <c r="J359" s="4">
        <f t="shared" si="98"/>
        <v>0</v>
      </c>
      <c r="K359" s="4">
        <f t="shared" si="98"/>
        <v>0</v>
      </c>
      <c r="L359" s="4">
        <f t="shared" si="98"/>
        <v>0</v>
      </c>
      <c r="M359" s="4">
        <f t="shared" si="98"/>
        <v>0</v>
      </c>
      <c r="N359" s="4">
        <f t="shared" si="101"/>
        <v>0</v>
      </c>
      <c r="O359" s="4">
        <f t="shared" si="101"/>
        <v>0</v>
      </c>
      <c r="P359" s="4">
        <f t="shared" si="103"/>
        <v>0</v>
      </c>
      <c r="Q359" s="4">
        <f t="shared" si="103"/>
        <v>0</v>
      </c>
      <c r="R359" s="4">
        <v>0</v>
      </c>
      <c r="S359" s="4">
        <v>0</v>
      </c>
      <c r="T359" s="4">
        <v>0</v>
      </c>
      <c r="U359" s="4">
        <v>0</v>
      </c>
      <c r="V359" s="4">
        <f t="shared" ref="V359:W361" si="104">V85*$M$17</f>
        <v>0</v>
      </c>
      <c r="W359" s="4">
        <f t="shared" si="104"/>
        <v>0</v>
      </c>
    </row>
    <row r="360" spans="1:23" x14ac:dyDescent="0.2">
      <c r="A360">
        <v>36</v>
      </c>
      <c r="B360" s="1">
        <v>37653</v>
      </c>
      <c r="D360" s="4">
        <f t="shared" si="85"/>
        <v>0</v>
      </c>
      <c r="E360" s="4">
        <f t="shared" si="85"/>
        <v>0</v>
      </c>
      <c r="F360" s="4">
        <f t="shared" si="90"/>
        <v>0</v>
      </c>
      <c r="G360" s="4">
        <f t="shared" si="90"/>
        <v>0</v>
      </c>
      <c r="H360" s="4">
        <f t="shared" si="93"/>
        <v>0</v>
      </c>
      <c r="I360" s="4">
        <f t="shared" si="93"/>
        <v>0</v>
      </c>
      <c r="J360" s="4">
        <f t="shared" si="98"/>
        <v>0</v>
      </c>
      <c r="K360" s="4">
        <f t="shared" si="98"/>
        <v>0</v>
      </c>
      <c r="L360" s="4">
        <f t="shared" si="98"/>
        <v>0</v>
      </c>
      <c r="M360" s="4">
        <f t="shared" si="98"/>
        <v>0</v>
      </c>
      <c r="N360" s="4">
        <f t="shared" si="101"/>
        <v>0</v>
      </c>
      <c r="O360" s="4">
        <f t="shared" si="101"/>
        <v>0</v>
      </c>
      <c r="P360" s="4">
        <f t="shared" si="103"/>
        <v>0</v>
      </c>
      <c r="Q360" s="4">
        <f t="shared" si="103"/>
        <v>0</v>
      </c>
      <c r="R360" s="4">
        <f t="shared" ref="R360:U370" si="105">R86*$M$17</f>
        <v>0</v>
      </c>
      <c r="S360" s="4">
        <f t="shared" si="105"/>
        <v>0</v>
      </c>
      <c r="T360" s="4">
        <f t="shared" si="105"/>
        <v>0</v>
      </c>
      <c r="U360" s="4">
        <f t="shared" si="105"/>
        <v>0</v>
      </c>
      <c r="V360" s="4">
        <f t="shared" si="104"/>
        <v>0</v>
      </c>
      <c r="W360" s="4">
        <f t="shared" si="104"/>
        <v>0</v>
      </c>
    </row>
    <row r="361" spans="1:23" x14ac:dyDescent="0.2">
      <c r="A361">
        <v>37</v>
      </c>
      <c r="B361" s="1">
        <v>37681</v>
      </c>
      <c r="D361" s="4">
        <f t="shared" si="85"/>
        <v>0</v>
      </c>
      <c r="E361" s="4">
        <f t="shared" si="85"/>
        <v>0</v>
      </c>
      <c r="F361" s="4">
        <f t="shared" si="90"/>
        <v>0</v>
      </c>
      <c r="G361" s="4">
        <f t="shared" si="90"/>
        <v>0</v>
      </c>
      <c r="H361" s="4">
        <f t="shared" si="93"/>
        <v>0</v>
      </c>
      <c r="I361" s="4">
        <f t="shared" si="93"/>
        <v>0</v>
      </c>
      <c r="J361" s="4">
        <f t="shared" si="98"/>
        <v>0</v>
      </c>
      <c r="K361" s="4">
        <f t="shared" si="98"/>
        <v>0</v>
      </c>
      <c r="L361" s="4">
        <f t="shared" si="98"/>
        <v>0</v>
      </c>
      <c r="M361" s="4">
        <f t="shared" si="98"/>
        <v>0</v>
      </c>
      <c r="N361" s="4">
        <f t="shared" si="101"/>
        <v>0</v>
      </c>
      <c r="O361" s="4">
        <f t="shared" si="101"/>
        <v>0</v>
      </c>
      <c r="P361" s="4">
        <f t="shared" si="103"/>
        <v>0</v>
      </c>
      <c r="Q361" s="4">
        <f t="shared" si="103"/>
        <v>0</v>
      </c>
      <c r="R361" s="4">
        <f t="shared" si="105"/>
        <v>0</v>
      </c>
      <c r="S361" s="4">
        <f t="shared" si="105"/>
        <v>0</v>
      </c>
      <c r="T361" s="4">
        <f t="shared" si="105"/>
        <v>0</v>
      </c>
      <c r="U361" s="4">
        <f t="shared" si="105"/>
        <v>0</v>
      </c>
      <c r="V361" s="4">
        <f t="shared" si="104"/>
        <v>0</v>
      </c>
      <c r="W361" s="4">
        <f t="shared" si="104"/>
        <v>0</v>
      </c>
    </row>
    <row r="362" spans="1:23" x14ac:dyDescent="0.2">
      <c r="A362">
        <v>38</v>
      </c>
      <c r="B362" s="1">
        <v>37712</v>
      </c>
      <c r="D362" s="4">
        <f t="shared" si="85"/>
        <v>0</v>
      </c>
      <c r="E362" s="4">
        <f t="shared" si="85"/>
        <v>0</v>
      </c>
      <c r="F362" s="4">
        <f t="shared" si="90"/>
        <v>0</v>
      </c>
      <c r="G362" s="4">
        <f t="shared" si="90"/>
        <v>0</v>
      </c>
      <c r="H362" s="4">
        <f t="shared" si="93"/>
        <v>0</v>
      </c>
      <c r="I362" s="4">
        <f t="shared" si="93"/>
        <v>0</v>
      </c>
      <c r="J362" s="4">
        <f t="shared" si="98"/>
        <v>0</v>
      </c>
      <c r="K362" s="4">
        <f t="shared" si="98"/>
        <v>0</v>
      </c>
      <c r="L362" s="4">
        <f t="shared" si="98"/>
        <v>0</v>
      </c>
      <c r="M362" s="4">
        <f t="shared" si="98"/>
        <v>0</v>
      </c>
      <c r="N362" s="4">
        <f t="shared" si="101"/>
        <v>0</v>
      </c>
      <c r="O362" s="4">
        <f t="shared" si="101"/>
        <v>0</v>
      </c>
      <c r="P362" s="4">
        <f t="shared" si="103"/>
        <v>0</v>
      </c>
      <c r="Q362" s="4">
        <f t="shared" si="103"/>
        <v>0</v>
      </c>
      <c r="R362" s="4">
        <f t="shared" si="105"/>
        <v>0</v>
      </c>
      <c r="S362" s="4">
        <f t="shared" si="105"/>
        <v>0</v>
      </c>
      <c r="T362" s="4">
        <f t="shared" si="105"/>
        <v>0</v>
      </c>
      <c r="U362" s="4">
        <f t="shared" si="105"/>
        <v>0</v>
      </c>
      <c r="V362" s="4">
        <v>0</v>
      </c>
      <c r="W362" s="4">
        <v>0</v>
      </c>
    </row>
    <row r="363" spans="1:23" x14ac:dyDescent="0.2">
      <c r="A363">
        <v>39</v>
      </c>
      <c r="B363" s="1">
        <v>37742</v>
      </c>
      <c r="D363" s="4">
        <f t="shared" si="85"/>
        <v>0</v>
      </c>
      <c r="E363" s="4">
        <f t="shared" si="85"/>
        <v>0</v>
      </c>
      <c r="F363" s="4">
        <f t="shared" si="90"/>
        <v>0</v>
      </c>
      <c r="G363" s="4">
        <f t="shared" si="90"/>
        <v>0</v>
      </c>
      <c r="H363" s="4">
        <f t="shared" si="93"/>
        <v>0</v>
      </c>
      <c r="I363" s="4">
        <f t="shared" si="93"/>
        <v>0</v>
      </c>
      <c r="J363" s="4">
        <f t="shared" si="98"/>
        <v>0</v>
      </c>
      <c r="K363" s="4">
        <f t="shared" si="98"/>
        <v>0</v>
      </c>
      <c r="L363" s="4">
        <f t="shared" si="98"/>
        <v>0</v>
      </c>
      <c r="M363" s="4">
        <f t="shared" si="98"/>
        <v>0</v>
      </c>
      <c r="N363" s="4">
        <f t="shared" si="101"/>
        <v>0</v>
      </c>
      <c r="O363" s="4">
        <f t="shared" si="101"/>
        <v>0</v>
      </c>
      <c r="P363" s="4">
        <f t="shared" si="103"/>
        <v>0</v>
      </c>
      <c r="Q363" s="4">
        <f t="shared" si="103"/>
        <v>0</v>
      </c>
      <c r="R363" s="4">
        <f t="shared" si="105"/>
        <v>0</v>
      </c>
      <c r="S363" s="4">
        <f t="shared" si="105"/>
        <v>0</v>
      </c>
      <c r="T363" s="4">
        <f t="shared" si="105"/>
        <v>0</v>
      </c>
      <c r="U363" s="4">
        <f t="shared" si="105"/>
        <v>0</v>
      </c>
      <c r="V363" s="4">
        <f t="shared" ref="V363:W370" si="106">V89*$M$17</f>
        <v>0</v>
      </c>
      <c r="W363" s="4">
        <f t="shared" si="106"/>
        <v>0</v>
      </c>
    </row>
    <row r="364" spans="1:23" x14ac:dyDescent="0.2">
      <c r="A364">
        <v>40</v>
      </c>
      <c r="B364" s="1">
        <v>37773</v>
      </c>
      <c r="D364" s="4">
        <f t="shared" si="85"/>
        <v>0</v>
      </c>
      <c r="E364" s="4">
        <f t="shared" si="85"/>
        <v>0</v>
      </c>
      <c r="F364" s="4">
        <f t="shared" si="90"/>
        <v>0</v>
      </c>
      <c r="G364" s="4">
        <f t="shared" si="90"/>
        <v>0</v>
      </c>
      <c r="H364" s="4">
        <f t="shared" si="93"/>
        <v>0</v>
      </c>
      <c r="I364" s="4">
        <f t="shared" si="93"/>
        <v>0</v>
      </c>
      <c r="J364" s="4">
        <f t="shared" si="98"/>
        <v>0</v>
      </c>
      <c r="K364" s="4">
        <f t="shared" si="98"/>
        <v>0</v>
      </c>
      <c r="L364" s="4">
        <f t="shared" si="98"/>
        <v>0</v>
      </c>
      <c r="M364" s="4">
        <f t="shared" si="98"/>
        <v>0</v>
      </c>
      <c r="N364" s="4">
        <f t="shared" si="101"/>
        <v>0</v>
      </c>
      <c r="O364" s="4">
        <f t="shared" si="101"/>
        <v>0</v>
      </c>
      <c r="P364" s="4">
        <f t="shared" si="103"/>
        <v>0</v>
      </c>
      <c r="Q364" s="4">
        <f t="shared" si="103"/>
        <v>0</v>
      </c>
      <c r="R364" s="4">
        <f t="shared" si="105"/>
        <v>0</v>
      </c>
      <c r="S364" s="4">
        <f t="shared" si="105"/>
        <v>0</v>
      </c>
      <c r="T364" s="4">
        <f t="shared" si="105"/>
        <v>0</v>
      </c>
      <c r="U364" s="4">
        <f t="shared" si="105"/>
        <v>0</v>
      </c>
      <c r="V364" s="4">
        <f t="shared" si="106"/>
        <v>0</v>
      </c>
      <c r="W364" s="4">
        <f t="shared" si="106"/>
        <v>0</v>
      </c>
    </row>
    <row r="365" spans="1:23" x14ac:dyDescent="0.2">
      <c r="A365">
        <v>41</v>
      </c>
      <c r="B365" s="1">
        <v>37803</v>
      </c>
      <c r="D365" s="4">
        <f t="shared" si="85"/>
        <v>0</v>
      </c>
      <c r="E365" s="4">
        <f t="shared" si="85"/>
        <v>0</v>
      </c>
      <c r="F365" s="4">
        <f t="shared" si="90"/>
        <v>0</v>
      </c>
      <c r="G365" s="4">
        <f t="shared" si="90"/>
        <v>0</v>
      </c>
      <c r="H365" s="4">
        <f t="shared" si="93"/>
        <v>0</v>
      </c>
      <c r="I365" s="4">
        <f t="shared" si="93"/>
        <v>0</v>
      </c>
      <c r="J365" s="4">
        <f t="shared" si="98"/>
        <v>0</v>
      </c>
      <c r="K365" s="4">
        <f t="shared" si="98"/>
        <v>0</v>
      </c>
      <c r="L365" s="4">
        <f t="shared" si="98"/>
        <v>0</v>
      </c>
      <c r="M365" s="4">
        <f t="shared" si="98"/>
        <v>0</v>
      </c>
      <c r="N365" s="4">
        <f t="shared" si="101"/>
        <v>0</v>
      </c>
      <c r="O365" s="4">
        <f t="shared" si="101"/>
        <v>0</v>
      </c>
      <c r="P365" s="4">
        <f t="shared" si="103"/>
        <v>0</v>
      </c>
      <c r="Q365" s="4">
        <f t="shared" si="103"/>
        <v>0</v>
      </c>
      <c r="R365" s="4">
        <f t="shared" si="105"/>
        <v>0</v>
      </c>
      <c r="S365" s="4">
        <f t="shared" si="105"/>
        <v>0</v>
      </c>
      <c r="T365" s="4">
        <f t="shared" si="105"/>
        <v>0</v>
      </c>
      <c r="U365" s="4">
        <f t="shared" si="105"/>
        <v>0</v>
      </c>
      <c r="V365" s="4">
        <f t="shared" si="106"/>
        <v>0</v>
      </c>
      <c r="W365" s="4">
        <f t="shared" si="106"/>
        <v>0</v>
      </c>
    </row>
    <row r="366" spans="1:23" x14ac:dyDescent="0.2">
      <c r="A366">
        <v>42</v>
      </c>
      <c r="B366" s="1">
        <v>37834</v>
      </c>
      <c r="D366" s="4">
        <f t="shared" si="85"/>
        <v>0</v>
      </c>
      <c r="E366" s="4">
        <f t="shared" si="85"/>
        <v>0</v>
      </c>
      <c r="F366" s="4">
        <f t="shared" si="90"/>
        <v>0</v>
      </c>
      <c r="G366" s="4">
        <f t="shared" si="90"/>
        <v>0</v>
      </c>
      <c r="H366" s="4">
        <f t="shared" si="93"/>
        <v>0</v>
      </c>
      <c r="I366" s="4">
        <f t="shared" si="93"/>
        <v>0</v>
      </c>
      <c r="J366" s="4">
        <f t="shared" si="98"/>
        <v>0</v>
      </c>
      <c r="K366" s="4">
        <f t="shared" si="98"/>
        <v>0</v>
      </c>
      <c r="L366" s="4">
        <f t="shared" si="98"/>
        <v>0</v>
      </c>
      <c r="M366" s="4">
        <f t="shared" si="98"/>
        <v>0</v>
      </c>
      <c r="N366" s="4">
        <f t="shared" si="101"/>
        <v>0</v>
      </c>
      <c r="O366" s="4">
        <f t="shared" si="101"/>
        <v>0</v>
      </c>
      <c r="P366" s="4">
        <f t="shared" si="103"/>
        <v>0</v>
      </c>
      <c r="Q366" s="4">
        <f t="shared" si="103"/>
        <v>0</v>
      </c>
      <c r="R366" s="4">
        <f t="shared" si="105"/>
        <v>0</v>
      </c>
      <c r="S366" s="4">
        <f t="shared" si="105"/>
        <v>0</v>
      </c>
      <c r="T366" s="4">
        <f t="shared" si="105"/>
        <v>0</v>
      </c>
      <c r="U366" s="4">
        <f t="shared" si="105"/>
        <v>0</v>
      </c>
      <c r="V366" s="4">
        <f t="shared" si="106"/>
        <v>0</v>
      </c>
      <c r="W366" s="4">
        <f t="shared" si="106"/>
        <v>0</v>
      </c>
    </row>
    <row r="367" spans="1:23" x14ac:dyDescent="0.2">
      <c r="A367">
        <v>43</v>
      </c>
      <c r="B367" s="1">
        <v>37865</v>
      </c>
      <c r="D367" s="4">
        <f t="shared" si="85"/>
        <v>0</v>
      </c>
      <c r="E367" s="4">
        <f t="shared" si="85"/>
        <v>0</v>
      </c>
      <c r="F367" s="4">
        <f t="shared" si="90"/>
        <v>0</v>
      </c>
      <c r="G367" s="4">
        <f t="shared" si="90"/>
        <v>0</v>
      </c>
      <c r="H367" s="4">
        <f t="shared" si="93"/>
        <v>0</v>
      </c>
      <c r="I367" s="4">
        <f t="shared" si="93"/>
        <v>0</v>
      </c>
      <c r="J367" s="4">
        <f t="shared" si="98"/>
        <v>0</v>
      </c>
      <c r="K367" s="4">
        <f t="shared" si="98"/>
        <v>0</v>
      </c>
      <c r="L367" s="4">
        <f t="shared" si="98"/>
        <v>0</v>
      </c>
      <c r="M367" s="4">
        <f t="shared" si="98"/>
        <v>0</v>
      </c>
      <c r="N367" s="4">
        <f t="shared" si="101"/>
        <v>0</v>
      </c>
      <c r="O367" s="4">
        <f t="shared" si="101"/>
        <v>0</v>
      </c>
      <c r="P367" s="4">
        <f t="shared" si="103"/>
        <v>0</v>
      </c>
      <c r="Q367" s="4">
        <f t="shared" si="103"/>
        <v>0</v>
      </c>
      <c r="R367" s="4">
        <f t="shared" si="105"/>
        <v>0</v>
      </c>
      <c r="S367" s="4">
        <f t="shared" si="105"/>
        <v>0</v>
      </c>
      <c r="T367" s="4">
        <f t="shared" si="105"/>
        <v>0</v>
      </c>
      <c r="U367" s="4">
        <f t="shared" si="105"/>
        <v>0</v>
      </c>
      <c r="V367" s="4">
        <f t="shared" si="106"/>
        <v>0</v>
      </c>
      <c r="W367" s="4">
        <f t="shared" si="106"/>
        <v>0</v>
      </c>
    </row>
    <row r="368" spans="1:23" x14ac:dyDescent="0.2">
      <c r="A368">
        <v>44</v>
      </c>
      <c r="B368" s="1">
        <v>37895</v>
      </c>
      <c r="D368" s="4">
        <f t="shared" si="85"/>
        <v>0</v>
      </c>
      <c r="E368" s="4">
        <f t="shared" si="85"/>
        <v>0</v>
      </c>
      <c r="F368" s="4">
        <f t="shared" si="90"/>
        <v>0</v>
      </c>
      <c r="G368" s="4">
        <f t="shared" si="90"/>
        <v>0</v>
      </c>
      <c r="H368" s="4">
        <f t="shared" si="93"/>
        <v>0</v>
      </c>
      <c r="I368" s="4">
        <f t="shared" si="93"/>
        <v>0</v>
      </c>
      <c r="J368" s="4">
        <f t="shared" si="98"/>
        <v>0</v>
      </c>
      <c r="K368" s="4">
        <f t="shared" si="98"/>
        <v>0</v>
      </c>
      <c r="L368" s="4">
        <f t="shared" si="98"/>
        <v>0</v>
      </c>
      <c r="M368" s="4">
        <f t="shared" si="98"/>
        <v>0</v>
      </c>
      <c r="N368" s="4">
        <f t="shared" si="101"/>
        <v>0</v>
      </c>
      <c r="O368" s="4">
        <f t="shared" si="101"/>
        <v>0</v>
      </c>
      <c r="P368" s="4">
        <f t="shared" si="103"/>
        <v>0</v>
      </c>
      <c r="Q368" s="4">
        <f t="shared" si="103"/>
        <v>0</v>
      </c>
      <c r="R368" s="4">
        <f t="shared" si="105"/>
        <v>0</v>
      </c>
      <c r="S368" s="4">
        <f t="shared" si="105"/>
        <v>0</v>
      </c>
      <c r="T368" s="4">
        <f t="shared" si="105"/>
        <v>0</v>
      </c>
      <c r="U368" s="4">
        <f t="shared" si="105"/>
        <v>0</v>
      </c>
      <c r="V368" s="4">
        <f t="shared" si="106"/>
        <v>0</v>
      </c>
      <c r="W368" s="4">
        <f t="shared" si="106"/>
        <v>0</v>
      </c>
    </row>
    <row r="369" spans="1:23" x14ac:dyDescent="0.2">
      <c r="A369">
        <v>45</v>
      </c>
      <c r="B369" s="1">
        <v>37926</v>
      </c>
      <c r="D369" s="4">
        <f t="shared" si="85"/>
        <v>0</v>
      </c>
      <c r="E369" s="4">
        <f t="shared" si="85"/>
        <v>0</v>
      </c>
      <c r="F369" s="4">
        <f t="shared" si="90"/>
        <v>0</v>
      </c>
      <c r="G369" s="4">
        <f t="shared" si="90"/>
        <v>0</v>
      </c>
      <c r="H369" s="4">
        <f t="shared" si="93"/>
        <v>0</v>
      </c>
      <c r="I369" s="4">
        <f t="shared" si="93"/>
        <v>0</v>
      </c>
      <c r="J369" s="4">
        <f t="shared" si="98"/>
        <v>0</v>
      </c>
      <c r="K369" s="4">
        <f t="shared" si="98"/>
        <v>0</v>
      </c>
      <c r="L369" s="4">
        <f t="shared" si="98"/>
        <v>0</v>
      </c>
      <c r="M369" s="4">
        <f t="shared" si="98"/>
        <v>0</v>
      </c>
      <c r="N369" s="4">
        <f t="shared" si="101"/>
        <v>0</v>
      </c>
      <c r="O369" s="4">
        <f t="shared" si="101"/>
        <v>0</v>
      </c>
      <c r="P369" s="4">
        <f t="shared" si="103"/>
        <v>0</v>
      </c>
      <c r="Q369" s="4">
        <f t="shared" si="103"/>
        <v>0</v>
      </c>
      <c r="R369" s="4">
        <f t="shared" si="105"/>
        <v>0</v>
      </c>
      <c r="S369" s="4">
        <f t="shared" si="105"/>
        <v>0</v>
      </c>
      <c r="T369" s="4">
        <f t="shared" si="105"/>
        <v>0</v>
      </c>
      <c r="U369" s="4">
        <f t="shared" si="105"/>
        <v>0</v>
      </c>
      <c r="V369" s="4">
        <f t="shared" si="106"/>
        <v>0</v>
      </c>
      <c r="W369" s="4">
        <f t="shared" si="106"/>
        <v>0</v>
      </c>
    </row>
    <row r="370" spans="1:23" x14ac:dyDescent="0.2">
      <c r="A370">
        <v>46</v>
      </c>
      <c r="B370" s="1">
        <v>37956</v>
      </c>
      <c r="D370" s="4">
        <f t="shared" si="85"/>
        <v>0</v>
      </c>
      <c r="E370" s="4">
        <f t="shared" si="85"/>
        <v>0</v>
      </c>
      <c r="F370" s="4">
        <f t="shared" si="90"/>
        <v>0</v>
      </c>
      <c r="G370" s="4">
        <f t="shared" si="90"/>
        <v>0</v>
      </c>
      <c r="H370" s="4">
        <f t="shared" si="93"/>
        <v>0</v>
      </c>
      <c r="I370" s="4">
        <f t="shared" si="93"/>
        <v>0</v>
      </c>
      <c r="J370" s="4">
        <f t="shared" si="98"/>
        <v>0</v>
      </c>
      <c r="K370" s="4">
        <f t="shared" si="98"/>
        <v>0</v>
      </c>
      <c r="L370" s="4">
        <f t="shared" si="98"/>
        <v>0</v>
      </c>
      <c r="M370" s="4">
        <f t="shared" si="98"/>
        <v>0</v>
      </c>
      <c r="N370" s="4">
        <f t="shared" si="101"/>
        <v>0</v>
      </c>
      <c r="O370" s="4">
        <f t="shared" si="101"/>
        <v>0</v>
      </c>
      <c r="P370" s="4">
        <f t="shared" si="103"/>
        <v>0</v>
      </c>
      <c r="Q370" s="4">
        <f t="shared" si="103"/>
        <v>0</v>
      </c>
      <c r="R370" s="4">
        <f t="shared" si="105"/>
        <v>0</v>
      </c>
      <c r="S370" s="4">
        <f t="shared" si="105"/>
        <v>0</v>
      </c>
      <c r="T370" s="4">
        <f t="shared" si="105"/>
        <v>0</v>
      </c>
      <c r="U370" s="4">
        <f t="shared" si="105"/>
        <v>0</v>
      </c>
      <c r="V370" s="4">
        <f t="shared" si="106"/>
        <v>0</v>
      </c>
      <c r="W370" s="4">
        <f t="shared" si="106"/>
        <v>0</v>
      </c>
    </row>
    <row r="371" spans="1:23" x14ac:dyDescent="0.2">
      <c r="B371" s="3" t="s">
        <v>63</v>
      </c>
      <c r="C371" s="3"/>
      <c r="D371" s="5">
        <f t="shared" ref="D371:W371" si="107">SUM(D325:D370)</f>
        <v>0</v>
      </c>
      <c r="E371" s="5">
        <f t="shared" si="107"/>
        <v>0</v>
      </c>
      <c r="F371" s="5">
        <f t="shared" si="107"/>
        <v>0</v>
      </c>
      <c r="G371" s="5">
        <f t="shared" si="107"/>
        <v>0</v>
      </c>
      <c r="H371" s="5">
        <f t="shared" si="107"/>
        <v>0</v>
      </c>
      <c r="I371" s="5">
        <f t="shared" si="107"/>
        <v>0</v>
      </c>
      <c r="J371" s="5">
        <f t="shared" si="107"/>
        <v>0</v>
      </c>
      <c r="K371" s="5">
        <f t="shared" si="107"/>
        <v>0</v>
      </c>
      <c r="L371" s="5">
        <f t="shared" si="107"/>
        <v>0</v>
      </c>
      <c r="M371" s="5">
        <f t="shared" si="107"/>
        <v>0</v>
      </c>
      <c r="N371" s="5">
        <f t="shared" si="107"/>
        <v>0</v>
      </c>
      <c r="O371" s="5">
        <f t="shared" si="107"/>
        <v>0</v>
      </c>
      <c r="P371" s="5">
        <f t="shared" si="107"/>
        <v>0</v>
      </c>
      <c r="Q371" s="5">
        <f t="shared" si="107"/>
        <v>0</v>
      </c>
      <c r="R371" s="5">
        <f t="shared" si="107"/>
        <v>0</v>
      </c>
      <c r="S371" s="5">
        <f t="shared" si="107"/>
        <v>0</v>
      </c>
      <c r="T371" s="5">
        <f t="shared" si="107"/>
        <v>0</v>
      </c>
      <c r="U371" s="5">
        <f t="shared" si="107"/>
        <v>0</v>
      </c>
      <c r="V371" s="5">
        <f t="shared" si="107"/>
        <v>0</v>
      </c>
      <c r="W371" s="5">
        <f t="shared" si="107"/>
        <v>0</v>
      </c>
    </row>
    <row r="372" spans="1:23" x14ac:dyDescent="0.2">
      <c r="B372" s="21"/>
      <c r="C372" s="21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</row>
    <row r="374" spans="1:23" x14ac:dyDescent="0.2">
      <c r="B374" t="s">
        <v>69</v>
      </c>
    </row>
    <row r="376" spans="1:23" x14ac:dyDescent="0.2">
      <c r="A376">
        <v>1</v>
      </c>
      <c r="B376" s="1">
        <v>36586</v>
      </c>
      <c r="D376" s="19">
        <f t="shared" ref="D376:E388" si="108">(D325*(1+$M$18/12)^($A$64-$A51+1))-D325</f>
        <v>0</v>
      </c>
      <c r="E376" s="19">
        <f t="shared" si="108"/>
        <v>0</v>
      </c>
      <c r="F376" s="19">
        <f t="shared" ref="F376:G392" si="109">(F325*(1+$M$18/12)^($A$68-$A51+1))-F325</f>
        <v>0</v>
      </c>
      <c r="G376" s="19">
        <f t="shared" si="109"/>
        <v>0</v>
      </c>
      <c r="H376" s="19">
        <f t="shared" ref="H376:I394" si="110">(H325*(1+$M$18/12)^($A$70-$A51+1))-H325</f>
        <v>0</v>
      </c>
      <c r="I376" s="19">
        <f t="shared" si="110"/>
        <v>0</v>
      </c>
      <c r="J376" s="19">
        <f t="shared" ref="J376:M398" si="111">(J325*(1+$M$18/12)^($A$74-$A51+1))-J325</f>
        <v>0</v>
      </c>
      <c r="K376" s="19">
        <f t="shared" si="111"/>
        <v>0</v>
      </c>
      <c r="L376" s="19">
        <f t="shared" si="111"/>
        <v>0</v>
      </c>
      <c r="M376" s="19">
        <f t="shared" si="111"/>
        <v>0</v>
      </c>
      <c r="N376" s="19">
        <f t="shared" ref="N376:O400" si="112">(N325*(1+$M$18/12)^($A$76-$A51+1))-N325</f>
        <v>0</v>
      </c>
      <c r="O376" s="19">
        <f t="shared" si="112"/>
        <v>0</v>
      </c>
      <c r="P376" s="19">
        <f t="shared" ref="P376:Q407" si="113">(P325*(1+$M$18/12)^($A$83-$A51+1))-P325</f>
        <v>0</v>
      </c>
      <c r="Q376" s="19">
        <f t="shared" si="113"/>
        <v>0</v>
      </c>
      <c r="R376" s="19">
        <f t="shared" ref="R376:U395" si="114">(R325*(1+$M$18/12)^($A$85-$A51+1))-R325</f>
        <v>0</v>
      </c>
      <c r="S376" s="19">
        <f t="shared" si="114"/>
        <v>0</v>
      </c>
      <c r="T376" s="19">
        <f t="shared" si="114"/>
        <v>0</v>
      </c>
      <c r="U376" s="19">
        <f t="shared" si="114"/>
        <v>0</v>
      </c>
      <c r="V376" s="19">
        <f t="shared" ref="V376:W395" si="115">(V325*(1+$M$18/12)^($A$88-$A51+1))-V325</f>
        <v>0</v>
      </c>
      <c r="W376" s="19">
        <f t="shared" si="115"/>
        <v>0</v>
      </c>
    </row>
    <row r="377" spans="1:23" x14ac:dyDescent="0.2">
      <c r="A377">
        <v>2</v>
      </c>
      <c r="B377" s="1">
        <v>36617</v>
      </c>
      <c r="D377" s="19">
        <f t="shared" si="108"/>
        <v>0</v>
      </c>
      <c r="E377" s="19">
        <f t="shared" si="108"/>
        <v>0</v>
      </c>
      <c r="F377" s="19">
        <f t="shared" si="109"/>
        <v>0</v>
      </c>
      <c r="G377" s="19">
        <f t="shared" si="109"/>
        <v>0</v>
      </c>
      <c r="H377" s="19">
        <f t="shared" si="110"/>
        <v>0</v>
      </c>
      <c r="I377" s="19">
        <f t="shared" si="110"/>
        <v>0</v>
      </c>
      <c r="J377" s="19">
        <f t="shared" si="111"/>
        <v>0</v>
      </c>
      <c r="K377" s="19">
        <f t="shared" si="111"/>
        <v>0</v>
      </c>
      <c r="L377" s="19">
        <f t="shared" si="111"/>
        <v>0</v>
      </c>
      <c r="M377" s="19">
        <f t="shared" si="111"/>
        <v>0</v>
      </c>
      <c r="N377" s="19">
        <f t="shared" si="112"/>
        <v>0</v>
      </c>
      <c r="O377" s="19">
        <f t="shared" si="112"/>
        <v>0</v>
      </c>
      <c r="P377" s="19">
        <f t="shared" si="113"/>
        <v>0</v>
      </c>
      <c r="Q377" s="19">
        <f t="shared" si="113"/>
        <v>0</v>
      </c>
      <c r="R377" s="19">
        <f t="shared" si="114"/>
        <v>0</v>
      </c>
      <c r="S377" s="19">
        <f t="shared" si="114"/>
        <v>0</v>
      </c>
      <c r="T377" s="19">
        <f t="shared" si="114"/>
        <v>0</v>
      </c>
      <c r="U377" s="19">
        <f t="shared" si="114"/>
        <v>0</v>
      </c>
      <c r="V377" s="19">
        <f t="shared" si="115"/>
        <v>0</v>
      </c>
      <c r="W377" s="19">
        <f t="shared" si="115"/>
        <v>0</v>
      </c>
    </row>
    <row r="378" spans="1:23" x14ac:dyDescent="0.2">
      <c r="A378">
        <v>3</v>
      </c>
      <c r="B378" s="1">
        <v>36647</v>
      </c>
      <c r="D378" s="19">
        <f t="shared" si="108"/>
        <v>0</v>
      </c>
      <c r="E378" s="19">
        <f t="shared" si="108"/>
        <v>0</v>
      </c>
      <c r="F378" s="19">
        <f t="shared" si="109"/>
        <v>0</v>
      </c>
      <c r="G378" s="19">
        <f t="shared" si="109"/>
        <v>0</v>
      </c>
      <c r="H378" s="19">
        <f t="shared" si="110"/>
        <v>0</v>
      </c>
      <c r="I378" s="19">
        <f t="shared" si="110"/>
        <v>0</v>
      </c>
      <c r="J378" s="19">
        <f t="shared" si="111"/>
        <v>0</v>
      </c>
      <c r="K378" s="19">
        <f t="shared" si="111"/>
        <v>0</v>
      </c>
      <c r="L378" s="19">
        <f t="shared" si="111"/>
        <v>0</v>
      </c>
      <c r="M378" s="19">
        <f t="shared" si="111"/>
        <v>0</v>
      </c>
      <c r="N378" s="19">
        <f t="shared" si="112"/>
        <v>0</v>
      </c>
      <c r="O378" s="19">
        <f t="shared" si="112"/>
        <v>0</v>
      </c>
      <c r="P378" s="19">
        <f t="shared" si="113"/>
        <v>0</v>
      </c>
      <c r="Q378" s="19">
        <f t="shared" si="113"/>
        <v>0</v>
      </c>
      <c r="R378" s="19">
        <f t="shared" si="114"/>
        <v>0</v>
      </c>
      <c r="S378" s="19">
        <f t="shared" si="114"/>
        <v>0</v>
      </c>
      <c r="T378" s="19">
        <f t="shared" si="114"/>
        <v>0</v>
      </c>
      <c r="U378" s="19">
        <f t="shared" si="114"/>
        <v>0</v>
      </c>
      <c r="V378" s="19">
        <f t="shared" si="115"/>
        <v>0</v>
      </c>
      <c r="W378" s="19">
        <f t="shared" si="115"/>
        <v>0</v>
      </c>
    </row>
    <row r="379" spans="1:23" x14ac:dyDescent="0.2">
      <c r="A379">
        <v>4</v>
      </c>
      <c r="B379" s="1">
        <v>36678</v>
      </c>
      <c r="D379" s="19">
        <f t="shared" si="108"/>
        <v>0</v>
      </c>
      <c r="E379" s="19">
        <f t="shared" si="108"/>
        <v>0</v>
      </c>
      <c r="F379" s="19">
        <f t="shared" si="109"/>
        <v>0</v>
      </c>
      <c r="G379" s="19">
        <f t="shared" si="109"/>
        <v>0</v>
      </c>
      <c r="H379" s="19">
        <f t="shared" si="110"/>
        <v>0</v>
      </c>
      <c r="I379" s="19">
        <f t="shared" si="110"/>
        <v>0</v>
      </c>
      <c r="J379" s="19">
        <f t="shared" si="111"/>
        <v>0</v>
      </c>
      <c r="K379" s="19">
        <f t="shared" si="111"/>
        <v>0</v>
      </c>
      <c r="L379" s="19">
        <f t="shared" si="111"/>
        <v>0</v>
      </c>
      <c r="M379" s="19">
        <f t="shared" si="111"/>
        <v>0</v>
      </c>
      <c r="N379" s="19">
        <f t="shared" si="112"/>
        <v>0</v>
      </c>
      <c r="O379" s="19">
        <f t="shared" si="112"/>
        <v>0</v>
      </c>
      <c r="P379" s="19">
        <f t="shared" si="113"/>
        <v>0</v>
      </c>
      <c r="Q379" s="19">
        <f t="shared" si="113"/>
        <v>0</v>
      </c>
      <c r="R379" s="19">
        <f t="shared" si="114"/>
        <v>0</v>
      </c>
      <c r="S379" s="19">
        <f t="shared" si="114"/>
        <v>0</v>
      </c>
      <c r="T379" s="19">
        <f t="shared" si="114"/>
        <v>0</v>
      </c>
      <c r="U379" s="19">
        <f t="shared" si="114"/>
        <v>0</v>
      </c>
      <c r="V379" s="19">
        <f t="shared" si="115"/>
        <v>0</v>
      </c>
      <c r="W379" s="19">
        <f t="shared" si="115"/>
        <v>0</v>
      </c>
    </row>
    <row r="380" spans="1:23" x14ac:dyDescent="0.2">
      <c r="A380">
        <v>5</v>
      </c>
      <c r="B380" s="1">
        <v>36708</v>
      </c>
      <c r="D380" s="19">
        <f t="shared" si="108"/>
        <v>0</v>
      </c>
      <c r="E380" s="19">
        <f t="shared" si="108"/>
        <v>0</v>
      </c>
      <c r="F380" s="19">
        <f t="shared" si="109"/>
        <v>0</v>
      </c>
      <c r="G380" s="19">
        <f t="shared" si="109"/>
        <v>0</v>
      </c>
      <c r="H380" s="19">
        <f t="shared" si="110"/>
        <v>0</v>
      </c>
      <c r="I380" s="19">
        <f t="shared" si="110"/>
        <v>0</v>
      </c>
      <c r="J380" s="19">
        <f t="shared" si="111"/>
        <v>0</v>
      </c>
      <c r="K380" s="19">
        <f t="shared" si="111"/>
        <v>0</v>
      </c>
      <c r="L380" s="19">
        <f t="shared" si="111"/>
        <v>0</v>
      </c>
      <c r="M380" s="19">
        <f t="shared" si="111"/>
        <v>0</v>
      </c>
      <c r="N380" s="19">
        <f t="shared" si="112"/>
        <v>0</v>
      </c>
      <c r="O380" s="19">
        <f t="shared" si="112"/>
        <v>0</v>
      </c>
      <c r="P380" s="19">
        <f t="shared" si="113"/>
        <v>0</v>
      </c>
      <c r="Q380" s="19">
        <f t="shared" si="113"/>
        <v>0</v>
      </c>
      <c r="R380" s="19">
        <f t="shared" si="114"/>
        <v>0</v>
      </c>
      <c r="S380" s="19">
        <f t="shared" si="114"/>
        <v>0</v>
      </c>
      <c r="T380" s="19">
        <f t="shared" si="114"/>
        <v>0</v>
      </c>
      <c r="U380" s="19">
        <f t="shared" si="114"/>
        <v>0</v>
      </c>
      <c r="V380" s="19">
        <f t="shared" si="115"/>
        <v>0</v>
      </c>
      <c r="W380" s="19">
        <f t="shared" si="115"/>
        <v>0</v>
      </c>
    </row>
    <row r="381" spans="1:23" x14ac:dyDescent="0.2">
      <c r="A381">
        <v>6</v>
      </c>
      <c r="B381" s="1">
        <v>36739</v>
      </c>
      <c r="D381" s="19">
        <f t="shared" si="108"/>
        <v>0</v>
      </c>
      <c r="E381" s="19">
        <f t="shared" si="108"/>
        <v>0</v>
      </c>
      <c r="F381" s="19">
        <f t="shared" si="109"/>
        <v>0</v>
      </c>
      <c r="G381" s="19">
        <f t="shared" si="109"/>
        <v>0</v>
      </c>
      <c r="H381" s="19">
        <f t="shared" si="110"/>
        <v>0</v>
      </c>
      <c r="I381" s="19">
        <f t="shared" si="110"/>
        <v>0</v>
      </c>
      <c r="J381" s="19">
        <f t="shared" si="111"/>
        <v>0</v>
      </c>
      <c r="K381" s="19">
        <f t="shared" si="111"/>
        <v>0</v>
      </c>
      <c r="L381" s="19">
        <f t="shared" si="111"/>
        <v>0</v>
      </c>
      <c r="M381" s="19">
        <f t="shared" si="111"/>
        <v>0</v>
      </c>
      <c r="N381" s="19">
        <f t="shared" si="112"/>
        <v>0</v>
      </c>
      <c r="O381" s="19">
        <f t="shared" si="112"/>
        <v>0</v>
      </c>
      <c r="P381" s="19">
        <f t="shared" si="113"/>
        <v>0</v>
      </c>
      <c r="Q381" s="19">
        <f t="shared" si="113"/>
        <v>0</v>
      </c>
      <c r="R381" s="19">
        <f t="shared" si="114"/>
        <v>0</v>
      </c>
      <c r="S381" s="19">
        <f t="shared" si="114"/>
        <v>0</v>
      </c>
      <c r="T381" s="19">
        <f t="shared" si="114"/>
        <v>0</v>
      </c>
      <c r="U381" s="19">
        <f t="shared" si="114"/>
        <v>0</v>
      </c>
      <c r="V381" s="19">
        <f t="shared" si="115"/>
        <v>0</v>
      </c>
      <c r="W381" s="19">
        <f t="shared" si="115"/>
        <v>0</v>
      </c>
    </row>
    <row r="382" spans="1:23" x14ac:dyDescent="0.2">
      <c r="A382">
        <v>7</v>
      </c>
      <c r="B382" s="1">
        <v>36770</v>
      </c>
      <c r="D382" s="19">
        <f t="shared" si="108"/>
        <v>0</v>
      </c>
      <c r="E382" s="19">
        <f t="shared" si="108"/>
        <v>0</v>
      </c>
      <c r="F382" s="19">
        <f t="shared" si="109"/>
        <v>0</v>
      </c>
      <c r="G382" s="19">
        <f t="shared" si="109"/>
        <v>0</v>
      </c>
      <c r="H382" s="19">
        <f t="shared" si="110"/>
        <v>0</v>
      </c>
      <c r="I382" s="19">
        <f t="shared" si="110"/>
        <v>0</v>
      </c>
      <c r="J382" s="19">
        <f t="shared" si="111"/>
        <v>0</v>
      </c>
      <c r="K382" s="19">
        <f t="shared" si="111"/>
        <v>0</v>
      </c>
      <c r="L382" s="19">
        <f t="shared" si="111"/>
        <v>0</v>
      </c>
      <c r="M382" s="19">
        <f t="shared" si="111"/>
        <v>0</v>
      </c>
      <c r="N382" s="19">
        <f t="shared" si="112"/>
        <v>0</v>
      </c>
      <c r="O382" s="19">
        <f t="shared" si="112"/>
        <v>0</v>
      </c>
      <c r="P382" s="19">
        <f t="shared" si="113"/>
        <v>0</v>
      </c>
      <c r="Q382" s="19">
        <f t="shared" si="113"/>
        <v>0</v>
      </c>
      <c r="R382" s="19">
        <f t="shared" si="114"/>
        <v>0</v>
      </c>
      <c r="S382" s="19">
        <f t="shared" si="114"/>
        <v>0</v>
      </c>
      <c r="T382" s="19">
        <f t="shared" si="114"/>
        <v>0</v>
      </c>
      <c r="U382" s="19">
        <f t="shared" si="114"/>
        <v>0</v>
      </c>
      <c r="V382" s="19">
        <f t="shared" si="115"/>
        <v>0</v>
      </c>
      <c r="W382" s="19">
        <f t="shared" si="115"/>
        <v>0</v>
      </c>
    </row>
    <row r="383" spans="1:23" x14ac:dyDescent="0.2">
      <c r="A383">
        <v>8</v>
      </c>
      <c r="B383" s="1">
        <v>36800</v>
      </c>
      <c r="D383" s="19">
        <f t="shared" si="108"/>
        <v>0</v>
      </c>
      <c r="E383" s="19">
        <f t="shared" si="108"/>
        <v>0</v>
      </c>
      <c r="F383" s="19">
        <f t="shared" si="109"/>
        <v>0</v>
      </c>
      <c r="G383" s="19">
        <f t="shared" si="109"/>
        <v>0</v>
      </c>
      <c r="H383" s="19">
        <f t="shared" si="110"/>
        <v>0</v>
      </c>
      <c r="I383" s="19">
        <f t="shared" si="110"/>
        <v>0</v>
      </c>
      <c r="J383" s="19">
        <f t="shared" si="111"/>
        <v>0</v>
      </c>
      <c r="K383" s="19">
        <f t="shared" si="111"/>
        <v>0</v>
      </c>
      <c r="L383" s="19">
        <f t="shared" si="111"/>
        <v>0</v>
      </c>
      <c r="M383" s="19">
        <f t="shared" si="111"/>
        <v>0</v>
      </c>
      <c r="N383" s="19">
        <f t="shared" si="112"/>
        <v>0</v>
      </c>
      <c r="O383" s="19">
        <f t="shared" si="112"/>
        <v>0</v>
      </c>
      <c r="P383" s="19">
        <f t="shared" si="113"/>
        <v>0</v>
      </c>
      <c r="Q383" s="19">
        <f t="shared" si="113"/>
        <v>0</v>
      </c>
      <c r="R383" s="19">
        <f t="shared" si="114"/>
        <v>0</v>
      </c>
      <c r="S383" s="19">
        <f t="shared" si="114"/>
        <v>0</v>
      </c>
      <c r="T383" s="19">
        <f t="shared" si="114"/>
        <v>0</v>
      </c>
      <c r="U383" s="19">
        <f t="shared" si="114"/>
        <v>0</v>
      </c>
      <c r="V383" s="19">
        <f t="shared" si="115"/>
        <v>0</v>
      </c>
      <c r="W383" s="19">
        <f t="shared" si="115"/>
        <v>0</v>
      </c>
    </row>
    <row r="384" spans="1:23" x14ac:dyDescent="0.2">
      <c r="A384">
        <v>9</v>
      </c>
      <c r="B384" s="1">
        <v>36831</v>
      </c>
      <c r="D384" s="19">
        <f t="shared" si="108"/>
        <v>0</v>
      </c>
      <c r="E384" s="19">
        <f t="shared" si="108"/>
        <v>0</v>
      </c>
      <c r="F384" s="19">
        <f t="shared" si="109"/>
        <v>0</v>
      </c>
      <c r="G384" s="19">
        <f t="shared" si="109"/>
        <v>0</v>
      </c>
      <c r="H384" s="19">
        <f t="shared" si="110"/>
        <v>0</v>
      </c>
      <c r="I384" s="19">
        <f t="shared" si="110"/>
        <v>0</v>
      </c>
      <c r="J384" s="19">
        <f t="shared" si="111"/>
        <v>0</v>
      </c>
      <c r="K384" s="19">
        <f t="shared" si="111"/>
        <v>0</v>
      </c>
      <c r="L384" s="19">
        <f t="shared" si="111"/>
        <v>0</v>
      </c>
      <c r="M384" s="19">
        <f t="shared" si="111"/>
        <v>0</v>
      </c>
      <c r="N384" s="19">
        <f t="shared" si="112"/>
        <v>0</v>
      </c>
      <c r="O384" s="19">
        <f t="shared" si="112"/>
        <v>0</v>
      </c>
      <c r="P384" s="19">
        <f t="shared" si="113"/>
        <v>0</v>
      </c>
      <c r="Q384" s="19">
        <f t="shared" si="113"/>
        <v>0</v>
      </c>
      <c r="R384" s="19">
        <f t="shared" si="114"/>
        <v>0</v>
      </c>
      <c r="S384" s="19">
        <f t="shared" si="114"/>
        <v>0</v>
      </c>
      <c r="T384" s="19">
        <f t="shared" si="114"/>
        <v>0</v>
      </c>
      <c r="U384" s="19">
        <f t="shared" si="114"/>
        <v>0</v>
      </c>
      <c r="V384" s="19">
        <f t="shared" si="115"/>
        <v>0</v>
      </c>
      <c r="W384" s="19">
        <f t="shared" si="115"/>
        <v>0</v>
      </c>
    </row>
    <row r="385" spans="1:23" x14ac:dyDescent="0.2">
      <c r="A385">
        <v>10</v>
      </c>
      <c r="B385" s="1">
        <v>36861</v>
      </c>
      <c r="D385" s="19">
        <f t="shared" si="108"/>
        <v>0</v>
      </c>
      <c r="E385" s="19">
        <f t="shared" si="108"/>
        <v>0</v>
      </c>
      <c r="F385" s="19">
        <f t="shared" si="109"/>
        <v>0</v>
      </c>
      <c r="G385" s="19">
        <f t="shared" si="109"/>
        <v>0</v>
      </c>
      <c r="H385" s="19">
        <f t="shared" si="110"/>
        <v>0</v>
      </c>
      <c r="I385" s="19">
        <f t="shared" si="110"/>
        <v>0</v>
      </c>
      <c r="J385" s="19">
        <f t="shared" si="111"/>
        <v>0</v>
      </c>
      <c r="K385" s="19">
        <f t="shared" si="111"/>
        <v>0</v>
      </c>
      <c r="L385" s="19">
        <f t="shared" si="111"/>
        <v>0</v>
      </c>
      <c r="M385" s="19">
        <f t="shared" si="111"/>
        <v>0</v>
      </c>
      <c r="N385" s="19">
        <f t="shared" si="112"/>
        <v>0</v>
      </c>
      <c r="O385" s="19">
        <f t="shared" si="112"/>
        <v>0</v>
      </c>
      <c r="P385" s="19">
        <f t="shared" si="113"/>
        <v>0</v>
      </c>
      <c r="Q385" s="19">
        <f t="shared" si="113"/>
        <v>0</v>
      </c>
      <c r="R385" s="19">
        <f t="shared" si="114"/>
        <v>0</v>
      </c>
      <c r="S385" s="19">
        <f t="shared" si="114"/>
        <v>0</v>
      </c>
      <c r="T385" s="19">
        <f t="shared" si="114"/>
        <v>0</v>
      </c>
      <c r="U385" s="19">
        <f t="shared" si="114"/>
        <v>0</v>
      </c>
      <c r="V385" s="19">
        <f t="shared" si="115"/>
        <v>0</v>
      </c>
      <c r="W385" s="19">
        <f t="shared" si="115"/>
        <v>0</v>
      </c>
    </row>
    <row r="386" spans="1:23" x14ac:dyDescent="0.2">
      <c r="A386">
        <v>11</v>
      </c>
      <c r="B386" s="1">
        <v>36892</v>
      </c>
      <c r="D386" s="19">
        <f t="shared" si="108"/>
        <v>0</v>
      </c>
      <c r="E386" s="19">
        <f t="shared" si="108"/>
        <v>0</v>
      </c>
      <c r="F386" s="19">
        <f t="shared" si="109"/>
        <v>0</v>
      </c>
      <c r="G386" s="19">
        <f t="shared" si="109"/>
        <v>0</v>
      </c>
      <c r="H386" s="19">
        <f t="shared" si="110"/>
        <v>0</v>
      </c>
      <c r="I386" s="19">
        <f t="shared" si="110"/>
        <v>0</v>
      </c>
      <c r="J386" s="19">
        <f t="shared" si="111"/>
        <v>0</v>
      </c>
      <c r="K386" s="19">
        <f t="shared" si="111"/>
        <v>0</v>
      </c>
      <c r="L386" s="19">
        <f t="shared" si="111"/>
        <v>0</v>
      </c>
      <c r="M386" s="19">
        <f t="shared" si="111"/>
        <v>0</v>
      </c>
      <c r="N386" s="19">
        <f t="shared" si="112"/>
        <v>0</v>
      </c>
      <c r="O386" s="19">
        <f t="shared" si="112"/>
        <v>0</v>
      </c>
      <c r="P386" s="19">
        <f t="shared" si="113"/>
        <v>0</v>
      </c>
      <c r="Q386" s="19">
        <f t="shared" si="113"/>
        <v>0</v>
      </c>
      <c r="R386" s="19">
        <f t="shared" si="114"/>
        <v>0</v>
      </c>
      <c r="S386" s="19">
        <f t="shared" si="114"/>
        <v>0</v>
      </c>
      <c r="T386" s="19">
        <f t="shared" si="114"/>
        <v>0</v>
      </c>
      <c r="U386" s="19">
        <f t="shared" si="114"/>
        <v>0</v>
      </c>
      <c r="V386" s="19">
        <f t="shared" si="115"/>
        <v>0</v>
      </c>
      <c r="W386" s="19">
        <f t="shared" si="115"/>
        <v>0</v>
      </c>
    </row>
    <row r="387" spans="1:23" x14ac:dyDescent="0.2">
      <c r="A387">
        <v>12</v>
      </c>
      <c r="B387" s="1">
        <v>36923</v>
      </c>
      <c r="D387" s="19">
        <f t="shared" si="108"/>
        <v>0</v>
      </c>
      <c r="E387" s="19">
        <f t="shared" si="108"/>
        <v>0</v>
      </c>
      <c r="F387" s="19">
        <f t="shared" si="109"/>
        <v>0</v>
      </c>
      <c r="G387" s="19">
        <f t="shared" si="109"/>
        <v>0</v>
      </c>
      <c r="H387" s="19">
        <f t="shared" si="110"/>
        <v>0</v>
      </c>
      <c r="I387" s="19">
        <f t="shared" si="110"/>
        <v>0</v>
      </c>
      <c r="J387" s="19">
        <f t="shared" si="111"/>
        <v>0</v>
      </c>
      <c r="K387" s="19">
        <f t="shared" si="111"/>
        <v>0</v>
      </c>
      <c r="L387" s="19">
        <f t="shared" si="111"/>
        <v>0</v>
      </c>
      <c r="M387" s="19">
        <f t="shared" si="111"/>
        <v>0</v>
      </c>
      <c r="N387" s="19">
        <f t="shared" si="112"/>
        <v>0</v>
      </c>
      <c r="O387" s="19">
        <f t="shared" si="112"/>
        <v>0</v>
      </c>
      <c r="P387" s="19">
        <f t="shared" si="113"/>
        <v>0</v>
      </c>
      <c r="Q387" s="19">
        <f t="shared" si="113"/>
        <v>0</v>
      </c>
      <c r="R387" s="19">
        <f t="shared" si="114"/>
        <v>0</v>
      </c>
      <c r="S387" s="19">
        <f t="shared" si="114"/>
        <v>0</v>
      </c>
      <c r="T387" s="19">
        <f t="shared" si="114"/>
        <v>0</v>
      </c>
      <c r="U387" s="19">
        <f t="shared" si="114"/>
        <v>0</v>
      </c>
      <c r="V387" s="19">
        <f t="shared" si="115"/>
        <v>0</v>
      </c>
      <c r="W387" s="19">
        <f t="shared" si="115"/>
        <v>0</v>
      </c>
    </row>
    <row r="388" spans="1:23" x14ac:dyDescent="0.2">
      <c r="A388">
        <v>13</v>
      </c>
      <c r="B388" s="1">
        <v>36951</v>
      </c>
      <c r="D388" s="19">
        <f t="shared" si="108"/>
        <v>0</v>
      </c>
      <c r="E388" s="19">
        <f t="shared" si="108"/>
        <v>0</v>
      </c>
      <c r="F388" s="19">
        <f t="shared" si="109"/>
        <v>0</v>
      </c>
      <c r="G388" s="19">
        <f t="shared" si="109"/>
        <v>0</v>
      </c>
      <c r="H388" s="19">
        <f t="shared" si="110"/>
        <v>0</v>
      </c>
      <c r="I388" s="19">
        <f t="shared" si="110"/>
        <v>0</v>
      </c>
      <c r="J388" s="19">
        <f t="shared" si="111"/>
        <v>0</v>
      </c>
      <c r="K388" s="19">
        <f t="shared" si="111"/>
        <v>0</v>
      </c>
      <c r="L388" s="19">
        <f t="shared" si="111"/>
        <v>0</v>
      </c>
      <c r="M388" s="19">
        <f t="shared" si="111"/>
        <v>0</v>
      </c>
      <c r="N388" s="19">
        <f t="shared" si="112"/>
        <v>0</v>
      </c>
      <c r="O388" s="19">
        <f t="shared" si="112"/>
        <v>0</v>
      </c>
      <c r="P388" s="19">
        <f t="shared" si="113"/>
        <v>0</v>
      </c>
      <c r="Q388" s="19">
        <f t="shared" si="113"/>
        <v>0</v>
      </c>
      <c r="R388" s="19">
        <f t="shared" si="114"/>
        <v>0</v>
      </c>
      <c r="S388" s="19">
        <f t="shared" si="114"/>
        <v>0</v>
      </c>
      <c r="T388" s="19">
        <f t="shared" si="114"/>
        <v>0</v>
      </c>
      <c r="U388" s="19">
        <f t="shared" si="114"/>
        <v>0</v>
      </c>
      <c r="V388" s="19">
        <f t="shared" si="115"/>
        <v>0</v>
      </c>
      <c r="W388" s="19">
        <f t="shared" si="115"/>
        <v>0</v>
      </c>
    </row>
    <row r="389" spans="1:23" x14ac:dyDescent="0.2">
      <c r="A389">
        <v>14</v>
      </c>
      <c r="B389" s="1">
        <v>36982</v>
      </c>
      <c r="F389" s="19">
        <f t="shared" si="109"/>
        <v>0</v>
      </c>
      <c r="G389" s="19">
        <f t="shared" si="109"/>
        <v>0</v>
      </c>
      <c r="H389" s="19">
        <f t="shared" si="110"/>
        <v>0</v>
      </c>
      <c r="I389" s="19">
        <f t="shared" si="110"/>
        <v>0</v>
      </c>
      <c r="J389" s="19">
        <f t="shared" si="111"/>
        <v>0</v>
      </c>
      <c r="K389" s="19">
        <f t="shared" si="111"/>
        <v>0</v>
      </c>
      <c r="L389" s="19">
        <f t="shared" si="111"/>
        <v>0</v>
      </c>
      <c r="M389" s="19">
        <f t="shared" si="111"/>
        <v>0</v>
      </c>
      <c r="N389" s="19">
        <f t="shared" si="112"/>
        <v>0</v>
      </c>
      <c r="O389" s="19">
        <f t="shared" si="112"/>
        <v>0</v>
      </c>
      <c r="P389" s="19">
        <f t="shared" si="113"/>
        <v>0</v>
      </c>
      <c r="Q389" s="19">
        <f t="shared" si="113"/>
        <v>0</v>
      </c>
      <c r="R389" s="19">
        <f t="shared" si="114"/>
        <v>0</v>
      </c>
      <c r="S389" s="19">
        <f t="shared" si="114"/>
        <v>0</v>
      </c>
      <c r="T389" s="19">
        <f t="shared" si="114"/>
        <v>0</v>
      </c>
      <c r="U389" s="19">
        <f t="shared" si="114"/>
        <v>0</v>
      </c>
      <c r="V389" s="19">
        <f t="shared" si="115"/>
        <v>0</v>
      </c>
      <c r="W389" s="19">
        <f t="shared" si="115"/>
        <v>0</v>
      </c>
    </row>
    <row r="390" spans="1:23" x14ac:dyDescent="0.2">
      <c r="A390">
        <v>15</v>
      </c>
      <c r="B390" s="1">
        <v>37012</v>
      </c>
      <c r="F390" s="19">
        <f t="shared" si="109"/>
        <v>0</v>
      </c>
      <c r="G390" s="19">
        <f t="shared" si="109"/>
        <v>0</v>
      </c>
      <c r="H390" s="19">
        <f t="shared" si="110"/>
        <v>0</v>
      </c>
      <c r="I390" s="19">
        <f t="shared" si="110"/>
        <v>0</v>
      </c>
      <c r="J390" s="19">
        <f t="shared" si="111"/>
        <v>0</v>
      </c>
      <c r="K390" s="19">
        <f t="shared" si="111"/>
        <v>0</v>
      </c>
      <c r="L390" s="19">
        <f t="shared" si="111"/>
        <v>0</v>
      </c>
      <c r="M390" s="19">
        <f t="shared" si="111"/>
        <v>0</v>
      </c>
      <c r="N390" s="19">
        <f t="shared" si="112"/>
        <v>0</v>
      </c>
      <c r="O390" s="19">
        <f t="shared" si="112"/>
        <v>0</v>
      </c>
      <c r="P390" s="19">
        <f t="shared" si="113"/>
        <v>0</v>
      </c>
      <c r="Q390" s="19">
        <f t="shared" si="113"/>
        <v>0</v>
      </c>
      <c r="R390" s="19">
        <f t="shared" si="114"/>
        <v>0</v>
      </c>
      <c r="S390" s="19">
        <f t="shared" si="114"/>
        <v>0</v>
      </c>
      <c r="T390" s="19">
        <f t="shared" si="114"/>
        <v>0</v>
      </c>
      <c r="U390" s="19">
        <f t="shared" si="114"/>
        <v>0</v>
      </c>
      <c r="V390" s="19">
        <f t="shared" si="115"/>
        <v>0</v>
      </c>
      <c r="W390" s="19">
        <f t="shared" si="115"/>
        <v>0</v>
      </c>
    </row>
    <row r="391" spans="1:23" x14ac:dyDescent="0.2">
      <c r="A391">
        <v>16</v>
      </c>
      <c r="B391" s="1">
        <v>37043</v>
      </c>
      <c r="F391" s="19">
        <f t="shared" si="109"/>
        <v>0</v>
      </c>
      <c r="G391" s="19">
        <f t="shared" si="109"/>
        <v>0</v>
      </c>
      <c r="H391" s="19">
        <f t="shared" si="110"/>
        <v>0</v>
      </c>
      <c r="I391" s="19">
        <f t="shared" si="110"/>
        <v>0</v>
      </c>
      <c r="J391" s="19">
        <f t="shared" si="111"/>
        <v>0</v>
      </c>
      <c r="K391" s="19">
        <f t="shared" si="111"/>
        <v>0</v>
      </c>
      <c r="L391" s="19">
        <f t="shared" si="111"/>
        <v>0</v>
      </c>
      <c r="M391" s="19">
        <f t="shared" si="111"/>
        <v>0</v>
      </c>
      <c r="N391" s="19">
        <f t="shared" si="112"/>
        <v>0</v>
      </c>
      <c r="O391" s="19">
        <f t="shared" si="112"/>
        <v>0</v>
      </c>
      <c r="P391" s="19">
        <f t="shared" si="113"/>
        <v>0</v>
      </c>
      <c r="Q391" s="19">
        <f t="shared" si="113"/>
        <v>0</v>
      </c>
      <c r="R391" s="19">
        <f t="shared" si="114"/>
        <v>0</v>
      </c>
      <c r="S391" s="19">
        <f t="shared" si="114"/>
        <v>0</v>
      </c>
      <c r="T391" s="19">
        <f t="shared" si="114"/>
        <v>0</v>
      </c>
      <c r="U391" s="19">
        <f t="shared" si="114"/>
        <v>0</v>
      </c>
      <c r="V391" s="19">
        <f t="shared" si="115"/>
        <v>0</v>
      </c>
      <c r="W391" s="19">
        <f t="shared" si="115"/>
        <v>0</v>
      </c>
    </row>
    <row r="392" spans="1:23" x14ac:dyDescent="0.2">
      <c r="A392">
        <v>17</v>
      </c>
      <c r="B392" s="1">
        <v>37073</v>
      </c>
      <c r="F392" s="19">
        <f t="shared" si="109"/>
        <v>0</v>
      </c>
      <c r="G392" s="19">
        <f t="shared" si="109"/>
        <v>0</v>
      </c>
      <c r="H392" s="19">
        <f t="shared" si="110"/>
        <v>0</v>
      </c>
      <c r="I392" s="19">
        <f t="shared" si="110"/>
        <v>0</v>
      </c>
      <c r="J392" s="19">
        <f t="shared" si="111"/>
        <v>0</v>
      </c>
      <c r="K392" s="19">
        <f t="shared" si="111"/>
        <v>0</v>
      </c>
      <c r="L392" s="19">
        <f t="shared" si="111"/>
        <v>0</v>
      </c>
      <c r="M392" s="19">
        <f t="shared" si="111"/>
        <v>0</v>
      </c>
      <c r="N392" s="19">
        <f t="shared" si="112"/>
        <v>0</v>
      </c>
      <c r="O392" s="19">
        <f t="shared" si="112"/>
        <v>0</v>
      </c>
      <c r="P392" s="19">
        <f t="shared" si="113"/>
        <v>0</v>
      </c>
      <c r="Q392" s="19">
        <f t="shared" si="113"/>
        <v>0</v>
      </c>
      <c r="R392" s="19">
        <f t="shared" si="114"/>
        <v>0</v>
      </c>
      <c r="S392" s="19">
        <f t="shared" si="114"/>
        <v>0</v>
      </c>
      <c r="T392" s="19">
        <f t="shared" si="114"/>
        <v>0</v>
      </c>
      <c r="U392" s="19">
        <f t="shared" si="114"/>
        <v>0</v>
      </c>
      <c r="V392" s="19">
        <f t="shared" si="115"/>
        <v>0</v>
      </c>
      <c r="W392" s="19">
        <f t="shared" si="115"/>
        <v>0</v>
      </c>
    </row>
    <row r="393" spans="1:23" x14ac:dyDescent="0.2">
      <c r="A393">
        <v>18</v>
      </c>
      <c r="B393" s="1">
        <v>37104</v>
      </c>
      <c r="H393" s="19">
        <f t="shared" si="110"/>
        <v>0</v>
      </c>
      <c r="I393" s="19">
        <f t="shared" si="110"/>
        <v>0</v>
      </c>
      <c r="J393" s="19">
        <f t="shared" si="111"/>
        <v>0</v>
      </c>
      <c r="K393" s="19">
        <f t="shared" si="111"/>
        <v>0</v>
      </c>
      <c r="L393" s="19">
        <f t="shared" si="111"/>
        <v>0</v>
      </c>
      <c r="M393" s="19">
        <f t="shared" si="111"/>
        <v>0</v>
      </c>
      <c r="N393" s="19">
        <f t="shared" si="112"/>
        <v>0</v>
      </c>
      <c r="O393" s="19">
        <f t="shared" si="112"/>
        <v>0</v>
      </c>
      <c r="P393" s="19">
        <f t="shared" si="113"/>
        <v>0</v>
      </c>
      <c r="Q393" s="19">
        <f t="shared" si="113"/>
        <v>0</v>
      </c>
      <c r="R393" s="19">
        <f t="shared" si="114"/>
        <v>0</v>
      </c>
      <c r="S393" s="19">
        <f t="shared" si="114"/>
        <v>0</v>
      </c>
      <c r="T393" s="19">
        <f t="shared" si="114"/>
        <v>0</v>
      </c>
      <c r="U393" s="19">
        <f t="shared" si="114"/>
        <v>0</v>
      </c>
      <c r="V393" s="19">
        <f t="shared" si="115"/>
        <v>0</v>
      </c>
      <c r="W393" s="19">
        <f t="shared" si="115"/>
        <v>0</v>
      </c>
    </row>
    <row r="394" spans="1:23" x14ac:dyDescent="0.2">
      <c r="A394">
        <v>19</v>
      </c>
      <c r="B394" s="1">
        <v>37135</v>
      </c>
      <c r="H394" s="19">
        <f t="shared" si="110"/>
        <v>0</v>
      </c>
      <c r="I394" s="19">
        <f t="shared" si="110"/>
        <v>0</v>
      </c>
      <c r="J394" s="19">
        <f t="shared" si="111"/>
        <v>0</v>
      </c>
      <c r="K394" s="19">
        <f t="shared" si="111"/>
        <v>0</v>
      </c>
      <c r="L394" s="19">
        <f t="shared" si="111"/>
        <v>0</v>
      </c>
      <c r="M394" s="19">
        <f t="shared" si="111"/>
        <v>0</v>
      </c>
      <c r="N394" s="19">
        <f t="shared" si="112"/>
        <v>0</v>
      </c>
      <c r="O394" s="19">
        <f t="shared" si="112"/>
        <v>0</v>
      </c>
      <c r="P394" s="19">
        <f t="shared" si="113"/>
        <v>0</v>
      </c>
      <c r="Q394" s="19">
        <f t="shared" si="113"/>
        <v>0</v>
      </c>
      <c r="R394" s="19">
        <f t="shared" si="114"/>
        <v>0</v>
      </c>
      <c r="S394" s="19">
        <f t="shared" si="114"/>
        <v>0</v>
      </c>
      <c r="T394" s="19">
        <f t="shared" si="114"/>
        <v>0</v>
      </c>
      <c r="U394" s="19">
        <f t="shared" si="114"/>
        <v>0</v>
      </c>
      <c r="V394" s="19">
        <f t="shared" si="115"/>
        <v>0</v>
      </c>
      <c r="W394" s="19">
        <f t="shared" si="115"/>
        <v>0</v>
      </c>
    </row>
    <row r="395" spans="1:23" x14ac:dyDescent="0.2">
      <c r="A395">
        <v>20</v>
      </c>
      <c r="B395" s="1">
        <v>37165</v>
      </c>
      <c r="J395" s="19">
        <f t="shared" si="111"/>
        <v>0</v>
      </c>
      <c r="K395" s="19">
        <f t="shared" si="111"/>
        <v>0</v>
      </c>
      <c r="L395" s="19">
        <f t="shared" si="111"/>
        <v>0</v>
      </c>
      <c r="M395" s="19">
        <f t="shared" si="111"/>
        <v>0</v>
      </c>
      <c r="N395" s="19">
        <f t="shared" si="112"/>
        <v>0</v>
      </c>
      <c r="O395" s="19">
        <f t="shared" si="112"/>
        <v>0</v>
      </c>
      <c r="P395" s="19">
        <f t="shared" si="113"/>
        <v>0</v>
      </c>
      <c r="Q395" s="19">
        <f t="shared" si="113"/>
        <v>0</v>
      </c>
      <c r="R395" s="19">
        <f t="shared" si="114"/>
        <v>0</v>
      </c>
      <c r="S395" s="19">
        <f t="shared" si="114"/>
        <v>0</v>
      </c>
      <c r="T395" s="19">
        <f t="shared" si="114"/>
        <v>0</v>
      </c>
      <c r="U395" s="19">
        <f t="shared" si="114"/>
        <v>0</v>
      </c>
      <c r="V395" s="19">
        <f t="shared" si="115"/>
        <v>0</v>
      </c>
      <c r="W395" s="19">
        <f t="shared" si="115"/>
        <v>0</v>
      </c>
    </row>
    <row r="396" spans="1:23" x14ac:dyDescent="0.2">
      <c r="A396">
        <v>21</v>
      </c>
      <c r="B396" s="1">
        <v>37196</v>
      </c>
      <c r="J396" s="19">
        <f t="shared" si="111"/>
        <v>0</v>
      </c>
      <c r="K396" s="19">
        <f t="shared" si="111"/>
        <v>0</v>
      </c>
      <c r="L396" s="19">
        <f t="shared" si="111"/>
        <v>0</v>
      </c>
      <c r="M396" s="19">
        <f t="shared" si="111"/>
        <v>0</v>
      </c>
      <c r="N396" s="19">
        <f t="shared" si="112"/>
        <v>0</v>
      </c>
      <c r="O396" s="19">
        <f t="shared" si="112"/>
        <v>0</v>
      </c>
      <c r="P396" s="19">
        <f t="shared" si="113"/>
        <v>0</v>
      </c>
      <c r="Q396" s="19">
        <f t="shared" si="113"/>
        <v>0</v>
      </c>
      <c r="R396" s="19">
        <f t="shared" ref="R396:U415" si="116">(R345*(1+$M$18/12)^($A$85-$A71+1))-R345</f>
        <v>0</v>
      </c>
      <c r="S396" s="19">
        <f t="shared" si="116"/>
        <v>0</v>
      </c>
      <c r="T396" s="19">
        <f t="shared" si="116"/>
        <v>0</v>
      </c>
      <c r="U396" s="19">
        <f t="shared" si="116"/>
        <v>0</v>
      </c>
      <c r="V396" s="19">
        <f t="shared" ref="V396:W415" si="117">(V345*(1+$M$18/12)^($A$88-$A71+1))-V345</f>
        <v>0</v>
      </c>
      <c r="W396" s="19">
        <f t="shared" si="117"/>
        <v>0</v>
      </c>
    </row>
    <row r="397" spans="1:23" x14ac:dyDescent="0.2">
      <c r="A397">
        <v>22</v>
      </c>
      <c r="B397" s="1">
        <v>37226</v>
      </c>
      <c r="J397" s="19">
        <f t="shared" si="111"/>
        <v>0</v>
      </c>
      <c r="K397" s="19">
        <f t="shared" si="111"/>
        <v>0</v>
      </c>
      <c r="L397" s="19">
        <f t="shared" si="111"/>
        <v>0</v>
      </c>
      <c r="M397" s="19">
        <f t="shared" si="111"/>
        <v>0</v>
      </c>
      <c r="N397" s="19">
        <f t="shared" si="112"/>
        <v>0</v>
      </c>
      <c r="O397" s="19">
        <f t="shared" si="112"/>
        <v>0</v>
      </c>
      <c r="P397" s="19">
        <f t="shared" si="113"/>
        <v>0</v>
      </c>
      <c r="Q397" s="19">
        <f t="shared" si="113"/>
        <v>0</v>
      </c>
      <c r="R397" s="19">
        <f t="shared" si="116"/>
        <v>0</v>
      </c>
      <c r="S397" s="19">
        <f t="shared" si="116"/>
        <v>0</v>
      </c>
      <c r="T397" s="19">
        <f t="shared" si="116"/>
        <v>0</v>
      </c>
      <c r="U397" s="19">
        <f t="shared" si="116"/>
        <v>0</v>
      </c>
      <c r="V397" s="19">
        <f t="shared" si="117"/>
        <v>0</v>
      </c>
      <c r="W397" s="19">
        <f t="shared" si="117"/>
        <v>0</v>
      </c>
    </row>
    <row r="398" spans="1:23" x14ac:dyDescent="0.2">
      <c r="A398">
        <v>23</v>
      </c>
      <c r="B398" s="1">
        <v>37257</v>
      </c>
      <c r="J398" s="19">
        <f t="shared" si="111"/>
        <v>0</v>
      </c>
      <c r="K398" s="19">
        <f t="shared" si="111"/>
        <v>0</v>
      </c>
      <c r="L398" s="19">
        <f t="shared" si="111"/>
        <v>0</v>
      </c>
      <c r="M398" s="19">
        <f t="shared" si="111"/>
        <v>0</v>
      </c>
      <c r="N398" s="19">
        <f t="shared" si="112"/>
        <v>0</v>
      </c>
      <c r="O398" s="19">
        <f t="shared" si="112"/>
        <v>0</v>
      </c>
      <c r="P398" s="19">
        <f t="shared" si="113"/>
        <v>0</v>
      </c>
      <c r="Q398" s="19">
        <f t="shared" si="113"/>
        <v>0</v>
      </c>
      <c r="R398" s="19">
        <f t="shared" si="116"/>
        <v>0</v>
      </c>
      <c r="S398" s="19">
        <f t="shared" si="116"/>
        <v>0</v>
      </c>
      <c r="T398" s="19">
        <f t="shared" si="116"/>
        <v>0</v>
      </c>
      <c r="U398" s="19">
        <f t="shared" si="116"/>
        <v>0</v>
      </c>
      <c r="V398" s="19">
        <f t="shared" si="117"/>
        <v>0</v>
      </c>
      <c r="W398" s="19">
        <f t="shared" si="117"/>
        <v>0</v>
      </c>
    </row>
    <row r="399" spans="1:23" x14ac:dyDescent="0.2">
      <c r="A399">
        <v>24</v>
      </c>
      <c r="B399" s="1">
        <v>37288</v>
      </c>
      <c r="N399" s="19">
        <f t="shared" si="112"/>
        <v>0</v>
      </c>
      <c r="O399" s="19">
        <f t="shared" si="112"/>
        <v>0</v>
      </c>
      <c r="P399" s="19">
        <f t="shared" si="113"/>
        <v>0</v>
      </c>
      <c r="Q399" s="19">
        <f t="shared" si="113"/>
        <v>0</v>
      </c>
      <c r="R399" s="19">
        <f t="shared" si="116"/>
        <v>0</v>
      </c>
      <c r="S399" s="19">
        <f t="shared" si="116"/>
        <v>0</v>
      </c>
      <c r="T399" s="19">
        <f t="shared" si="116"/>
        <v>0</v>
      </c>
      <c r="U399" s="19">
        <f t="shared" si="116"/>
        <v>0</v>
      </c>
      <c r="V399" s="19">
        <f t="shared" si="117"/>
        <v>0</v>
      </c>
      <c r="W399" s="19">
        <f t="shared" si="117"/>
        <v>0</v>
      </c>
    </row>
    <row r="400" spans="1:23" x14ac:dyDescent="0.2">
      <c r="A400">
        <v>25</v>
      </c>
      <c r="B400" s="1">
        <v>37316</v>
      </c>
      <c r="N400" s="19">
        <f t="shared" si="112"/>
        <v>0</v>
      </c>
      <c r="O400" s="19">
        <f t="shared" si="112"/>
        <v>0</v>
      </c>
      <c r="P400" s="19">
        <f t="shared" si="113"/>
        <v>0</v>
      </c>
      <c r="Q400" s="19">
        <f t="shared" si="113"/>
        <v>0</v>
      </c>
      <c r="R400" s="19">
        <f t="shared" si="116"/>
        <v>0</v>
      </c>
      <c r="S400" s="19">
        <f t="shared" si="116"/>
        <v>0</v>
      </c>
      <c r="T400" s="19">
        <f t="shared" si="116"/>
        <v>0</v>
      </c>
      <c r="U400" s="19">
        <f t="shared" si="116"/>
        <v>0</v>
      </c>
      <c r="V400" s="19">
        <f t="shared" si="117"/>
        <v>0</v>
      </c>
      <c r="W400" s="19">
        <f t="shared" si="117"/>
        <v>0</v>
      </c>
    </row>
    <row r="401" spans="1:23" x14ac:dyDescent="0.2">
      <c r="A401">
        <v>26</v>
      </c>
      <c r="B401" s="1">
        <v>37347</v>
      </c>
      <c r="P401" s="19">
        <f t="shared" si="113"/>
        <v>0</v>
      </c>
      <c r="Q401" s="19">
        <f t="shared" si="113"/>
        <v>0</v>
      </c>
      <c r="R401" s="19">
        <f t="shared" si="116"/>
        <v>0</v>
      </c>
      <c r="S401" s="19">
        <f t="shared" si="116"/>
        <v>0</v>
      </c>
      <c r="T401" s="19">
        <f t="shared" si="116"/>
        <v>0</v>
      </c>
      <c r="U401" s="19">
        <f t="shared" si="116"/>
        <v>0</v>
      </c>
      <c r="V401" s="19">
        <f t="shared" si="117"/>
        <v>0</v>
      </c>
      <c r="W401" s="19">
        <f t="shared" si="117"/>
        <v>0</v>
      </c>
    </row>
    <row r="402" spans="1:23" x14ac:dyDescent="0.2">
      <c r="A402">
        <v>27</v>
      </c>
      <c r="B402" s="1">
        <v>37377</v>
      </c>
      <c r="P402" s="19">
        <f t="shared" si="113"/>
        <v>0</v>
      </c>
      <c r="Q402" s="19">
        <f t="shared" si="113"/>
        <v>0</v>
      </c>
      <c r="R402" s="19">
        <f t="shared" si="116"/>
        <v>0</v>
      </c>
      <c r="S402" s="19">
        <f t="shared" si="116"/>
        <v>0</v>
      </c>
      <c r="T402" s="19">
        <f t="shared" si="116"/>
        <v>0</v>
      </c>
      <c r="U402" s="19">
        <f t="shared" si="116"/>
        <v>0</v>
      </c>
      <c r="V402" s="19">
        <f t="shared" si="117"/>
        <v>0</v>
      </c>
      <c r="W402" s="19">
        <f t="shared" si="117"/>
        <v>0</v>
      </c>
    </row>
    <row r="403" spans="1:23" x14ac:dyDescent="0.2">
      <c r="A403">
        <v>28</v>
      </c>
      <c r="B403" s="1">
        <v>37408</v>
      </c>
      <c r="P403" s="19">
        <f t="shared" si="113"/>
        <v>0</v>
      </c>
      <c r="Q403" s="19">
        <f t="shared" si="113"/>
        <v>0</v>
      </c>
      <c r="R403" s="19">
        <f t="shared" si="116"/>
        <v>0</v>
      </c>
      <c r="S403" s="19">
        <f t="shared" si="116"/>
        <v>0</v>
      </c>
      <c r="T403" s="19">
        <f t="shared" si="116"/>
        <v>0</v>
      </c>
      <c r="U403" s="19">
        <f t="shared" si="116"/>
        <v>0</v>
      </c>
      <c r="V403" s="19">
        <f t="shared" si="117"/>
        <v>0</v>
      </c>
      <c r="W403" s="19">
        <f t="shared" si="117"/>
        <v>0</v>
      </c>
    </row>
    <row r="404" spans="1:23" x14ac:dyDescent="0.2">
      <c r="A404">
        <v>29</v>
      </c>
      <c r="B404" s="1">
        <v>37438</v>
      </c>
      <c r="P404" s="19">
        <f t="shared" si="113"/>
        <v>0</v>
      </c>
      <c r="Q404" s="19">
        <f t="shared" si="113"/>
        <v>0</v>
      </c>
      <c r="R404" s="19">
        <f t="shared" si="116"/>
        <v>0</v>
      </c>
      <c r="S404" s="19">
        <f t="shared" si="116"/>
        <v>0</v>
      </c>
      <c r="T404" s="19">
        <f t="shared" si="116"/>
        <v>0</v>
      </c>
      <c r="U404" s="19">
        <f t="shared" si="116"/>
        <v>0</v>
      </c>
      <c r="V404" s="19">
        <f t="shared" si="117"/>
        <v>0</v>
      </c>
      <c r="W404" s="19">
        <f t="shared" si="117"/>
        <v>0</v>
      </c>
    </row>
    <row r="405" spans="1:23" x14ac:dyDescent="0.2">
      <c r="A405">
        <v>30</v>
      </c>
      <c r="B405" s="1">
        <v>37469</v>
      </c>
      <c r="P405" s="19">
        <f t="shared" si="113"/>
        <v>0</v>
      </c>
      <c r="Q405" s="19">
        <f t="shared" si="113"/>
        <v>0</v>
      </c>
      <c r="R405" s="19">
        <f t="shared" si="116"/>
        <v>0</v>
      </c>
      <c r="S405" s="19">
        <f t="shared" si="116"/>
        <v>0</v>
      </c>
      <c r="T405" s="19">
        <f t="shared" si="116"/>
        <v>0</v>
      </c>
      <c r="U405" s="19">
        <f t="shared" si="116"/>
        <v>0</v>
      </c>
      <c r="V405" s="19">
        <f t="shared" si="117"/>
        <v>0</v>
      </c>
      <c r="W405" s="19">
        <f t="shared" si="117"/>
        <v>0</v>
      </c>
    </row>
    <row r="406" spans="1:23" x14ac:dyDescent="0.2">
      <c r="A406">
        <v>31</v>
      </c>
      <c r="B406" s="1">
        <v>37500</v>
      </c>
      <c r="P406" s="19">
        <f t="shared" si="113"/>
        <v>0</v>
      </c>
      <c r="Q406" s="19">
        <f t="shared" si="113"/>
        <v>0</v>
      </c>
      <c r="R406" s="19">
        <f t="shared" si="116"/>
        <v>0</v>
      </c>
      <c r="S406" s="19">
        <f t="shared" si="116"/>
        <v>0</v>
      </c>
      <c r="T406" s="19">
        <f t="shared" si="116"/>
        <v>0</v>
      </c>
      <c r="U406" s="19">
        <f t="shared" si="116"/>
        <v>0</v>
      </c>
      <c r="V406" s="19">
        <f t="shared" si="117"/>
        <v>0</v>
      </c>
      <c r="W406" s="19">
        <f t="shared" si="117"/>
        <v>0</v>
      </c>
    </row>
    <row r="407" spans="1:23" x14ac:dyDescent="0.2">
      <c r="A407">
        <v>32</v>
      </c>
      <c r="B407" s="1">
        <v>37530</v>
      </c>
      <c r="P407" s="19">
        <f t="shared" si="113"/>
        <v>0</v>
      </c>
      <c r="Q407" s="19">
        <f t="shared" si="113"/>
        <v>0</v>
      </c>
      <c r="R407" s="19">
        <f t="shared" si="116"/>
        <v>0</v>
      </c>
      <c r="S407" s="19">
        <f t="shared" si="116"/>
        <v>0</v>
      </c>
      <c r="T407" s="19">
        <f t="shared" si="116"/>
        <v>0</v>
      </c>
      <c r="U407" s="19">
        <f t="shared" si="116"/>
        <v>0</v>
      </c>
      <c r="V407" s="19">
        <f t="shared" si="117"/>
        <v>0</v>
      </c>
      <c r="W407" s="19">
        <f t="shared" si="117"/>
        <v>0</v>
      </c>
    </row>
    <row r="408" spans="1:23" x14ac:dyDescent="0.2">
      <c r="A408">
        <v>33</v>
      </c>
      <c r="B408" s="1">
        <v>37561</v>
      </c>
      <c r="R408" s="19">
        <f t="shared" si="116"/>
        <v>0</v>
      </c>
      <c r="S408" s="19">
        <f t="shared" si="116"/>
        <v>0</v>
      </c>
      <c r="T408" s="19">
        <f t="shared" si="116"/>
        <v>0</v>
      </c>
      <c r="U408" s="19">
        <f t="shared" si="116"/>
        <v>0</v>
      </c>
      <c r="V408" s="19">
        <f t="shared" si="117"/>
        <v>0</v>
      </c>
      <c r="W408" s="19">
        <f t="shared" si="117"/>
        <v>0</v>
      </c>
    </row>
    <row r="409" spans="1:23" x14ac:dyDescent="0.2">
      <c r="A409">
        <v>34</v>
      </c>
      <c r="B409" s="1">
        <v>37591</v>
      </c>
      <c r="R409" s="19">
        <f t="shared" si="116"/>
        <v>0</v>
      </c>
      <c r="S409" s="19">
        <f t="shared" si="116"/>
        <v>0</v>
      </c>
      <c r="T409" s="19">
        <f t="shared" si="116"/>
        <v>0</v>
      </c>
      <c r="U409" s="19">
        <f t="shared" si="116"/>
        <v>0</v>
      </c>
      <c r="V409" s="19">
        <f t="shared" si="117"/>
        <v>0</v>
      </c>
      <c r="W409" s="19">
        <f t="shared" si="117"/>
        <v>0</v>
      </c>
    </row>
    <row r="410" spans="1:23" x14ac:dyDescent="0.2">
      <c r="A410">
        <v>35</v>
      </c>
      <c r="B410" s="1">
        <v>37622</v>
      </c>
      <c r="V410" s="19">
        <f t="shared" si="117"/>
        <v>0</v>
      </c>
      <c r="W410" s="19">
        <f t="shared" si="117"/>
        <v>0</v>
      </c>
    </row>
    <row r="411" spans="1:23" x14ac:dyDescent="0.2">
      <c r="A411">
        <v>36</v>
      </c>
      <c r="B411" s="1">
        <v>37653</v>
      </c>
      <c r="V411" s="19">
        <f t="shared" si="117"/>
        <v>0</v>
      </c>
      <c r="W411" s="19">
        <f t="shared" si="117"/>
        <v>0</v>
      </c>
    </row>
    <row r="412" spans="1:23" x14ac:dyDescent="0.2">
      <c r="A412">
        <v>37</v>
      </c>
      <c r="B412" s="1">
        <v>37681</v>
      </c>
      <c r="V412" s="19">
        <f t="shared" si="117"/>
        <v>0</v>
      </c>
      <c r="W412" s="19">
        <f t="shared" si="117"/>
        <v>0</v>
      </c>
    </row>
    <row r="413" spans="1:23" x14ac:dyDescent="0.2">
      <c r="A413">
        <v>38</v>
      </c>
      <c r="B413" s="1">
        <v>37712</v>
      </c>
    </row>
    <row r="414" spans="1:23" x14ac:dyDescent="0.2">
      <c r="A414">
        <v>39</v>
      </c>
      <c r="B414" s="1">
        <v>37742</v>
      </c>
    </row>
    <row r="415" spans="1:23" x14ac:dyDescent="0.2">
      <c r="A415">
        <v>40</v>
      </c>
      <c r="B415" s="1">
        <v>37773</v>
      </c>
    </row>
    <row r="416" spans="1:23" x14ac:dyDescent="0.2">
      <c r="A416">
        <v>41</v>
      </c>
      <c r="B416" s="1">
        <v>37803</v>
      </c>
    </row>
    <row r="417" spans="1:23" x14ac:dyDescent="0.2">
      <c r="A417">
        <v>42</v>
      </c>
      <c r="B417" s="1">
        <v>37834</v>
      </c>
    </row>
    <row r="418" spans="1:23" x14ac:dyDescent="0.2">
      <c r="A418">
        <v>43</v>
      </c>
      <c r="B418" s="1">
        <v>37865</v>
      </c>
    </row>
    <row r="419" spans="1:23" x14ac:dyDescent="0.2">
      <c r="A419">
        <v>44</v>
      </c>
      <c r="B419" s="1">
        <v>37895</v>
      </c>
    </row>
    <row r="420" spans="1:23" x14ac:dyDescent="0.2">
      <c r="A420">
        <v>45</v>
      </c>
      <c r="B420" s="1">
        <v>37926</v>
      </c>
    </row>
    <row r="421" spans="1:23" x14ac:dyDescent="0.2">
      <c r="A421">
        <v>46</v>
      </c>
      <c r="B421" s="1">
        <v>37956</v>
      </c>
      <c r="D421" s="4">
        <f>D148*$M$17</f>
        <v>0</v>
      </c>
    </row>
    <row r="422" spans="1:23" x14ac:dyDescent="0.2">
      <c r="B422" s="3" t="s">
        <v>63</v>
      </c>
      <c r="C422" s="3"/>
      <c r="D422" s="5">
        <f t="shared" ref="D422:W422" si="118">SUM(D376:D421)</f>
        <v>0</v>
      </c>
      <c r="E422" s="5">
        <f t="shared" si="118"/>
        <v>0</v>
      </c>
      <c r="F422" s="5">
        <f t="shared" si="118"/>
        <v>0</v>
      </c>
      <c r="G422" s="5">
        <f t="shared" si="118"/>
        <v>0</v>
      </c>
      <c r="H422" s="5">
        <f t="shared" si="118"/>
        <v>0</v>
      </c>
      <c r="I422" s="5">
        <f t="shared" si="118"/>
        <v>0</v>
      </c>
      <c r="J422" s="5">
        <f t="shared" si="118"/>
        <v>0</v>
      </c>
      <c r="K422" s="5">
        <f t="shared" si="118"/>
        <v>0</v>
      </c>
      <c r="L422" s="5">
        <f t="shared" si="118"/>
        <v>0</v>
      </c>
      <c r="M422" s="5">
        <f t="shared" si="118"/>
        <v>0</v>
      </c>
      <c r="N422" s="5">
        <f t="shared" si="118"/>
        <v>0</v>
      </c>
      <c r="O422" s="5">
        <f t="shared" si="118"/>
        <v>0</v>
      </c>
      <c r="P422" s="5">
        <f t="shared" si="118"/>
        <v>0</v>
      </c>
      <c r="Q422" s="5">
        <f t="shared" si="118"/>
        <v>0</v>
      </c>
      <c r="R422" s="5">
        <f t="shared" si="118"/>
        <v>0</v>
      </c>
      <c r="S422" s="5">
        <f t="shared" si="118"/>
        <v>0</v>
      </c>
      <c r="T422" s="5">
        <f t="shared" si="118"/>
        <v>0</v>
      </c>
      <c r="U422" s="5">
        <f t="shared" si="118"/>
        <v>0</v>
      </c>
      <c r="V422" s="5">
        <f t="shared" si="118"/>
        <v>0</v>
      </c>
      <c r="W422" s="5">
        <f t="shared" si="118"/>
        <v>0</v>
      </c>
    </row>
    <row r="444" spans="2:23" x14ac:dyDescent="0.2">
      <c r="B444" s="31" t="s">
        <v>51</v>
      </c>
    </row>
    <row r="445" spans="2:23" x14ac:dyDescent="0.2">
      <c r="B445" s="31"/>
    </row>
    <row r="446" spans="2:23" x14ac:dyDescent="0.2">
      <c r="B446" t="s">
        <v>86</v>
      </c>
    </row>
    <row r="447" spans="2:23" x14ac:dyDescent="0.2">
      <c r="B447" t="s">
        <v>89</v>
      </c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</row>
    <row r="448" spans="2:23" x14ac:dyDescent="0.2">
      <c r="B448" s="1"/>
      <c r="O448" s="19"/>
      <c r="P448" s="19"/>
      <c r="Q448" s="19"/>
      <c r="R448" s="19"/>
      <c r="S448" s="19"/>
      <c r="T448" s="19"/>
      <c r="U448" s="19"/>
      <c r="V448" s="19"/>
      <c r="W448" s="19"/>
    </row>
    <row r="449" spans="2:23" x14ac:dyDescent="0.2">
      <c r="O449" s="19"/>
      <c r="P449" s="19"/>
      <c r="Q449" s="19"/>
      <c r="R449" s="19"/>
      <c r="S449" s="19"/>
      <c r="T449" s="19"/>
      <c r="U449" s="19"/>
      <c r="V449" s="19"/>
      <c r="W449" s="19"/>
    </row>
    <row r="450" spans="2:23" x14ac:dyDescent="0.2">
      <c r="B450" s="1"/>
      <c r="D450" t="s">
        <v>55</v>
      </c>
      <c r="N450" s="19"/>
      <c r="O450" s="19"/>
      <c r="P450" s="19"/>
      <c r="R450" s="19"/>
      <c r="S450" s="19"/>
      <c r="T450" s="19"/>
      <c r="U450" s="19"/>
      <c r="V450" s="19"/>
      <c r="W450" s="19"/>
    </row>
    <row r="451" spans="2:23" x14ac:dyDescent="0.2">
      <c r="B451" s="1"/>
      <c r="C451" s="32">
        <f>Sheet2!AD43</f>
        <v>69756.879951481576</v>
      </c>
      <c r="D451" s="53">
        <v>0.2</v>
      </c>
      <c r="E451" s="53">
        <f>0.025+D451</f>
        <v>0.22500000000000001</v>
      </c>
      <c r="F451" s="53">
        <f t="shared" ref="F451:P451" si="119">0.025+E451</f>
        <v>0.25</v>
      </c>
      <c r="G451" s="53">
        <f t="shared" si="119"/>
        <v>0.27500000000000002</v>
      </c>
      <c r="H451" s="53">
        <f t="shared" si="119"/>
        <v>0.30000000000000004</v>
      </c>
      <c r="I451" s="53">
        <f t="shared" si="119"/>
        <v>0.32500000000000007</v>
      </c>
      <c r="J451" s="53">
        <f t="shared" si="119"/>
        <v>0.35000000000000009</v>
      </c>
      <c r="K451" s="53">
        <f t="shared" si="119"/>
        <v>0.37500000000000011</v>
      </c>
      <c r="L451" s="53">
        <f t="shared" si="119"/>
        <v>0.40000000000000013</v>
      </c>
      <c r="M451" s="53">
        <f t="shared" si="119"/>
        <v>0.42500000000000016</v>
      </c>
      <c r="N451" s="53">
        <f t="shared" si="119"/>
        <v>0.45000000000000018</v>
      </c>
      <c r="O451" s="53">
        <f t="shared" si="119"/>
        <v>0.4750000000000002</v>
      </c>
      <c r="P451" s="53">
        <f t="shared" si="119"/>
        <v>0.50000000000000022</v>
      </c>
      <c r="R451" s="19"/>
      <c r="S451" s="19"/>
      <c r="T451" s="19"/>
      <c r="U451" s="19"/>
      <c r="V451" s="19"/>
      <c r="W451" s="19"/>
    </row>
    <row r="452" spans="2:23" x14ac:dyDescent="0.2">
      <c r="B452" s="30" t="s">
        <v>54</v>
      </c>
      <c r="C452" s="54">
        <f>1-D451</f>
        <v>0.8</v>
      </c>
      <c r="R452" s="19"/>
      <c r="S452" s="19"/>
      <c r="T452" s="19"/>
      <c r="U452" s="19"/>
      <c r="V452" s="19"/>
      <c r="W452" s="19"/>
    </row>
    <row r="453" spans="2:23" x14ac:dyDescent="0.2">
      <c r="B453" s="1"/>
      <c r="C453" s="54">
        <f>1-E451</f>
        <v>0.77500000000000002</v>
      </c>
      <c r="R453" s="19"/>
      <c r="S453" s="19"/>
      <c r="T453" s="19"/>
      <c r="U453" s="19"/>
      <c r="V453" s="19"/>
      <c r="W453" s="19"/>
    </row>
    <row r="454" spans="2:23" x14ac:dyDescent="0.2">
      <c r="B454" s="1"/>
      <c r="C454" s="54">
        <f>1-F451</f>
        <v>0.75</v>
      </c>
      <c r="R454" s="19"/>
      <c r="S454" s="19"/>
      <c r="T454" s="19"/>
      <c r="U454" s="19"/>
      <c r="V454" s="19"/>
      <c r="W454" s="19"/>
    </row>
    <row r="455" spans="2:23" x14ac:dyDescent="0.2">
      <c r="B455" s="1"/>
      <c r="C455" s="54">
        <f>1-G451</f>
        <v>0.72499999999999998</v>
      </c>
      <c r="R455" s="19"/>
      <c r="S455" s="19"/>
      <c r="T455" s="19"/>
      <c r="U455" s="19"/>
      <c r="V455" s="19"/>
      <c r="W455" s="19"/>
    </row>
    <row r="456" spans="2:23" x14ac:dyDescent="0.2">
      <c r="B456" s="1"/>
      <c r="C456" s="54">
        <f>1-H451</f>
        <v>0.7</v>
      </c>
      <c r="R456" s="19"/>
      <c r="S456" s="19"/>
      <c r="T456" s="19"/>
      <c r="U456" s="19"/>
      <c r="V456" s="19"/>
      <c r="W456" s="19"/>
    </row>
    <row r="457" spans="2:23" x14ac:dyDescent="0.2">
      <c r="B457" s="1"/>
      <c r="C457" s="54">
        <f>1-I$451</f>
        <v>0.67499999999999993</v>
      </c>
      <c r="R457" s="19"/>
      <c r="S457" s="19"/>
      <c r="T457" s="19"/>
      <c r="U457" s="19"/>
      <c r="V457" s="19"/>
      <c r="W457" s="19"/>
    </row>
    <row r="458" spans="2:23" x14ac:dyDescent="0.2">
      <c r="B458" s="1"/>
      <c r="C458" s="54">
        <f>1-J$451</f>
        <v>0.64999999999999991</v>
      </c>
      <c r="R458" s="19"/>
      <c r="S458" s="19"/>
      <c r="T458" s="19"/>
      <c r="U458" s="19"/>
      <c r="V458" s="19"/>
      <c r="W458" s="19"/>
    </row>
    <row r="459" spans="2:23" x14ac:dyDescent="0.2">
      <c r="B459" s="1"/>
      <c r="C459" s="54">
        <f>1-K$451</f>
        <v>0.62499999999999989</v>
      </c>
      <c r="R459" s="19"/>
      <c r="S459" s="19"/>
      <c r="T459" s="19"/>
      <c r="U459" s="19"/>
      <c r="V459" s="19"/>
      <c r="W459" s="19"/>
    </row>
    <row r="460" spans="2:23" x14ac:dyDescent="0.2">
      <c r="B460" s="1"/>
      <c r="C460" s="54">
        <f>1-L$451</f>
        <v>0.59999999999999987</v>
      </c>
      <c r="R460" s="19"/>
      <c r="S460" s="19"/>
      <c r="T460" s="19"/>
      <c r="U460" s="19"/>
      <c r="V460" s="19"/>
      <c r="W460" s="19"/>
    </row>
    <row r="461" spans="2:23" x14ac:dyDescent="0.2">
      <c r="B461" s="1"/>
      <c r="C461" s="54">
        <f>1-M$451</f>
        <v>0.57499999999999984</v>
      </c>
      <c r="R461" s="19"/>
      <c r="S461" s="19"/>
      <c r="T461" s="19"/>
      <c r="U461" s="19"/>
      <c r="V461" s="19"/>
      <c r="W461" s="19"/>
    </row>
    <row r="462" spans="2:23" x14ac:dyDescent="0.2">
      <c r="B462" s="1"/>
      <c r="C462" s="54">
        <f>1-N$451</f>
        <v>0.54999999999999982</v>
      </c>
      <c r="R462" s="19"/>
      <c r="S462" s="19"/>
      <c r="T462" s="19"/>
      <c r="U462" s="19"/>
      <c r="V462" s="19"/>
      <c r="W462" s="19"/>
    </row>
    <row r="463" spans="2:23" x14ac:dyDescent="0.2">
      <c r="B463" s="1"/>
      <c r="C463" s="54">
        <f>1-O$451</f>
        <v>0.5249999999999998</v>
      </c>
      <c r="R463" s="19"/>
      <c r="S463" s="19"/>
      <c r="T463" s="19"/>
      <c r="U463" s="19"/>
      <c r="V463" s="19"/>
      <c r="W463" s="19"/>
    </row>
    <row r="464" spans="2:23" x14ac:dyDescent="0.2">
      <c r="B464" s="1"/>
      <c r="C464" s="54">
        <f>1-P$451</f>
        <v>0.49999999999999978</v>
      </c>
      <c r="R464" s="19"/>
      <c r="S464" s="19"/>
      <c r="T464" s="19"/>
      <c r="U464" s="19"/>
      <c r="V464" s="19"/>
      <c r="W464" s="19"/>
    </row>
    <row r="465" spans="2:23" x14ac:dyDescent="0.2">
      <c r="B465" s="1"/>
      <c r="R465" s="19"/>
      <c r="S465" s="19"/>
      <c r="T465" s="19"/>
      <c r="U465" s="19"/>
      <c r="V465" s="19"/>
      <c r="W465" s="19"/>
    </row>
    <row r="466" spans="2:23" x14ac:dyDescent="0.2">
      <c r="B466" s="1"/>
      <c r="R466" s="19"/>
      <c r="S466" s="19"/>
      <c r="T466" s="19"/>
      <c r="U466" s="19"/>
      <c r="V466" s="19"/>
      <c r="W466" s="19"/>
    </row>
    <row r="467" spans="2:23" x14ac:dyDescent="0.2">
      <c r="B467" s="1"/>
      <c r="R467" s="19"/>
      <c r="S467" s="19"/>
      <c r="T467" s="19"/>
      <c r="U467" s="19"/>
      <c r="V467" s="19"/>
      <c r="W467" s="19"/>
    </row>
    <row r="468" spans="2:23" x14ac:dyDescent="0.2">
      <c r="B468" s="1"/>
      <c r="R468" s="19"/>
      <c r="S468" s="19"/>
      <c r="T468" s="19"/>
      <c r="U468" s="19"/>
      <c r="V468" s="19"/>
      <c r="W468" s="19"/>
    </row>
    <row r="469" spans="2:23" x14ac:dyDescent="0.2">
      <c r="B469" s="1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</row>
    <row r="470" spans="2:23" x14ac:dyDescent="0.2">
      <c r="O470" s="19"/>
      <c r="P470" s="19"/>
      <c r="Q470" s="19"/>
      <c r="R470" s="19"/>
      <c r="S470" s="19"/>
      <c r="T470" s="19"/>
      <c r="U470" s="19"/>
      <c r="V470" s="19"/>
      <c r="W470" s="19"/>
    </row>
    <row r="471" spans="2:23" x14ac:dyDescent="0.2">
      <c r="O471" s="19"/>
      <c r="P471" s="19"/>
      <c r="Q471" s="19"/>
      <c r="R471" s="19"/>
      <c r="S471" s="19"/>
      <c r="T471" s="19"/>
      <c r="U471" s="19"/>
      <c r="V471" s="19"/>
      <c r="W471" s="19"/>
    </row>
    <row r="472" spans="2:23" x14ac:dyDescent="0.2">
      <c r="P472" s="19"/>
      <c r="Q472" s="19"/>
      <c r="R472" s="19"/>
      <c r="S472" s="19"/>
      <c r="T472" s="19"/>
      <c r="U472" s="19"/>
      <c r="V472" s="19"/>
      <c r="W472" s="19"/>
    </row>
    <row r="473" spans="2:23" x14ac:dyDescent="0.2">
      <c r="P473" s="19"/>
      <c r="Q473" s="19"/>
      <c r="R473" s="19"/>
      <c r="S473" s="19"/>
      <c r="T473" s="19"/>
      <c r="U473" s="19"/>
      <c r="V473" s="19"/>
      <c r="W473" s="19"/>
    </row>
    <row r="474" spans="2:23" x14ac:dyDescent="0.2">
      <c r="P474" s="19"/>
      <c r="Q474" s="19"/>
      <c r="R474" s="19"/>
      <c r="S474" s="19"/>
      <c r="T474" s="19"/>
      <c r="U474" s="19"/>
      <c r="V474" s="19"/>
      <c r="W474" s="19"/>
    </row>
    <row r="475" spans="2:23" x14ac:dyDescent="0.2">
      <c r="P475" s="19"/>
      <c r="Q475" s="19"/>
      <c r="R475" s="19"/>
      <c r="S475" s="19"/>
      <c r="T475" s="19"/>
      <c r="U475" s="19"/>
      <c r="V475" s="19"/>
      <c r="W475" s="19"/>
    </row>
    <row r="476" spans="2:23" x14ac:dyDescent="0.2">
      <c r="P476" s="19"/>
      <c r="Q476" s="19"/>
      <c r="R476" s="19"/>
      <c r="S476" s="19"/>
      <c r="T476" s="19"/>
      <c r="U476" s="19"/>
      <c r="V476" s="19"/>
      <c r="W476" s="19"/>
    </row>
    <row r="477" spans="2:23" x14ac:dyDescent="0.2">
      <c r="P477" s="19"/>
      <c r="Q477" s="19"/>
      <c r="R477" s="19"/>
      <c r="S477" s="19"/>
      <c r="T477" s="19"/>
      <c r="U477" s="19"/>
      <c r="V477" s="19"/>
      <c r="W477" s="19"/>
    </row>
    <row r="478" spans="2:23" x14ac:dyDescent="0.2">
      <c r="P478" s="19"/>
      <c r="Q478" s="19"/>
      <c r="R478" s="19"/>
      <c r="S478" s="19"/>
      <c r="T478" s="19"/>
      <c r="U478" s="19"/>
      <c r="V478" s="19"/>
      <c r="W478" s="19"/>
    </row>
    <row r="479" spans="2:23" x14ac:dyDescent="0.2">
      <c r="R479" s="19"/>
      <c r="S479" s="19"/>
      <c r="T479" s="19"/>
      <c r="U479" s="19"/>
      <c r="V479" s="19"/>
      <c r="W479" s="19"/>
    </row>
    <row r="480" spans="2:23" x14ac:dyDescent="0.2">
      <c r="R480" s="19"/>
      <c r="S480" s="19"/>
      <c r="T480" s="19"/>
      <c r="U480" s="19"/>
      <c r="V480" s="19"/>
      <c r="W480" s="19"/>
    </row>
    <row r="481" spans="22:23" x14ac:dyDescent="0.2">
      <c r="V481" s="19"/>
      <c r="W481" s="19"/>
    </row>
    <row r="482" spans="22:23" x14ac:dyDescent="0.2">
      <c r="V482" s="19"/>
      <c r="W482" s="19"/>
    </row>
    <row r="483" spans="22:23" x14ac:dyDescent="0.2">
      <c r="V483" s="19"/>
      <c r="W483" s="19"/>
    </row>
  </sheetData>
  <pageMargins left="0.5" right="0.5" top="0.5" bottom="0.5" header="0" footer="0"/>
  <pageSetup paperSize="5" scale="36" fitToWidth="2" fitToHeight="2" orientation="landscape" horizontalDpi="0" r:id="rId1"/>
  <headerFooter alignWithMargins="0">
    <oddFooter>&amp;L&amp;F</oddFooter>
  </headerFooter>
  <rowBreaks count="1" manualBreakCount="1">
    <brk id="101" max="39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3:AX48"/>
  <sheetViews>
    <sheetView tabSelected="1" topLeftCell="A3" zoomScale="75" workbookViewId="0">
      <selection activeCell="L28" sqref="L28"/>
    </sheetView>
  </sheetViews>
  <sheetFormatPr defaultRowHeight="12.75" x14ac:dyDescent="0.2"/>
  <cols>
    <col min="1" max="1" width="4.6640625" bestFit="1" customWidth="1"/>
    <col min="3" max="3" width="11.1640625" customWidth="1"/>
    <col min="4" max="4" width="5.6640625" customWidth="1"/>
    <col min="5" max="5" width="13.1640625" customWidth="1"/>
    <col min="6" max="6" width="14.1640625" customWidth="1"/>
    <col min="7" max="7" width="12.83203125" customWidth="1"/>
    <col min="8" max="8" width="12" customWidth="1"/>
    <col min="9" max="9" width="10" customWidth="1"/>
    <col min="10" max="11" width="12" customWidth="1"/>
    <col min="12" max="12" width="13.33203125" customWidth="1"/>
    <col min="13" max="13" width="14.1640625" customWidth="1"/>
    <col min="14" max="14" width="12.6640625" customWidth="1"/>
    <col min="15" max="15" width="16.33203125" customWidth="1"/>
    <col min="16" max="16" width="10.5" customWidth="1"/>
    <col min="17" max="17" width="14" customWidth="1"/>
    <col min="18" max="18" width="14.83203125" customWidth="1"/>
    <col min="19" max="19" width="4.33203125" customWidth="1"/>
    <col min="20" max="20" width="11" customWidth="1"/>
    <col min="21" max="21" width="14.33203125" customWidth="1"/>
    <col min="22" max="22" width="15" customWidth="1"/>
    <col min="23" max="25" width="11" customWidth="1"/>
    <col min="26" max="27" width="11.5" customWidth="1"/>
    <col min="28" max="28" width="11.83203125" customWidth="1"/>
    <col min="29" max="36" width="13.1640625" customWidth="1"/>
    <col min="38" max="38" width="10.6640625" customWidth="1"/>
    <col min="39" max="40" width="15.1640625" customWidth="1"/>
    <col min="41" max="41" width="10" customWidth="1"/>
    <col min="42" max="42" width="10.83203125" customWidth="1"/>
    <col min="45" max="45" width="16.6640625" customWidth="1"/>
    <col min="46" max="46" width="10.6640625" customWidth="1"/>
    <col min="47" max="47" width="12.33203125" customWidth="1"/>
    <col min="48" max="48" width="10.33203125" customWidth="1"/>
    <col min="49" max="49" width="10.1640625" customWidth="1"/>
    <col min="50" max="50" width="13.83203125" customWidth="1"/>
  </cols>
  <sheetData>
    <row r="3" spans="1:50" x14ac:dyDescent="0.2">
      <c r="T3" t="s">
        <v>24</v>
      </c>
      <c r="AL3" t="s">
        <v>27</v>
      </c>
      <c r="AR3" t="s">
        <v>28</v>
      </c>
    </row>
    <row r="4" spans="1:50" s="26" customFormat="1" ht="63.75" x14ac:dyDescent="0.2">
      <c r="C4" s="26" t="s">
        <v>53</v>
      </c>
      <c r="E4" s="26" t="s">
        <v>60</v>
      </c>
      <c r="F4" s="26" t="s">
        <v>56</v>
      </c>
      <c r="G4" s="26" t="s">
        <v>70</v>
      </c>
      <c r="H4" s="26" t="s">
        <v>57</v>
      </c>
      <c r="I4" s="26" t="s">
        <v>71</v>
      </c>
      <c r="J4" s="26" t="s">
        <v>59</v>
      </c>
      <c r="L4" s="26" t="s">
        <v>64</v>
      </c>
      <c r="M4" s="26" t="s">
        <v>36</v>
      </c>
      <c r="N4" s="27" t="s">
        <v>52</v>
      </c>
      <c r="O4" s="27" t="s">
        <v>32</v>
      </c>
      <c r="P4" s="26" t="s">
        <v>11</v>
      </c>
      <c r="Q4" s="26" t="s">
        <v>33</v>
      </c>
      <c r="R4" s="26" t="s">
        <v>37</v>
      </c>
      <c r="T4" s="26" t="s">
        <v>13</v>
      </c>
      <c r="U4" s="26" t="s">
        <v>21</v>
      </c>
      <c r="V4" s="26" t="s">
        <v>11</v>
      </c>
      <c r="W4" s="26" t="s">
        <v>26</v>
      </c>
      <c r="X4" s="26" t="s">
        <v>57</v>
      </c>
      <c r="Y4" s="26" t="s">
        <v>58</v>
      </c>
      <c r="Z4" s="26" t="s">
        <v>74</v>
      </c>
      <c r="AA4" s="26" t="s">
        <v>73</v>
      </c>
      <c r="AB4" s="26" t="s">
        <v>75</v>
      </c>
      <c r="AC4" s="26" t="s">
        <v>76</v>
      </c>
      <c r="AD4" s="26" t="s">
        <v>77</v>
      </c>
      <c r="AF4" s="26" t="s">
        <v>78</v>
      </c>
      <c r="AG4" s="26" t="s">
        <v>79</v>
      </c>
      <c r="AL4" s="26" t="s">
        <v>13</v>
      </c>
      <c r="AM4" s="26" t="s">
        <v>21</v>
      </c>
      <c r="AN4" s="26" t="s">
        <v>11</v>
      </c>
      <c r="AO4" s="26" t="s">
        <v>26</v>
      </c>
      <c r="AP4" s="26" t="s">
        <v>29</v>
      </c>
      <c r="AR4" s="26" t="s">
        <v>13</v>
      </c>
      <c r="AS4" s="26" t="s">
        <v>21</v>
      </c>
      <c r="AT4" s="26" t="s">
        <v>26</v>
      </c>
      <c r="AU4" s="26" t="s">
        <v>58</v>
      </c>
      <c r="AV4" s="26" t="s">
        <v>29</v>
      </c>
      <c r="AW4" s="26" t="s">
        <v>40</v>
      </c>
      <c r="AX4" s="26" t="s">
        <v>30</v>
      </c>
    </row>
    <row r="5" spans="1:50" x14ac:dyDescent="0.2">
      <c r="A5">
        <v>1</v>
      </c>
      <c r="B5" s="1">
        <v>36586</v>
      </c>
      <c r="C5" s="4">
        <f>SUM(Sheet1!D51:W51)</f>
        <v>1688</v>
      </c>
      <c r="E5" s="11">
        <v>0</v>
      </c>
      <c r="F5" s="4">
        <f>Sheet1!$M$17*Sheet2!C5</f>
        <v>0</v>
      </c>
      <c r="G5" s="4">
        <f>(Sheet1!$M$18/12)*(E5+F5)</f>
        <v>0</v>
      </c>
      <c r="H5" s="4">
        <v>0</v>
      </c>
      <c r="J5" s="4">
        <f>E5+F5+G5-H5-I5</f>
        <v>0</v>
      </c>
      <c r="K5" s="4"/>
      <c r="L5" s="4">
        <f>(Sheet1!$G$8-Sheet1!$F$48)</f>
        <v>249942</v>
      </c>
      <c r="M5" s="4">
        <f>Sheet1!$F$48</f>
        <v>45058</v>
      </c>
      <c r="N5" s="4">
        <f>SUM(Sheet1!D51:W51)*Sheet1!$G$16</f>
        <v>1688</v>
      </c>
      <c r="O5" s="4">
        <f>((Sheet1!$G$13+Sheet1!$G$11/10000)/12)*(M5+N5)</f>
        <v>350.6923875</v>
      </c>
      <c r="P5" s="4">
        <v>0</v>
      </c>
      <c r="Q5" s="4"/>
      <c r="R5" s="4">
        <f t="shared" ref="R5:R42" si="0">M5+N5+O5-P5-Q5</f>
        <v>47096.692387499999</v>
      </c>
      <c r="S5" s="4"/>
      <c r="T5" s="4">
        <f>Sheet1!$G$8*Sheet1!$G$9/10000</f>
        <v>8850</v>
      </c>
      <c r="U5" s="4">
        <f>L5*Sheet1!$G$10/10000/12</f>
        <v>169.2315625</v>
      </c>
      <c r="V5" s="4">
        <f>P5</f>
        <v>0</v>
      </c>
      <c r="W5" s="4">
        <f>Q5</f>
        <v>0</v>
      </c>
      <c r="X5" s="4">
        <f>H5</f>
        <v>0</v>
      </c>
      <c r="Y5" s="4">
        <f>I5</f>
        <v>0</v>
      </c>
      <c r="Z5" s="4">
        <f>SUM(T5:Y5)</f>
        <v>9019.2315624999992</v>
      </c>
      <c r="AB5" s="6">
        <f t="shared" ref="AB5:AB42" si="1">F5+N5</f>
        <v>1688</v>
      </c>
      <c r="AC5" s="41">
        <f>Z5+AA5-AB5</f>
        <v>7331.2315624999992</v>
      </c>
      <c r="AD5" s="41">
        <f>AC5/((1+Sheet1!$G$18/12)^(Sheet2!A5))</f>
        <v>7270.6428719008254</v>
      </c>
      <c r="AE5" s="35"/>
      <c r="AF5" s="41">
        <f t="shared" ref="AF5:AF42" si="2">-F5+H5+I5+AA5</f>
        <v>0</v>
      </c>
      <c r="AG5" s="35" t="e">
        <f>XIRR(AF5:AF42,B5:B42)</f>
        <v>#NUM!</v>
      </c>
      <c r="AH5" s="35"/>
      <c r="AI5" s="35"/>
      <c r="AJ5" s="35"/>
      <c r="AL5" s="4">
        <f>Sheet1!$M$8*Sheet1!$M$9/10000</f>
        <v>1475</v>
      </c>
      <c r="AM5" s="4">
        <f>+L5*Sheet1!$M$10/10000/12</f>
        <v>31.242750000000001</v>
      </c>
      <c r="AN5" s="4">
        <f>P5</f>
        <v>0</v>
      </c>
      <c r="AO5" s="4"/>
      <c r="AP5" s="4">
        <f t="shared" ref="AP5:AP42" si="3">SUM(AL5:AO5)</f>
        <v>1506.2427499999999</v>
      </c>
      <c r="AR5" s="6">
        <f>+T5-AL5</f>
        <v>7375</v>
      </c>
      <c r="AS5" s="6">
        <f t="shared" ref="AS5:AS42" si="4">U5-AM5</f>
        <v>137.98881249999999</v>
      </c>
      <c r="AT5" s="6">
        <f t="shared" ref="AT5:AT42" si="5">W5-AO5</f>
        <v>0</v>
      </c>
      <c r="AU5" s="6">
        <f t="shared" ref="AU5:AU42" si="6">G5</f>
        <v>0</v>
      </c>
      <c r="AV5" s="4">
        <f>SUM(AR5:AU5)</f>
        <v>7512.9888124999998</v>
      </c>
      <c r="AX5" s="4">
        <f>((AV5+AW5)/((1+Sheet1!$M$15)^(Sheet1!A51/12)))</f>
        <v>7464.9590412585994</v>
      </c>
    </row>
    <row r="6" spans="1:50" x14ac:dyDescent="0.2">
      <c r="A6">
        <v>2</v>
      </c>
      <c r="B6" s="1">
        <v>36617</v>
      </c>
      <c r="C6" s="4">
        <f>SUM(Sheet1!D52:W52)</f>
        <v>10164</v>
      </c>
      <c r="E6" s="4">
        <f t="shared" ref="E6:E42" si="7">J5</f>
        <v>0</v>
      </c>
      <c r="F6" s="4">
        <f>Sheet1!$M$17*Sheet2!C6</f>
        <v>0</v>
      </c>
      <c r="G6" s="4">
        <f>(Sheet1!$M$18/12)*(E6+F6)</f>
        <v>0</v>
      </c>
      <c r="H6" s="4">
        <v>0</v>
      </c>
      <c r="J6" s="4">
        <f t="shared" ref="J6:J42" si="8">E6+F6+G6-H6-I6</f>
        <v>0</v>
      </c>
      <c r="K6" s="4"/>
      <c r="L6" s="4">
        <f>+Sheet1!$G$8-Sheet2!R5</f>
        <v>247903.30761250001</v>
      </c>
      <c r="M6" s="4">
        <f t="shared" ref="M6:M42" si="9">R5</f>
        <v>47096.692387499999</v>
      </c>
      <c r="N6" s="4">
        <f>SUM(Sheet1!D52:W52)*Sheet1!$G$16</f>
        <v>10164</v>
      </c>
      <c r="O6" s="4">
        <f>((Sheet1!$G$13+Sheet1!$G$11/10000)/12)*(M6+N6)</f>
        <v>429.57448601539062</v>
      </c>
      <c r="P6" s="4">
        <v>0</v>
      </c>
      <c r="Q6" s="4"/>
      <c r="R6" s="4">
        <f t="shared" si="0"/>
        <v>57690.266873515393</v>
      </c>
      <c r="S6" s="4"/>
      <c r="U6" s="4">
        <f>L6*Sheet1!$G$10/10000/12</f>
        <v>167.85119786263022</v>
      </c>
      <c r="V6" s="4">
        <f t="shared" ref="V6:V42" si="10">P6</f>
        <v>0</v>
      </c>
      <c r="W6" s="4">
        <f t="shared" ref="W6:W42" si="11">Q6</f>
        <v>0</v>
      </c>
      <c r="X6" s="4">
        <f t="shared" ref="X6:X42" si="12">H6</f>
        <v>0</v>
      </c>
      <c r="Y6" s="4">
        <f t="shared" ref="Y6:Y42" si="13">I6</f>
        <v>0</v>
      </c>
      <c r="Z6" s="4">
        <f t="shared" ref="Z6:Z42" si="14">SUM(T6:Y6)</f>
        <v>167.85119786263022</v>
      </c>
      <c r="AB6" s="6">
        <f t="shared" si="1"/>
        <v>10164</v>
      </c>
      <c r="AC6" s="41">
        <f t="shared" ref="AC6:AC42" si="15">Z6+AA6-AB6</f>
        <v>-9996.1488021373698</v>
      </c>
      <c r="AD6" s="41">
        <f>AC6/((1+Sheet1!$G$18/12)^(Sheet2!A6))</f>
        <v>-9831.6059525154105</v>
      </c>
      <c r="AE6" s="35"/>
      <c r="AF6" s="41">
        <f t="shared" si="2"/>
        <v>0</v>
      </c>
      <c r="AG6" s="35"/>
      <c r="AH6" s="35"/>
      <c r="AI6" s="35"/>
      <c r="AJ6" s="35"/>
      <c r="AM6" s="4">
        <f>+L6*Sheet1!$M$10/10000/12</f>
        <v>30.987913451562502</v>
      </c>
      <c r="AN6" s="4">
        <f t="shared" ref="AN6:AN42" si="16">P6</f>
        <v>0</v>
      </c>
      <c r="AO6" s="4"/>
      <c r="AP6" s="4">
        <f t="shared" si="3"/>
        <v>30.987913451562502</v>
      </c>
      <c r="AS6" s="6">
        <f t="shared" si="4"/>
        <v>136.86328441106772</v>
      </c>
      <c r="AT6" s="6">
        <f t="shared" si="5"/>
        <v>0</v>
      </c>
      <c r="AU6" s="6">
        <f t="shared" si="6"/>
        <v>0</v>
      </c>
      <c r="AV6" s="4">
        <f>SUM(AR6:AU6)</f>
        <v>136.86328441106772</v>
      </c>
      <c r="AX6" s="4">
        <f>((AV6+AW6)/((1+Sheet1!$M$15)^(Sheet1!A52/12)))</f>
        <v>135.11897185890774</v>
      </c>
    </row>
    <row r="7" spans="1:50" x14ac:dyDescent="0.2">
      <c r="A7">
        <v>3</v>
      </c>
      <c r="B7" s="1">
        <v>36647</v>
      </c>
      <c r="C7" s="4">
        <f>SUM(Sheet1!D53:W53)</f>
        <v>12370</v>
      </c>
      <c r="E7" s="4">
        <f t="shared" si="7"/>
        <v>0</v>
      </c>
      <c r="F7" s="4">
        <f>Sheet1!$M$17*Sheet2!C7</f>
        <v>0</v>
      </c>
      <c r="G7" s="4">
        <f>(Sheet1!$M$18/12)*(E7+F7)</f>
        <v>0</v>
      </c>
      <c r="H7" s="4">
        <v>0</v>
      </c>
      <c r="J7" s="4">
        <f t="shared" si="8"/>
        <v>0</v>
      </c>
      <c r="K7" s="4"/>
      <c r="L7" s="4">
        <f>+Sheet1!$G$8-Sheet2!R6</f>
        <v>237309.73312648461</v>
      </c>
      <c r="M7" s="4">
        <f t="shared" si="9"/>
        <v>57690.266873515393</v>
      </c>
      <c r="N7" s="4">
        <f>SUM(Sheet1!D53:W53)*Sheet1!$G$16</f>
        <v>12370</v>
      </c>
      <c r="O7" s="4">
        <f>((Sheet1!$G$13+Sheet1!$G$11/10000)/12)*(M7+N7)</f>
        <v>525.59796044068514</v>
      </c>
      <c r="P7" s="4">
        <v>0</v>
      </c>
      <c r="Q7" s="4"/>
      <c r="R7" s="4">
        <f t="shared" si="0"/>
        <v>70585.864833956075</v>
      </c>
      <c r="S7" s="4"/>
      <c r="U7" s="4">
        <f>L7*Sheet1!$G$10/10000/12</f>
        <v>160.67846513772398</v>
      </c>
      <c r="V7" s="4">
        <f t="shared" si="10"/>
        <v>0</v>
      </c>
      <c r="W7" s="4">
        <f t="shared" si="11"/>
        <v>0</v>
      </c>
      <c r="X7" s="4">
        <f t="shared" si="12"/>
        <v>0</v>
      </c>
      <c r="Y7" s="4">
        <f t="shared" si="13"/>
        <v>0</v>
      </c>
      <c r="Z7" s="4">
        <f t="shared" si="14"/>
        <v>160.67846513772398</v>
      </c>
      <c r="AB7" s="6">
        <f t="shared" si="1"/>
        <v>12370</v>
      </c>
      <c r="AC7" s="41">
        <f t="shared" si="15"/>
        <v>-12209.321534862276</v>
      </c>
      <c r="AD7" s="41">
        <f>AC7/((1+Sheet1!$G$18/12)^(Sheet2!A7))</f>
        <v>-11909.105931007747</v>
      </c>
      <c r="AE7" s="35"/>
      <c r="AF7" s="41">
        <f t="shared" si="2"/>
        <v>0</v>
      </c>
      <c r="AG7" s="35"/>
      <c r="AH7" s="35"/>
      <c r="AI7" s="35"/>
      <c r="AJ7" s="35"/>
      <c r="AM7" s="4">
        <f>+L7*Sheet1!$M$10/10000/12</f>
        <v>29.663716640810577</v>
      </c>
      <c r="AN7" s="4">
        <f t="shared" si="16"/>
        <v>0</v>
      </c>
      <c r="AO7" s="4"/>
      <c r="AP7" s="4">
        <f t="shared" si="3"/>
        <v>29.663716640810577</v>
      </c>
      <c r="AS7" s="6">
        <f t="shared" si="4"/>
        <v>131.0147484969134</v>
      </c>
      <c r="AT7" s="6">
        <f t="shared" si="5"/>
        <v>0</v>
      </c>
      <c r="AU7" s="6">
        <f t="shared" si="6"/>
        <v>0</v>
      </c>
      <c r="AV7" s="4">
        <f t="shared" ref="AV7:AV42" si="17">SUM(AR7:AU7)</f>
        <v>131.0147484969134</v>
      </c>
      <c r="AX7" s="4">
        <f>((AV7+AW7)/((1+Sheet1!$M$15)^(Sheet1!A53/12)))</f>
        <v>128.51808587313738</v>
      </c>
    </row>
    <row r="8" spans="1:50" x14ac:dyDescent="0.2">
      <c r="A8">
        <v>4</v>
      </c>
      <c r="B8" s="1">
        <v>36678</v>
      </c>
      <c r="C8" s="4">
        <f>SUM(Sheet1!D54:W54)</f>
        <v>6984</v>
      </c>
      <c r="E8" s="4">
        <f t="shared" si="7"/>
        <v>0</v>
      </c>
      <c r="F8" s="4">
        <f>Sheet1!$M$17*Sheet2!C8</f>
        <v>0</v>
      </c>
      <c r="G8" s="4">
        <f>(Sheet1!$M$18/12)*(E8+F8)</f>
        <v>0</v>
      </c>
      <c r="H8" s="4">
        <v>0</v>
      </c>
      <c r="J8" s="4">
        <f t="shared" si="8"/>
        <v>0</v>
      </c>
      <c r="K8" s="4"/>
      <c r="L8" s="4">
        <f>+Sheet1!$G$8-Sheet2!R7</f>
        <v>224414.13516604394</v>
      </c>
      <c r="M8" s="4">
        <f t="shared" si="9"/>
        <v>70585.864833956075</v>
      </c>
      <c r="N8" s="4">
        <f>SUM(Sheet1!D54:W54)*Sheet1!$G$16</f>
        <v>6984</v>
      </c>
      <c r="O8" s="4">
        <f>((Sheet1!$G$13+Sheet1!$G$11/10000)/12)*(M8+N8)</f>
        <v>581.93559013974129</v>
      </c>
      <c r="P8" s="4">
        <v>0</v>
      </c>
      <c r="Q8" s="4"/>
      <c r="R8" s="4">
        <f t="shared" si="0"/>
        <v>78151.800424095811</v>
      </c>
      <c r="S8" s="4"/>
      <c r="U8" s="4">
        <f>L8*Sheet1!$G$10/10000/12</f>
        <v>151.94707068534225</v>
      </c>
      <c r="V8" s="4">
        <f t="shared" si="10"/>
        <v>0</v>
      </c>
      <c r="W8" s="4">
        <f t="shared" si="11"/>
        <v>0</v>
      </c>
      <c r="X8" s="4">
        <f t="shared" si="12"/>
        <v>0</v>
      </c>
      <c r="Y8" s="4">
        <f t="shared" si="13"/>
        <v>0</v>
      </c>
      <c r="Z8" s="4">
        <f t="shared" si="14"/>
        <v>151.94707068534225</v>
      </c>
      <c r="AB8" s="6">
        <f t="shared" si="1"/>
        <v>6984</v>
      </c>
      <c r="AC8" s="41">
        <f t="shared" si="15"/>
        <v>-6832.0529293146574</v>
      </c>
      <c r="AD8" s="41">
        <f>AC8/((1+Sheet1!$G$18/12)^(Sheet2!A8))</f>
        <v>-6608.9843761718821</v>
      </c>
      <c r="AE8" s="35"/>
      <c r="AF8" s="41">
        <f t="shared" si="2"/>
        <v>0</v>
      </c>
      <c r="AG8" s="35"/>
      <c r="AH8" s="35"/>
      <c r="AI8" s="35"/>
      <c r="AJ8" s="35"/>
      <c r="AM8" s="4">
        <f>+L8*Sheet1!$M$10/10000/12</f>
        <v>28.051766895755492</v>
      </c>
      <c r="AN8" s="4">
        <f t="shared" si="16"/>
        <v>0</v>
      </c>
      <c r="AO8" s="4"/>
      <c r="AP8" s="4">
        <f t="shared" si="3"/>
        <v>28.051766895755492</v>
      </c>
      <c r="AS8" s="6">
        <f t="shared" si="4"/>
        <v>123.89530378958676</v>
      </c>
      <c r="AT8" s="6">
        <f t="shared" si="5"/>
        <v>0</v>
      </c>
      <c r="AU8" s="6">
        <f t="shared" si="6"/>
        <v>0</v>
      </c>
      <c r="AV8" s="4">
        <f t="shared" si="17"/>
        <v>123.89530378958676</v>
      </c>
      <c r="AX8" s="4">
        <f>((AV8+AW8)/((1+Sheet1!$M$15)^(Sheet1!A54/12)))</f>
        <v>120.75735532067448</v>
      </c>
    </row>
    <row r="9" spans="1:50" x14ac:dyDescent="0.2">
      <c r="A9">
        <v>5</v>
      </c>
      <c r="B9" s="1">
        <v>36708</v>
      </c>
      <c r="C9" s="4">
        <f>SUM(Sheet1!D55:W55)</f>
        <v>3602</v>
      </c>
      <c r="E9" s="4">
        <f t="shared" si="7"/>
        <v>0</v>
      </c>
      <c r="F9" s="4">
        <f>Sheet1!$M$17*Sheet2!C9</f>
        <v>0</v>
      </c>
      <c r="G9" s="4">
        <f>(Sheet1!$M$18/12)*(E9+F9)</f>
        <v>0</v>
      </c>
      <c r="H9" s="4">
        <v>0</v>
      </c>
      <c r="J9" s="4">
        <f t="shared" si="8"/>
        <v>0</v>
      </c>
      <c r="K9" s="4"/>
      <c r="L9" s="4">
        <f>+Sheet1!$G$8-Sheet2!R8</f>
        <v>216848.19957590417</v>
      </c>
      <c r="M9" s="4">
        <f t="shared" si="9"/>
        <v>78151.800424095811</v>
      </c>
      <c r="N9" s="4">
        <f>SUM(Sheet1!D55:W55)*Sheet1!$G$16</f>
        <v>3602</v>
      </c>
      <c r="O9" s="4">
        <f>((Sheet1!$G$13+Sheet1!$G$11/10000)/12)*(M9+N9)</f>
        <v>613.32382359826875</v>
      </c>
      <c r="P9" s="4">
        <v>0</v>
      </c>
      <c r="Q9" s="4"/>
      <c r="R9" s="4">
        <f t="shared" si="0"/>
        <v>82367.124247694082</v>
      </c>
      <c r="S9" s="4"/>
      <c r="U9" s="4">
        <f>L9*Sheet1!$G$10/10000/12</f>
        <v>146.82430179618513</v>
      </c>
      <c r="V9" s="4">
        <f t="shared" si="10"/>
        <v>0</v>
      </c>
      <c r="W9" s="4">
        <f t="shared" si="11"/>
        <v>0</v>
      </c>
      <c r="X9" s="4">
        <f t="shared" si="12"/>
        <v>0</v>
      </c>
      <c r="Y9" s="4">
        <f t="shared" si="13"/>
        <v>0</v>
      </c>
      <c r="Z9" s="4">
        <f t="shared" si="14"/>
        <v>146.82430179618513</v>
      </c>
      <c r="AB9" s="6">
        <f t="shared" si="1"/>
        <v>3602</v>
      </c>
      <c r="AC9" s="41">
        <f t="shared" si="15"/>
        <v>-3455.175698203815</v>
      </c>
      <c r="AD9" s="41">
        <f>AC9/((1+Sheet1!$G$18/12)^(Sheet2!A9))</f>
        <v>-3314.7403512926435</v>
      </c>
      <c r="AE9" s="35"/>
      <c r="AF9" s="41">
        <f t="shared" si="2"/>
        <v>0</v>
      </c>
      <c r="AG9" s="35"/>
      <c r="AH9" s="35"/>
      <c r="AI9" s="35"/>
      <c r="AJ9" s="35"/>
      <c r="AM9" s="4">
        <f>+L9*Sheet1!$M$10/10000/12</f>
        <v>27.106024946988018</v>
      </c>
      <c r="AN9" s="4">
        <f t="shared" si="16"/>
        <v>0</v>
      </c>
      <c r="AO9" s="4"/>
      <c r="AP9" s="4">
        <f t="shared" si="3"/>
        <v>27.106024946988018</v>
      </c>
      <c r="AS9" s="6">
        <f t="shared" si="4"/>
        <v>119.71827684919711</v>
      </c>
      <c r="AT9" s="6">
        <f t="shared" si="5"/>
        <v>0</v>
      </c>
      <c r="AU9" s="6">
        <f t="shared" si="6"/>
        <v>0</v>
      </c>
      <c r="AV9" s="4">
        <f t="shared" si="17"/>
        <v>119.71827684919711</v>
      </c>
      <c r="AX9" s="4">
        <f>((AV9+AW9)/((1+Sheet1!$M$15)^(Sheet1!A55/12)))</f>
        <v>115.94015922304402</v>
      </c>
    </row>
    <row r="10" spans="1:50" x14ac:dyDescent="0.2">
      <c r="A10">
        <v>6</v>
      </c>
      <c r="B10" s="1">
        <v>36739</v>
      </c>
      <c r="C10" s="4">
        <f>SUM(Sheet1!D56:W56)</f>
        <v>11848</v>
      </c>
      <c r="E10" s="4">
        <f t="shared" si="7"/>
        <v>0</v>
      </c>
      <c r="F10" s="4">
        <f>Sheet1!$M$17*Sheet2!C10</f>
        <v>0</v>
      </c>
      <c r="G10" s="4">
        <f>(Sheet1!$M$18/12)*(E10+F10)</f>
        <v>0</v>
      </c>
      <c r="H10" s="4">
        <v>0</v>
      </c>
      <c r="J10" s="4">
        <f t="shared" si="8"/>
        <v>0</v>
      </c>
      <c r="K10" s="4"/>
      <c r="L10" s="4">
        <f>+Sheet1!$G$8-Sheet2!R9</f>
        <v>212632.8757523059</v>
      </c>
      <c r="M10" s="4">
        <f t="shared" si="9"/>
        <v>82367.124247694082</v>
      </c>
      <c r="N10" s="4">
        <f>SUM(Sheet1!D56:W56)*Sheet1!$G$16</f>
        <v>11848</v>
      </c>
      <c r="O10" s="4">
        <f>((Sheet1!$G$13+Sheet1!$G$11/10000)/12)*(M10+N10)</f>
        <v>706.80971336655489</v>
      </c>
      <c r="P10" s="4">
        <v>0</v>
      </c>
      <c r="Q10" s="4"/>
      <c r="R10" s="4">
        <f t="shared" si="0"/>
        <v>94921.93396106064</v>
      </c>
      <c r="S10" s="4"/>
      <c r="U10" s="4">
        <f>L10*Sheet1!$G$10/10000/12</f>
        <v>143.97017629062378</v>
      </c>
      <c r="V10" s="4">
        <f t="shared" si="10"/>
        <v>0</v>
      </c>
      <c r="W10" s="4">
        <f t="shared" si="11"/>
        <v>0</v>
      </c>
      <c r="X10" s="4">
        <f t="shared" si="12"/>
        <v>0</v>
      </c>
      <c r="Y10" s="4">
        <f t="shared" si="13"/>
        <v>0</v>
      </c>
      <c r="Z10" s="4">
        <f t="shared" si="14"/>
        <v>143.97017629062378</v>
      </c>
      <c r="AB10" s="6">
        <f t="shared" si="1"/>
        <v>11848</v>
      </c>
      <c r="AC10" s="41">
        <f t="shared" si="15"/>
        <v>-11704.029823709376</v>
      </c>
      <c r="AD10" s="41">
        <f>AC10/((1+Sheet1!$G$18/12)^(Sheet2!A10))</f>
        <v>-11135.524407165987</v>
      </c>
      <c r="AE10" s="35"/>
      <c r="AF10" s="41">
        <f t="shared" si="2"/>
        <v>0</v>
      </c>
      <c r="AG10" s="35"/>
      <c r="AH10" s="35"/>
      <c r="AI10" s="35"/>
      <c r="AJ10" s="35"/>
      <c r="AM10" s="4">
        <f>+L10*Sheet1!$M$10/10000/12</f>
        <v>26.579109469038233</v>
      </c>
      <c r="AN10" s="4">
        <f t="shared" si="16"/>
        <v>0</v>
      </c>
      <c r="AO10" s="4"/>
      <c r="AP10" s="4">
        <f t="shared" si="3"/>
        <v>26.579109469038233</v>
      </c>
      <c r="AS10" s="6">
        <f t="shared" si="4"/>
        <v>117.39106682158555</v>
      </c>
      <c r="AT10" s="6">
        <f t="shared" si="5"/>
        <v>0</v>
      </c>
      <c r="AU10" s="6">
        <f t="shared" si="6"/>
        <v>0</v>
      </c>
      <c r="AV10" s="4">
        <f t="shared" si="17"/>
        <v>117.39106682158555</v>
      </c>
      <c r="AX10" s="4">
        <f>((AV10+AW10)/((1+Sheet1!$M$15)^(Sheet1!A56/12)))</f>
        <v>112.95960671649959</v>
      </c>
    </row>
    <row r="11" spans="1:50" x14ac:dyDescent="0.2">
      <c r="A11">
        <v>7</v>
      </c>
      <c r="B11" s="1">
        <v>36770</v>
      </c>
      <c r="C11" s="4">
        <f>SUM(Sheet1!D57:W57)</f>
        <v>17572</v>
      </c>
      <c r="E11" s="4">
        <f t="shared" si="7"/>
        <v>0</v>
      </c>
      <c r="F11" s="4">
        <f>Sheet1!$M$17*Sheet2!C11</f>
        <v>0</v>
      </c>
      <c r="G11" s="4">
        <f>(Sheet1!$M$18/12)*(E11+F11)</f>
        <v>0</v>
      </c>
      <c r="H11" s="4">
        <v>0</v>
      </c>
      <c r="J11" s="4">
        <f t="shared" si="8"/>
        <v>0</v>
      </c>
      <c r="K11" s="4"/>
      <c r="L11" s="4">
        <f>+Sheet1!$G$8-Sheet2!R10</f>
        <v>200078.06603893935</v>
      </c>
      <c r="M11" s="4">
        <f t="shared" si="9"/>
        <v>94921.93396106064</v>
      </c>
      <c r="N11" s="4">
        <f>SUM(Sheet1!D57:W57)*Sheet1!$G$16</f>
        <v>17572</v>
      </c>
      <c r="O11" s="4">
        <f>((Sheet1!$G$13+Sheet1!$G$11/10000)/12)*(M11+N11)</f>
        <v>843.93886707037359</v>
      </c>
      <c r="P11" s="4">
        <v>0</v>
      </c>
      <c r="Q11" s="4"/>
      <c r="R11" s="4">
        <f t="shared" si="0"/>
        <v>113337.87282813102</v>
      </c>
      <c r="S11" s="4"/>
      <c r="U11" s="4">
        <f>L11*Sheet1!$G$10/10000/12</f>
        <v>135.46952388053185</v>
      </c>
      <c r="V11" s="4">
        <f t="shared" si="10"/>
        <v>0</v>
      </c>
      <c r="W11" s="4">
        <f t="shared" si="11"/>
        <v>0</v>
      </c>
      <c r="X11" s="4">
        <f t="shared" si="12"/>
        <v>0</v>
      </c>
      <c r="Y11" s="4">
        <f t="shared" si="13"/>
        <v>0</v>
      </c>
      <c r="Z11" s="4">
        <f t="shared" si="14"/>
        <v>135.46952388053185</v>
      </c>
      <c r="AB11" s="6">
        <f t="shared" si="1"/>
        <v>17572</v>
      </c>
      <c r="AC11" s="41">
        <f t="shared" si="15"/>
        <v>-17436.530476119467</v>
      </c>
      <c r="AD11" s="41">
        <f>AC11/((1+Sheet1!$G$18/12)^(Sheet2!A11))</f>
        <v>-16452.473627470583</v>
      </c>
      <c r="AE11" s="35"/>
      <c r="AF11" s="41">
        <f t="shared" si="2"/>
        <v>0</v>
      </c>
      <c r="AG11" s="35"/>
      <c r="AH11" s="35"/>
      <c r="AI11" s="35"/>
      <c r="AJ11" s="35"/>
      <c r="AM11" s="4">
        <f>+L11*Sheet1!$M$10/10000/12</f>
        <v>25.009758254867421</v>
      </c>
      <c r="AN11" s="4">
        <f t="shared" si="16"/>
        <v>0</v>
      </c>
      <c r="AO11" s="4"/>
      <c r="AP11" s="4">
        <f t="shared" si="3"/>
        <v>25.009758254867421</v>
      </c>
      <c r="AS11" s="6">
        <f t="shared" si="4"/>
        <v>110.45976562566443</v>
      </c>
      <c r="AT11" s="6">
        <f t="shared" si="5"/>
        <v>0</v>
      </c>
      <c r="AU11" s="6">
        <f t="shared" si="6"/>
        <v>0</v>
      </c>
      <c r="AV11" s="4">
        <f t="shared" si="17"/>
        <v>110.45976562566443</v>
      </c>
      <c r="AX11" s="4">
        <f>((AV11+AW11)/((1+Sheet1!$M$15)^(Sheet1!A57/12)))</f>
        <v>105.61045816324696</v>
      </c>
    </row>
    <row r="12" spans="1:50" x14ac:dyDescent="0.2">
      <c r="A12">
        <v>8</v>
      </c>
      <c r="B12" s="1">
        <v>36800</v>
      </c>
      <c r="C12" s="4">
        <f>SUM(Sheet1!D58:W58)</f>
        <v>17984</v>
      </c>
      <c r="E12" s="4">
        <f t="shared" si="7"/>
        <v>0</v>
      </c>
      <c r="F12" s="4">
        <f>Sheet1!$M$17*Sheet2!C12</f>
        <v>0</v>
      </c>
      <c r="G12" s="4">
        <f>(Sheet1!$M$18/12)*(E12+F12)</f>
        <v>0</v>
      </c>
      <c r="H12" s="4">
        <v>0</v>
      </c>
      <c r="J12" s="4">
        <f t="shared" si="8"/>
        <v>0</v>
      </c>
      <c r="K12" s="4"/>
      <c r="L12" s="4">
        <f>+Sheet1!$G$8-Sheet2!R11</f>
        <v>181662.12717186898</v>
      </c>
      <c r="M12" s="4">
        <f t="shared" si="9"/>
        <v>113337.87282813102</v>
      </c>
      <c r="N12" s="4">
        <f>SUM(Sheet1!D58:W58)*Sheet1!$G$16</f>
        <v>17984</v>
      </c>
      <c r="O12" s="4">
        <f>((Sheet1!$G$13+Sheet1!$G$11/10000)/12)*(M12+N12)</f>
        <v>985.18763344604122</v>
      </c>
      <c r="P12" s="4">
        <v>0</v>
      </c>
      <c r="Q12" s="4"/>
      <c r="R12" s="4">
        <f t="shared" si="0"/>
        <v>132307.06046157706</v>
      </c>
      <c r="S12" s="4"/>
      <c r="U12" s="4">
        <f>L12*Sheet1!$G$10/10000/12</f>
        <v>123.00039860595295</v>
      </c>
      <c r="V12" s="4">
        <f t="shared" si="10"/>
        <v>0</v>
      </c>
      <c r="W12" s="4">
        <f t="shared" si="11"/>
        <v>0</v>
      </c>
      <c r="X12" s="4">
        <f t="shared" si="12"/>
        <v>0</v>
      </c>
      <c r="Y12" s="4">
        <f t="shared" si="13"/>
        <v>0</v>
      </c>
      <c r="Z12" s="4">
        <f t="shared" si="14"/>
        <v>123.00039860595295</v>
      </c>
      <c r="AB12" s="6">
        <f t="shared" si="1"/>
        <v>17984</v>
      </c>
      <c r="AC12" s="41">
        <f t="shared" si="15"/>
        <v>-17860.999601394047</v>
      </c>
      <c r="AD12" s="41">
        <f>AC12/((1+Sheet1!$G$18/12)^(Sheet2!A12))</f>
        <v>-16713.706312670143</v>
      </c>
      <c r="AE12" s="35"/>
      <c r="AF12" s="41">
        <f t="shared" si="2"/>
        <v>0</v>
      </c>
      <c r="AG12" s="35"/>
      <c r="AH12" s="35"/>
      <c r="AI12" s="35"/>
      <c r="AJ12" s="35"/>
      <c r="AM12" s="4">
        <f>+L12*Sheet1!$M$10/10000/12</f>
        <v>22.707765896483622</v>
      </c>
      <c r="AN12" s="4">
        <f t="shared" si="16"/>
        <v>0</v>
      </c>
      <c r="AO12" s="4"/>
      <c r="AP12" s="4">
        <f t="shared" si="3"/>
        <v>22.707765896483622</v>
      </c>
      <c r="AS12" s="6">
        <f t="shared" si="4"/>
        <v>100.29263270946933</v>
      </c>
      <c r="AT12" s="6">
        <f t="shared" si="5"/>
        <v>0</v>
      </c>
      <c r="AU12" s="6">
        <f t="shared" si="6"/>
        <v>0</v>
      </c>
      <c r="AV12" s="4">
        <f t="shared" si="17"/>
        <v>100.29263270946933</v>
      </c>
      <c r="AX12" s="4">
        <f>((AV12+AW12)/((1+Sheet1!$M$15)^(Sheet1!A58/12)))</f>
        <v>95.276660867818364</v>
      </c>
    </row>
    <row r="13" spans="1:50" x14ac:dyDescent="0.2">
      <c r="A13">
        <v>9</v>
      </c>
      <c r="B13" s="1">
        <v>36831</v>
      </c>
      <c r="C13" s="4">
        <f>SUM(Sheet1!D59:W59)</f>
        <v>18322</v>
      </c>
      <c r="E13" s="4">
        <f t="shared" si="7"/>
        <v>0</v>
      </c>
      <c r="F13" s="4">
        <f>Sheet1!$M$17*Sheet2!C13</f>
        <v>0</v>
      </c>
      <c r="G13" s="4">
        <f>(Sheet1!$M$18/12)*(E13+F13)</f>
        <v>0</v>
      </c>
      <c r="H13" s="4">
        <v>0</v>
      </c>
      <c r="J13" s="4">
        <f t="shared" si="8"/>
        <v>0</v>
      </c>
      <c r="K13" s="4"/>
      <c r="L13" s="4">
        <f>+Sheet1!$G$8-Sheet2!R12</f>
        <v>162692.93953842294</v>
      </c>
      <c r="M13" s="4">
        <f t="shared" si="9"/>
        <v>132307.06046157706</v>
      </c>
      <c r="N13" s="4">
        <f>SUM(Sheet1!D59:W59)*Sheet1!$G$16</f>
        <v>18322</v>
      </c>
      <c r="O13" s="4">
        <f>((Sheet1!$G$13+Sheet1!$G$11/10000)/12)*(M13+N13)</f>
        <v>1130.0317640044561</v>
      </c>
      <c r="P13" s="4">
        <v>0</v>
      </c>
      <c r="Q13" s="4"/>
      <c r="R13" s="4">
        <f t="shared" si="0"/>
        <v>151759.09222558152</v>
      </c>
      <c r="S13" s="4"/>
      <c r="U13" s="4">
        <f>L13*Sheet1!$G$10/10000/12</f>
        <v>110.15667781247386</v>
      </c>
      <c r="V13" s="4">
        <f t="shared" si="10"/>
        <v>0</v>
      </c>
      <c r="W13" s="4">
        <f t="shared" si="11"/>
        <v>0</v>
      </c>
      <c r="X13" s="4">
        <f t="shared" si="12"/>
        <v>0</v>
      </c>
      <c r="Y13" s="4">
        <f t="shared" si="13"/>
        <v>0</v>
      </c>
      <c r="Z13" s="4">
        <f t="shared" si="14"/>
        <v>110.15667781247386</v>
      </c>
      <c r="AB13" s="6">
        <f t="shared" si="1"/>
        <v>18322</v>
      </c>
      <c r="AC13" s="41">
        <f t="shared" si="15"/>
        <v>-18211.843322187528</v>
      </c>
      <c r="AD13" s="41">
        <f>AC13/((1+Sheet1!$G$18/12)^(Sheet2!A13))</f>
        <v>-16901.17065581014</v>
      </c>
      <c r="AE13" s="35"/>
      <c r="AF13" s="41">
        <f t="shared" si="2"/>
        <v>0</v>
      </c>
      <c r="AG13" s="35"/>
      <c r="AH13" s="35"/>
      <c r="AI13" s="35"/>
      <c r="AJ13" s="35"/>
      <c r="AM13" s="4">
        <f>+L13*Sheet1!$M$10/10000/12</f>
        <v>20.336617442302867</v>
      </c>
      <c r="AN13" s="4">
        <f t="shared" si="16"/>
        <v>0</v>
      </c>
      <c r="AO13" s="4"/>
      <c r="AP13" s="4">
        <f t="shared" si="3"/>
        <v>20.336617442302867</v>
      </c>
      <c r="AS13" s="6">
        <f t="shared" si="4"/>
        <v>89.820060370170992</v>
      </c>
      <c r="AT13" s="6">
        <f t="shared" si="5"/>
        <v>0</v>
      </c>
      <c r="AU13" s="6">
        <f t="shared" si="6"/>
        <v>0</v>
      </c>
      <c r="AV13" s="4">
        <f t="shared" si="17"/>
        <v>89.820060370170992</v>
      </c>
      <c r="AX13" s="4">
        <f>((AV13+AW13)/((1+Sheet1!$M$15)^(Sheet1!A59/12)))</f>
        <v>84.782364802088964</v>
      </c>
    </row>
    <row r="14" spans="1:50" x14ac:dyDescent="0.2">
      <c r="A14">
        <v>10</v>
      </c>
      <c r="B14" s="1">
        <v>36861</v>
      </c>
      <c r="C14" s="4">
        <f>SUM(Sheet1!D60:W60)</f>
        <v>18322</v>
      </c>
      <c r="E14" s="4">
        <f t="shared" si="7"/>
        <v>0</v>
      </c>
      <c r="F14" s="4">
        <f>Sheet1!$M$17*Sheet2!C14</f>
        <v>0</v>
      </c>
      <c r="G14" s="4">
        <f>(Sheet1!$M$18/12)*(E14+F14)</f>
        <v>0</v>
      </c>
      <c r="H14" s="4">
        <v>0</v>
      </c>
      <c r="J14" s="4">
        <f t="shared" si="8"/>
        <v>0</v>
      </c>
      <c r="K14" s="4"/>
      <c r="L14" s="4">
        <f>+Sheet1!$G$8-Sheet2!R13</f>
        <v>143240.90777441848</v>
      </c>
      <c r="M14" s="4">
        <f t="shared" si="9"/>
        <v>151759.09222558152</v>
      </c>
      <c r="N14" s="4">
        <f>SUM(Sheet1!D60:W60)*Sheet1!$G$16</f>
        <v>18322</v>
      </c>
      <c r="O14" s="4">
        <f>((Sheet1!$G$13+Sheet1!$G$11/10000)/12)*(M14+N14)</f>
        <v>1275.9625273006645</v>
      </c>
      <c r="P14" s="4">
        <v>0</v>
      </c>
      <c r="Q14" s="4"/>
      <c r="R14" s="4">
        <f t="shared" si="0"/>
        <v>171357.05475288219</v>
      </c>
      <c r="S14" s="4"/>
      <c r="U14" s="4">
        <f>L14*Sheet1!$G$10/10000/12</f>
        <v>96.986031305595858</v>
      </c>
      <c r="V14" s="4">
        <f t="shared" si="10"/>
        <v>0</v>
      </c>
      <c r="W14" s="4">
        <f t="shared" si="11"/>
        <v>0</v>
      </c>
      <c r="X14" s="4">
        <f t="shared" si="12"/>
        <v>0</v>
      </c>
      <c r="Y14" s="4">
        <f t="shared" si="13"/>
        <v>0</v>
      </c>
      <c r="Z14" s="4">
        <f t="shared" si="14"/>
        <v>96.986031305595858</v>
      </c>
      <c r="AB14" s="6">
        <f t="shared" si="1"/>
        <v>18322</v>
      </c>
      <c r="AC14" s="41">
        <f t="shared" si="15"/>
        <v>-18225.013968694406</v>
      </c>
      <c r="AD14" s="41">
        <f>AC14/((1+Sheet1!$G$18/12)^(Sheet2!A14))</f>
        <v>-16773.613324222482</v>
      </c>
      <c r="AE14" s="35"/>
      <c r="AF14" s="41">
        <f t="shared" si="2"/>
        <v>0</v>
      </c>
      <c r="AG14" s="35"/>
      <c r="AH14" s="35"/>
      <c r="AI14" s="35"/>
      <c r="AJ14" s="35"/>
      <c r="AM14" s="4">
        <f>+L14*Sheet1!$M$10/10000/12</f>
        <v>17.905113471802309</v>
      </c>
      <c r="AN14" s="4">
        <f t="shared" si="16"/>
        <v>0</v>
      </c>
      <c r="AO14" s="4"/>
      <c r="AP14" s="4">
        <f t="shared" si="3"/>
        <v>17.905113471802309</v>
      </c>
      <c r="AS14" s="6">
        <f t="shared" si="4"/>
        <v>79.080917833793549</v>
      </c>
      <c r="AT14" s="6">
        <f t="shared" si="5"/>
        <v>0</v>
      </c>
      <c r="AU14" s="6">
        <f t="shared" si="6"/>
        <v>0</v>
      </c>
      <c r="AV14" s="4">
        <f t="shared" si="17"/>
        <v>79.080917833793549</v>
      </c>
      <c r="AX14" s="4">
        <f>((AV14+AW14)/((1+Sheet1!$M$15)^(Sheet1!A60/12)))</f>
        <v>74.168342165926006</v>
      </c>
    </row>
    <row r="15" spans="1:50" x14ac:dyDescent="0.2">
      <c r="A15">
        <v>11</v>
      </c>
      <c r="B15" s="1">
        <v>36892</v>
      </c>
      <c r="C15" s="4">
        <f>SUM(Sheet1!D61:W61)</f>
        <v>18322</v>
      </c>
      <c r="E15" s="4">
        <f t="shared" si="7"/>
        <v>0</v>
      </c>
      <c r="F15" s="4">
        <f>Sheet1!$M$17*Sheet2!C15</f>
        <v>0</v>
      </c>
      <c r="G15" s="4">
        <f>(Sheet1!$M$18/12)*(E15+F15)</f>
        <v>0</v>
      </c>
      <c r="H15" s="4">
        <v>0</v>
      </c>
      <c r="J15" s="4">
        <f t="shared" si="8"/>
        <v>0</v>
      </c>
      <c r="K15" s="4"/>
      <c r="L15" s="4">
        <f>+Sheet1!$G$8-Sheet2!R14</f>
        <v>123642.94524711781</v>
      </c>
      <c r="M15" s="4">
        <f t="shared" si="9"/>
        <v>171357.05475288219</v>
      </c>
      <c r="N15" s="4">
        <f>SUM(Sheet1!D61:W61)*Sheet1!$G$16</f>
        <v>18322</v>
      </c>
      <c r="O15" s="4">
        <f>((Sheet1!$G$13+Sheet1!$G$11/10000)/12)*(M15+N15)</f>
        <v>1422.9880753440182</v>
      </c>
      <c r="P15" s="4">
        <v>0</v>
      </c>
      <c r="Q15" s="4"/>
      <c r="R15" s="4">
        <f t="shared" si="0"/>
        <v>191102.0428282262</v>
      </c>
      <c r="S15" s="4"/>
      <c r="U15" s="4">
        <f>L15*Sheet1!$G$10/10000/12</f>
        <v>83.716577511069346</v>
      </c>
      <c r="V15" s="4">
        <f t="shared" si="10"/>
        <v>0</v>
      </c>
      <c r="W15" s="4">
        <f t="shared" si="11"/>
        <v>0</v>
      </c>
      <c r="X15" s="4">
        <f t="shared" si="12"/>
        <v>0</v>
      </c>
      <c r="Y15" s="4">
        <f t="shared" si="13"/>
        <v>0</v>
      </c>
      <c r="Z15" s="4">
        <f t="shared" si="14"/>
        <v>83.716577511069346</v>
      </c>
      <c r="AB15" s="6">
        <f t="shared" si="1"/>
        <v>18322</v>
      </c>
      <c r="AC15" s="41">
        <f t="shared" si="15"/>
        <v>-18238.28342248893</v>
      </c>
      <c r="AD15" s="41">
        <f>AC15/((1+Sheet1!$G$18/12)^(Sheet2!A15))</f>
        <v>-16647.100192515445</v>
      </c>
      <c r="AE15" s="35"/>
      <c r="AF15" s="41">
        <f t="shared" si="2"/>
        <v>0</v>
      </c>
      <c r="AG15" s="35"/>
      <c r="AH15" s="35"/>
      <c r="AI15" s="35"/>
      <c r="AJ15" s="35"/>
      <c r="AM15" s="4">
        <f>+L15*Sheet1!$M$10/10000/12</f>
        <v>15.455368155889724</v>
      </c>
      <c r="AN15" s="4">
        <f t="shared" si="16"/>
        <v>0</v>
      </c>
      <c r="AO15" s="4"/>
      <c r="AP15" s="4">
        <f t="shared" si="3"/>
        <v>15.455368155889724</v>
      </c>
      <c r="AS15" s="6">
        <f t="shared" si="4"/>
        <v>68.261209355179616</v>
      </c>
      <c r="AT15" s="6">
        <f t="shared" si="5"/>
        <v>0</v>
      </c>
      <c r="AU15" s="6">
        <f t="shared" si="6"/>
        <v>0</v>
      </c>
      <c r="AV15" s="4">
        <f t="shared" si="17"/>
        <v>68.261209355179616</v>
      </c>
      <c r="AX15" s="4">
        <f>((AV15+AW15)/((1+Sheet1!$M$15)^(Sheet1!A61/12)))</f>
        <v>63.611485214366738</v>
      </c>
    </row>
    <row r="16" spans="1:50" x14ac:dyDescent="0.2">
      <c r="A16">
        <v>12</v>
      </c>
      <c r="B16" s="1">
        <v>36923</v>
      </c>
      <c r="C16" s="4">
        <f>SUM(Sheet1!D62:W62)</f>
        <v>18322</v>
      </c>
      <c r="E16" s="4">
        <f t="shared" si="7"/>
        <v>0</v>
      </c>
      <c r="F16" s="4">
        <f>Sheet1!$M$17*Sheet2!C16</f>
        <v>0</v>
      </c>
      <c r="G16" s="4">
        <f>(Sheet1!$M$18/12)*(E16+F16)</f>
        <v>0</v>
      </c>
      <c r="H16" s="4">
        <v>0</v>
      </c>
      <c r="J16" s="4">
        <f t="shared" si="8"/>
        <v>0</v>
      </c>
      <c r="K16" s="4"/>
      <c r="L16" s="4">
        <f>+Sheet1!$G$8-Sheet2!R15</f>
        <v>103897.9571717738</v>
      </c>
      <c r="M16" s="4">
        <f t="shared" si="9"/>
        <v>191102.0428282262</v>
      </c>
      <c r="N16" s="4">
        <f>SUM(Sheet1!D62:W62)*Sheet1!$G$16</f>
        <v>18322</v>
      </c>
      <c r="O16" s="4">
        <f>((Sheet1!$G$13+Sheet1!$G$11/10000)/12)*(M16+N16)</f>
        <v>1571.1166213009219</v>
      </c>
      <c r="P16" s="4">
        <v>0</v>
      </c>
      <c r="Q16" s="4"/>
      <c r="R16" s="4">
        <f t="shared" si="0"/>
        <v>210995.15944952713</v>
      </c>
      <c r="S16" s="4"/>
      <c r="U16" s="4">
        <f>L16*Sheet1!$G$10/10000/12</f>
        <v>70.347575168388502</v>
      </c>
      <c r="V16" s="4">
        <f t="shared" si="10"/>
        <v>0</v>
      </c>
      <c r="W16" s="4">
        <f t="shared" si="11"/>
        <v>0</v>
      </c>
      <c r="X16" s="4">
        <f t="shared" si="12"/>
        <v>0</v>
      </c>
      <c r="Y16" s="4">
        <f t="shared" si="13"/>
        <v>0</v>
      </c>
      <c r="Z16" s="4">
        <f t="shared" si="14"/>
        <v>70.347575168388502</v>
      </c>
      <c r="AB16" s="6">
        <f t="shared" si="1"/>
        <v>18322</v>
      </c>
      <c r="AC16" s="41">
        <f t="shared" si="15"/>
        <v>-18251.652424831613</v>
      </c>
      <c r="AD16" s="41">
        <f>AC16/((1+Sheet1!$G$18/12)^(Sheet2!A16))</f>
        <v>-16521.622639175926</v>
      </c>
      <c r="AE16" s="35"/>
      <c r="AF16" s="41">
        <f t="shared" si="2"/>
        <v>0</v>
      </c>
      <c r="AG16" s="35"/>
      <c r="AH16" s="35"/>
      <c r="AI16" s="35"/>
      <c r="AJ16" s="35"/>
      <c r="AM16" s="4">
        <f>+L16*Sheet1!$M$10/10000/12</f>
        <v>12.987244646471725</v>
      </c>
      <c r="AN16" s="4">
        <f t="shared" si="16"/>
        <v>0</v>
      </c>
      <c r="AO16" s="4"/>
      <c r="AP16" s="4">
        <f t="shared" si="3"/>
        <v>12.987244646471725</v>
      </c>
      <c r="AS16" s="6">
        <f t="shared" si="4"/>
        <v>57.360330521916779</v>
      </c>
      <c r="AT16" s="6">
        <f t="shared" si="5"/>
        <v>0</v>
      </c>
      <c r="AU16" s="6">
        <f t="shared" si="6"/>
        <v>0</v>
      </c>
      <c r="AV16" s="4">
        <f t="shared" si="17"/>
        <v>57.360330521916779</v>
      </c>
      <c r="AW16">
        <f>Sheet1!D158</f>
        <v>0</v>
      </c>
      <c r="AX16" s="4">
        <f>((AV16+AW16)/((1+Sheet1!$M$15)^(Sheet1!A62/12)))</f>
        <v>53.111417149922943</v>
      </c>
    </row>
    <row r="17" spans="1:50" x14ac:dyDescent="0.2">
      <c r="A17">
        <v>13</v>
      </c>
      <c r="B17" s="1">
        <v>36951</v>
      </c>
      <c r="C17" s="4">
        <f>SUM(Sheet1!D63:W63)</f>
        <v>31092</v>
      </c>
      <c r="E17" s="4">
        <f t="shared" si="7"/>
        <v>0</v>
      </c>
      <c r="F17" s="4">
        <f>Sheet1!$M$17*Sheet2!C17</f>
        <v>0</v>
      </c>
      <c r="G17" s="4">
        <f>(Sheet1!$M$18/12)*(E17+F17)</f>
        <v>0</v>
      </c>
      <c r="H17" s="4">
        <v>0</v>
      </c>
      <c r="J17" s="4">
        <f t="shared" si="8"/>
        <v>0</v>
      </c>
      <c r="K17" s="4"/>
      <c r="L17" s="4">
        <f>+Sheet1!$G$8-Sheet2!R16</f>
        <v>84004.840550472873</v>
      </c>
      <c r="M17" s="4">
        <f t="shared" si="9"/>
        <v>210995.15944952713</v>
      </c>
      <c r="N17" s="4">
        <f>SUM(Sheet1!D63:W63)*Sheet1!$G$16</f>
        <v>31092</v>
      </c>
      <c r="O17" s="4">
        <f>((Sheet1!$G$13+Sheet1!$G$11/10000)/12)*(M17+N17)</f>
        <v>1816.1580441203066</v>
      </c>
      <c r="P17" s="4">
        <v>0</v>
      </c>
      <c r="Q17" s="4"/>
      <c r="R17" s="4">
        <f t="shared" si="0"/>
        <v>243903.31749364742</v>
      </c>
      <c r="S17" s="4"/>
      <c r="U17" s="4">
        <f>L17*Sheet1!$G$10/10000/12</f>
        <v>56.878277456049339</v>
      </c>
      <c r="V17" s="4">
        <f t="shared" si="10"/>
        <v>0</v>
      </c>
      <c r="W17" s="4">
        <f t="shared" si="11"/>
        <v>0</v>
      </c>
      <c r="X17" s="4">
        <f t="shared" si="12"/>
        <v>0</v>
      </c>
      <c r="Y17" s="4">
        <f t="shared" si="13"/>
        <v>0</v>
      </c>
      <c r="Z17" s="4">
        <f t="shared" si="14"/>
        <v>56.878277456049339</v>
      </c>
      <c r="AB17" s="6">
        <f t="shared" si="1"/>
        <v>31092</v>
      </c>
      <c r="AC17" s="41">
        <f t="shared" si="15"/>
        <v>-31035.12172254395</v>
      </c>
      <c r="AD17" s="41">
        <f>AC17/((1+Sheet1!$G$18/12)^(Sheet2!A17))</f>
        <v>-27861.201266094624</v>
      </c>
      <c r="AE17" s="35"/>
      <c r="AF17" s="41">
        <f t="shared" si="2"/>
        <v>0</v>
      </c>
      <c r="AG17" s="35"/>
      <c r="AH17" s="35"/>
      <c r="AI17" s="35"/>
      <c r="AJ17" s="35"/>
      <c r="AM17" s="4">
        <f>+L17*Sheet1!$M$10/10000/12</f>
        <v>10.500605068809108</v>
      </c>
      <c r="AN17" s="4">
        <f t="shared" si="16"/>
        <v>0</v>
      </c>
      <c r="AO17" s="4"/>
      <c r="AP17" s="4">
        <f t="shared" si="3"/>
        <v>10.500605068809108</v>
      </c>
      <c r="AS17" s="6">
        <f t="shared" si="4"/>
        <v>46.377672387240231</v>
      </c>
      <c r="AT17" s="6">
        <f t="shared" si="5"/>
        <v>0</v>
      </c>
      <c r="AU17" s="6">
        <f t="shared" si="6"/>
        <v>0</v>
      </c>
      <c r="AV17" s="4">
        <f t="shared" si="17"/>
        <v>46.377672387240231</v>
      </c>
      <c r="AW17">
        <f>Sheet1!E158</f>
        <v>0</v>
      </c>
      <c r="AX17" s="4">
        <f>((AV17+AW17)/((1+Sheet1!$M$15)^(Sheet1!A63/12)))</f>
        <v>42.667763571896565</v>
      </c>
    </row>
    <row r="18" spans="1:50" x14ac:dyDescent="0.2">
      <c r="A18">
        <v>14</v>
      </c>
      <c r="B18" s="1">
        <v>36982</v>
      </c>
      <c r="C18" s="4">
        <f>SUM(Sheet1!D64:W64)-SUM(Sheet1!D64:E64)</f>
        <v>14720</v>
      </c>
      <c r="E18" s="4">
        <f t="shared" si="7"/>
        <v>0</v>
      </c>
      <c r="F18" s="4">
        <f>Sheet1!$M$17*Sheet2!C18</f>
        <v>0</v>
      </c>
      <c r="G18" s="4">
        <f>(Sheet1!$M$18/12)*(E18+F18)</f>
        <v>0</v>
      </c>
      <c r="H18" s="4">
        <f>Sheet1!D371+Sheet1!E371</f>
        <v>0</v>
      </c>
      <c r="I18" s="4">
        <f>Sheet1!D422+Sheet1!E422</f>
        <v>0</v>
      </c>
      <c r="J18" s="4">
        <f t="shared" si="8"/>
        <v>0</v>
      </c>
      <c r="K18" s="4"/>
      <c r="L18" s="4">
        <f>+Sheet1!$G$8-Sheet2!R17</f>
        <v>51096.682506352576</v>
      </c>
      <c r="M18" s="4">
        <f t="shared" si="9"/>
        <v>243903.31749364742</v>
      </c>
      <c r="N18" s="4">
        <f>(SUM(Sheet1!D64:W64)-SUM(Sheet1!D64:E64))*Sheet1!$G$16</f>
        <v>14720</v>
      </c>
      <c r="O18" s="4">
        <f>((Sheet1!$G$13+Sheet1!$G$11/10000)/12)*(M18+N18)</f>
        <v>1940.2136797804674</v>
      </c>
      <c r="P18" s="4">
        <f>(SUM(Sheet1!D51:D63)+SUM(Sheet1!E51:E63)+Sheet1!D46+Sheet1!E46)-H18</f>
        <v>64072</v>
      </c>
      <c r="Q18" s="4">
        <f>Sheet1!D268+Sheet1!E268</f>
        <v>3593.7429356236826</v>
      </c>
      <c r="R18" s="4">
        <f t="shared" si="0"/>
        <v>192897.7882378042</v>
      </c>
      <c r="S18" s="4"/>
      <c r="U18" s="4">
        <f>L18*Sheet1!$G$10/10000/12</f>
        <v>34.596712113676226</v>
      </c>
      <c r="V18" s="4">
        <f t="shared" si="10"/>
        <v>64072</v>
      </c>
      <c r="W18" s="4">
        <f t="shared" si="11"/>
        <v>3593.7429356236826</v>
      </c>
      <c r="X18" s="4">
        <f t="shared" si="12"/>
        <v>0</v>
      </c>
      <c r="Y18" s="4">
        <f t="shared" si="13"/>
        <v>0</v>
      </c>
      <c r="Z18" s="4">
        <f t="shared" si="14"/>
        <v>67700.339647737361</v>
      </c>
      <c r="AA18" s="4">
        <f>Sheet1!D158+Sheet1!E158</f>
        <v>0</v>
      </c>
      <c r="AB18" s="6">
        <f t="shared" si="1"/>
        <v>14720</v>
      </c>
      <c r="AC18" s="41">
        <f t="shared" si="15"/>
        <v>52980.339647737361</v>
      </c>
      <c r="AD18" s="41">
        <f>AC18/((1+Sheet1!$G$18/12)^(Sheet2!A18))</f>
        <v>47169.035760175102</v>
      </c>
      <c r="AE18" s="35"/>
      <c r="AF18" s="41">
        <f t="shared" si="2"/>
        <v>0</v>
      </c>
      <c r="AG18" s="35"/>
      <c r="AH18" s="35"/>
      <c r="AI18" s="35"/>
      <c r="AJ18" s="35"/>
      <c r="AM18" s="4">
        <f>+L18*Sheet1!$M$10/10000/12</f>
        <v>6.3870853132940724</v>
      </c>
      <c r="AN18" s="4">
        <f t="shared" si="16"/>
        <v>64072</v>
      </c>
      <c r="AO18" s="4">
        <f>Sheet1!D320+Sheet1!E320</f>
        <v>2249.6540437683943</v>
      </c>
      <c r="AP18" s="4">
        <f t="shared" si="3"/>
        <v>66328.041129081685</v>
      </c>
      <c r="AS18" s="6">
        <f t="shared" si="4"/>
        <v>28.209626800382154</v>
      </c>
      <c r="AT18" s="6">
        <f t="shared" si="5"/>
        <v>1344.0888918552882</v>
      </c>
      <c r="AU18" s="6">
        <f t="shared" si="6"/>
        <v>0</v>
      </c>
      <c r="AV18" s="4">
        <f t="shared" si="17"/>
        <v>1372.2985186556705</v>
      </c>
      <c r="AX18" s="4">
        <f>((AV18+AW18)/((1+Sheet1!$M$15)^(Sheet1!A64/12)))</f>
        <v>1254.4524762778096</v>
      </c>
    </row>
    <row r="19" spans="1:50" x14ac:dyDescent="0.2">
      <c r="A19">
        <v>15</v>
      </c>
      <c r="B19" s="1">
        <v>37012</v>
      </c>
      <c r="C19" s="4">
        <f>SUM(Sheet1!D65:W65)</f>
        <v>17136</v>
      </c>
      <c r="E19" s="4">
        <f t="shared" si="7"/>
        <v>0</v>
      </c>
      <c r="F19" s="4">
        <f>Sheet1!$M$17*Sheet2!C19</f>
        <v>0</v>
      </c>
      <c r="G19" s="4">
        <f>(Sheet1!$M$18/12)*(E19+F19)</f>
        <v>0</v>
      </c>
      <c r="H19" s="4">
        <v>0</v>
      </c>
      <c r="I19" s="4"/>
      <c r="J19" s="4">
        <f t="shared" si="8"/>
        <v>0</v>
      </c>
      <c r="K19" s="4"/>
      <c r="L19" s="4">
        <f>+Sheet1!$G$8-Sheet2!R18</f>
        <v>102102.2117621958</v>
      </c>
      <c r="M19" s="4">
        <f t="shared" si="9"/>
        <v>192897.7882378042</v>
      </c>
      <c r="N19" s="4">
        <f>SUM(Sheet1!D65:W65)*Sheet1!$G$16</f>
        <v>17136</v>
      </c>
      <c r="O19" s="4">
        <f>((Sheet1!$G$13+Sheet1!$G$11/10000)/12)*(M19+N19)</f>
        <v>1575.6909821756935</v>
      </c>
      <c r="P19" s="4">
        <v>0</v>
      </c>
      <c r="Q19" s="4"/>
      <c r="R19" s="4">
        <f t="shared" si="0"/>
        <v>211609.4792199799</v>
      </c>
      <c r="S19" s="4"/>
      <c r="U19" s="4">
        <f>L19*Sheet1!$G$10/10000/12</f>
        <v>69.131705880653399</v>
      </c>
      <c r="V19" s="4">
        <f t="shared" si="10"/>
        <v>0</v>
      </c>
      <c r="W19" s="4">
        <f t="shared" si="11"/>
        <v>0</v>
      </c>
      <c r="X19" s="4">
        <f t="shared" si="12"/>
        <v>0</v>
      </c>
      <c r="Y19" s="4">
        <f t="shared" si="13"/>
        <v>0</v>
      </c>
      <c r="Z19" s="4">
        <f t="shared" si="14"/>
        <v>69.131705880653399</v>
      </c>
      <c r="AA19" s="4"/>
      <c r="AB19" s="6">
        <f t="shared" si="1"/>
        <v>17136</v>
      </c>
      <c r="AC19" s="41">
        <f t="shared" si="15"/>
        <v>-17066.868294119347</v>
      </c>
      <c r="AD19" s="41">
        <f>AC19/((1+Sheet1!$G$18/12)^(Sheet2!A19))</f>
        <v>-15069.261626627742</v>
      </c>
      <c r="AE19" s="35"/>
      <c r="AF19" s="41">
        <f t="shared" si="2"/>
        <v>0</v>
      </c>
      <c r="AG19" s="35"/>
      <c r="AH19" s="35"/>
      <c r="AI19" s="35"/>
      <c r="AJ19" s="35"/>
      <c r="AM19" s="4">
        <f>+L19*Sheet1!$M$10/10000/12</f>
        <v>12.762776470274474</v>
      </c>
      <c r="AN19" s="4">
        <f t="shared" si="16"/>
        <v>0</v>
      </c>
      <c r="AO19" s="4"/>
      <c r="AP19" s="4">
        <f t="shared" si="3"/>
        <v>12.762776470274474</v>
      </c>
      <c r="AS19" s="6">
        <f t="shared" si="4"/>
        <v>56.368929410378925</v>
      </c>
      <c r="AT19" s="6">
        <f t="shared" si="5"/>
        <v>0</v>
      </c>
      <c r="AU19" s="6">
        <f t="shared" si="6"/>
        <v>0</v>
      </c>
      <c r="AV19" s="4">
        <f t="shared" si="17"/>
        <v>56.368929410378925</v>
      </c>
      <c r="AX19" s="4">
        <f>((AV19+AW19)/((1+Sheet1!$M$15)^(Sheet1!A65/12)))</f>
        <v>51.198836557720668</v>
      </c>
    </row>
    <row r="20" spans="1:50" x14ac:dyDescent="0.2">
      <c r="A20">
        <v>16</v>
      </c>
      <c r="B20" s="1">
        <v>37043</v>
      </c>
      <c r="C20" s="4">
        <f>SUM(Sheet1!D66:W66)</f>
        <v>18396</v>
      </c>
      <c r="E20" s="4">
        <f t="shared" si="7"/>
        <v>0</v>
      </c>
      <c r="F20" s="4">
        <f>Sheet1!$M$17*Sheet2!C20</f>
        <v>0</v>
      </c>
      <c r="G20" s="4">
        <f>(Sheet1!$M$18/12)*(E20+F20)</f>
        <v>0</v>
      </c>
      <c r="H20" s="4">
        <v>0</v>
      </c>
      <c r="I20" s="4"/>
      <c r="J20" s="4">
        <f t="shared" si="8"/>
        <v>0</v>
      </c>
      <c r="K20" s="4"/>
      <c r="L20" s="4">
        <f>+Sheet1!$G$8-Sheet2!R19</f>
        <v>83390.520780020102</v>
      </c>
      <c r="M20" s="4">
        <f t="shared" si="9"/>
        <v>211609.4792199799</v>
      </c>
      <c r="N20" s="4">
        <f>SUM(Sheet1!D66:W66)*Sheet1!$G$16</f>
        <v>18396</v>
      </c>
      <c r="O20" s="4">
        <f>((Sheet1!$G$13+Sheet1!$G$11/10000)/12)*(M20+N20)</f>
        <v>1725.5202722315573</v>
      </c>
      <c r="P20" s="4">
        <v>0</v>
      </c>
      <c r="Q20" s="4"/>
      <c r="R20" s="4">
        <f t="shared" si="0"/>
        <v>231730.99949221144</v>
      </c>
      <c r="S20" s="4"/>
      <c r="U20" s="4">
        <f>L20*Sheet1!$G$10/10000/12</f>
        <v>56.462331778138612</v>
      </c>
      <c r="V20" s="4">
        <f t="shared" si="10"/>
        <v>0</v>
      </c>
      <c r="W20" s="4">
        <f t="shared" si="11"/>
        <v>0</v>
      </c>
      <c r="X20" s="4">
        <f t="shared" si="12"/>
        <v>0</v>
      </c>
      <c r="Y20" s="4">
        <f t="shared" si="13"/>
        <v>0</v>
      </c>
      <c r="Z20" s="4">
        <f t="shared" si="14"/>
        <v>56.462331778138612</v>
      </c>
      <c r="AA20" s="4"/>
      <c r="AB20" s="6">
        <f t="shared" si="1"/>
        <v>18396</v>
      </c>
      <c r="AC20" s="41">
        <f t="shared" si="15"/>
        <v>-18339.537668221863</v>
      </c>
      <c r="AD20" s="41">
        <f>AC20/((1+Sheet1!$G$18/12)^(Sheet2!A20))</f>
        <v>-16059.144089477719</v>
      </c>
      <c r="AE20" s="35"/>
      <c r="AF20" s="41">
        <f t="shared" si="2"/>
        <v>0</v>
      </c>
      <c r="AG20" s="35"/>
      <c r="AH20" s="35"/>
      <c r="AI20" s="35"/>
      <c r="AJ20" s="35"/>
      <c r="AM20" s="4">
        <f>+L20*Sheet1!$M$10/10000/12</f>
        <v>10.423815097502512</v>
      </c>
      <c r="AN20" s="4">
        <f t="shared" si="16"/>
        <v>0</v>
      </c>
      <c r="AO20" s="4"/>
      <c r="AP20" s="4">
        <f t="shared" si="3"/>
        <v>10.423815097502512</v>
      </c>
      <c r="AS20" s="6">
        <f t="shared" si="4"/>
        <v>46.0385166806361</v>
      </c>
      <c r="AT20" s="6">
        <f t="shared" si="5"/>
        <v>0</v>
      </c>
      <c r="AU20" s="6">
        <f t="shared" si="6"/>
        <v>0</v>
      </c>
      <c r="AV20" s="4">
        <f t="shared" si="17"/>
        <v>46.0385166806361</v>
      </c>
      <c r="AX20" s="4">
        <f>((AV20+AW20)/((1+Sheet1!$M$15)^(Sheet1!A66/12)))</f>
        <v>41.548592412095331</v>
      </c>
    </row>
    <row r="21" spans="1:50" x14ac:dyDescent="0.2">
      <c r="A21">
        <v>17</v>
      </c>
      <c r="B21" s="1">
        <v>37073</v>
      </c>
      <c r="C21" s="4">
        <f>SUM(Sheet1!D67:W67)</f>
        <v>35364</v>
      </c>
      <c r="E21" s="4">
        <f t="shared" si="7"/>
        <v>0</v>
      </c>
      <c r="F21" s="4">
        <f>Sheet1!$M$17*Sheet2!C21</f>
        <v>0</v>
      </c>
      <c r="G21" s="4">
        <f>(Sheet1!$M$18/12)*(E21+F21)</f>
        <v>0</v>
      </c>
      <c r="H21" s="4">
        <v>0</v>
      </c>
      <c r="I21" s="4"/>
      <c r="J21" s="4">
        <f t="shared" si="8"/>
        <v>0</v>
      </c>
      <c r="K21" s="4"/>
      <c r="L21" s="4">
        <f>+Sheet1!$G$8-Sheet2!R20</f>
        <v>63269.000507788558</v>
      </c>
      <c r="M21" s="4">
        <f t="shared" si="9"/>
        <v>231730.99949221144</v>
      </c>
      <c r="N21" s="4">
        <f>SUM(Sheet1!D67:W67)*Sheet1!$G$16</f>
        <v>35364</v>
      </c>
      <c r="O21" s="4">
        <f>((Sheet1!$G$13+Sheet1!$G$11/10000)/12)*(M21+N21)</f>
        <v>2003.7689441071946</v>
      </c>
      <c r="P21" s="4">
        <v>0</v>
      </c>
      <c r="Q21" s="4"/>
      <c r="R21" s="4">
        <f t="shared" si="0"/>
        <v>269098.76843631861</v>
      </c>
      <c r="S21" s="4"/>
      <c r="U21" s="4">
        <f>L21*Sheet1!$G$10/10000/12</f>
        <v>42.838385760481835</v>
      </c>
      <c r="V21" s="4">
        <f t="shared" si="10"/>
        <v>0</v>
      </c>
      <c r="W21" s="4">
        <f t="shared" si="11"/>
        <v>0</v>
      </c>
      <c r="X21" s="4">
        <f t="shared" si="12"/>
        <v>0</v>
      </c>
      <c r="Y21" s="4">
        <f t="shared" si="13"/>
        <v>0</v>
      </c>
      <c r="Z21" s="4">
        <f t="shared" si="14"/>
        <v>42.838385760481835</v>
      </c>
      <c r="AB21" s="6">
        <f t="shared" si="1"/>
        <v>35364</v>
      </c>
      <c r="AC21" s="41">
        <f t="shared" si="15"/>
        <v>-35321.161614239521</v>
      </c>
      <c r="AD21" s="41">
        <f>AC21/((1+Sheet1!$G$18/12)^(Sheet2!A21))</f>
        <v>-30673.608154481477</v>
      </c>
      <c r="AE21" s="35"/>
      <c r="AF21" s="41">
        <f t="shared" si="2"/>
        <v>0</v>
      </c>
      <c r="AG21" s="35"/>
      <c r="AH21" s="35"/>
      <c r="AI21" s="35"/>
      <c r="AJ21" s="35"/>
      <c r="AM21" s="4">
        <f>+L21*Sheet1!$M$10/10000/12</f>
        <v>7.9086250634735711</v>
      </c>
      <c r="AN21" s="4">
        <f t="shared" si="16"/>
        <v>0</v>
      </c>
      <c r="AO21" s="4"/>
      <c r="AP21" s="4">
        <f t="shared" si="3"/>
        <v>7.9086250634735711</v>
      </c>
      <c r="AS21" s="6">
        <f t="shared" si="4"/>
        <v>34.929760697008263</v>
      </c>
      <c r="AT21" s="6">
        <f t="shared" si="5"/>
        <v>0</v>
      </c>
      <c r="AU21" s="6">
        <f t="shared" si="6"/>
        <v>0</v>
      </c>
      <c r="AV21" s="4">
        <f t="shared" si="17"/>
        <v>34.929760697008263</v>
      </c>
      <c r="AW21">
        <f>Sheet1!F158+Sheet1!G158</f>
        <v>0</v>
      </c>
      <c r="AX21" s="4">
        <f>((AV21+AW21)/((1+Sheet1!$M$15)^(Sheet1!A67/12)))</f>
        <v>31.321697437560303</v>
      </c>
    </row>
    <row r="22" spans="1:50" x14ac:dyDescent="0.2">
      <c r="A22">
        <v>18</v>
      </c>
      <c r="B22" s="1">
        <v>37104</v>
      </c>
      <c r="C22" s="4">
        <f>SUM(Sheet1!D68:W68)-SUM(Sheet1!F68:G68)</f>
        <v>18456</v>
      </c>
      <c r="E22" s="4">
        <f t="shared" si="7"/>
        <v>0</v>
      </c>
      <c r="F22" s="4">
        <f>Sheet1!$M$17*Sheet2!C22</f>
        <v>0</v>
      </c>
      <c r="G22" s="4">
        <f>(Sheet1!$M$18/12)*(E22+F22)</f>
        <v>0</v>
      </c>
      <c r="H22" s="4">
        <f>+Sheet1!F371+Sheet1!G371</f>
        <v>0</v>
      </c>
      <c r="I22" s="4">
        <f>+Sheet1!F422+Sheet1!G422</f>
        <v>0</v>
      </c>
      <c r="J22" s="4">
        <f t="shared" si="8"/>
        <v>0</v>
      </c>
      <c r="K22" s="4"/>
      <c r="L22" s="4">
        <f>+Sheet1!$G$8-Sheet2!R21</f>
        <v>25901.231563681387</v>
      </c>
      <c r="M22" s="4">
        <f t="shared" si="9"/>
        <v>269098.76843631861</v>
      </c>
      <c r="N22" s="4">
        <f>(SUM(Sheet1!D68:W68)-SUM(Sheet1!F68:G68))*Sheet1!$G$16</f>
        <v>18456</v>
      </c>
      <c r="O22" s="4">
        <f>((Sheet1!$G$13+Sheet1!$G$11/10000)/12)*(M22+N22)</f>
        <v>2157.2598357066317</v>
      </c>
      <c r="P22" s="4">
        <f>SUM(Sheet1!F51:F67)+SUM(Sheet1!G51:G67)+Sheet1!F46+Sheet1!G46-H22</f>
        <v>64254</v>
      </c>
      <c r="Q22" s="4">
        <f>+Sheet1!F268+Sheet1!G268</f>
        <v>3670.2620492445303</v>
      </c>
      <c r="R22" s="4">
        <f t="shared" si="0"/>
        <v>221787.76622278069</v>
      </c>
      <c r="S22" s="4"/>
      <c r="U22" s="4">
        <f>L22*Sheet1!$G$10/10000/12</f>
        <v>17.537292204575937</v>
      </c>
      <c r="V22" s="4">
        <f t="shared" si="10"/>
        <v>64254</v>
      </c>
      <c r="W22" s="4">
        <f t="shared" si="11"/>
        <v>3670.2620492445303</v>
      </c>
      <c r="X22" s="4">
        <f t="shared" si="12"/>
        <v>0</v>
      </c>
      <c r="Y22" s="4">
        <f t="shared" si="13"/>
        <v>0</v>
      </c>
      <c r="Z22" s="4">
        <f t="shared" si="14"/>
        <v>67941.799341449107</v>
      </c>
      <c r="AA22" s="4">
        <f>Sheet1!F158+Sheet1!G158</f>
        <v>0</v>
      </c>
      <c r="AB22" s="6">
        <f t="shared" si="1"/>
        <v>18456</v>
      </c>
      <c r="AC22" s="41">
        <f t="shared" si="15"/>
        <v>49485.799341449107</v>
      </c>
      <c r="AD22" s="41">
        <f>AC22/((1+Sheet1!$G$18/12)^(Sheet2!A22))</f>
        <v>42619.303982308702</v>
      </c>
      <c r="AE22" s="35"/>
      <c r="AF22" s="41">
        <f t="shared" si="2"/>
        <v>0</v>
      </c>
      <c r="AG22" s="35"/>
      <c r="AH22" s="35"/>
      <c r="AI22" s="35"/>
      <c r="AJ22" s="35"/>
      <c r="AM22" s="4">
        <f>+L22*Sheet1!$M$10/10000/12</f>
        <v>3.2376539454601736</v>
      </c>
      <c r="AN22" s="4">
        <f t="shared" si="16"/>
        <v>64254</v>
      </c>
      <c r="AO22" s="4">
        <f>+Sheet1!F320+Sheet1!G320</f>
        <v>2512.3414035623614</v>
      </c>
      <c r="AP22" s="4">
        <f t="shared" si="3"/>
        <v>66769.579057507828</v>
      </c>
      <c r="AS22" s="6">
        <f t="shared" si="4"/>
        <v>14.299638259115763</v>
      </c>
      <c r="AT22" s="6">
        <f t="shared" si="5"/>
        <v>1157.9206456821689</v>
      </c>
      <c r="AU22" s="6">
        <f t="shared" si="6"/>
        <v>0</v>
      </c>
      <c r="AV22" s="4">
        <f t="shared" si="17"/>
        <v>1172.2202839412846</v>
      </c>
      <c r="AX22" s="4">
        <f>((AV22+AW22)/((1+Sheet1!$M$15)^(Sheet1!A68/12)))</f>
        <v>1044.4161982762967</v>
      </c>
    </row>
    <row r="23" spans="1:50" x14ac:dyDescent="0.2">
      <c r="A23">
        <v>19</v>
      </c>
      <c r="B23" s="1">
        <v>37135</v>
      </c>
      <c r="C23" s="4">
        <f>SUM(Sheet1!D69:W69)</f>
        <v>31644</v>
      </c>
      <c r="E23" s="4">
        <f t="shared" si="7"/>
        <v>0</v>
      </c>
      <c r="F23" s="4">
        <f>Sheet1!$M$17*Sheet2!C23</f>
        <v>0</v>
      </c>
      <c r="G23" s="4">
        <f>(Sheet1!$M$18/12)*(E23+F23)</f>
        <v>0</v>
      </c>
      <c r="H23" s="4">
        <v>0</v>
      </c>
      <c r="I23" s="4"/>
      <c r="J23" s="4">
        <f t="shared" si="8"/>
        <v>0</v>
      </c>
      <c r="K23" s="4"/>
      <c r="L23" s="4">
        <f>+Sheet1!$G$8-Sheet2!R22</f>
        <v>73212.233777219313</v>
      </c>
      <c r="M23" s="4">
        <f t="shared" si="9"/>
        <v>221787.76622278069</v>
      </c>
      <c r="N23" s="4">
        <f>SUM(Sheet1!D69:W69)*Sheet1!$G$16</f>
        <v>31644</v>
      </c>
      <c r="O23" s="4">
        <f>((Sheet1!$G$13+Sheet1!$G$11/10000)/12)*(M23+N23)</f>
        <v>1901.2662295171524</v>
      </c>
      <c r="P23" s="4">
        <v>0</v>
      </c>
      <c r="Q23" s="4"/>
      <c r="R23" s="4">
        <f t="shared" si="0"/>
        <v>255333.03245229783</v>
      </c>
      <c r="S23" s="4"/>
      <c r="U23" s="4">
        <f>L23*Sheet1!$G$10/10000/12</f>
        <v>49.570783286658902</v>
      </c>
      <c r="V23" s="4">
        <f t="shared" si="10"/>
        <v>0</v>
      </c>
      <c r="W23" s="4">
        <f t="shared" si="11"/>
        <v>0</v>
      </c>
      <c r="X23" s="4">
        <f t="shared" si="12"/>
        <v>0</v>
      </c>
      <c r="Y23" s="4">
        <f t="shared" si="13"/>
        <v>0</v>
      </c>
      <c r="Z23" s="4">
        <f t="shared" si="14"/>
        <v>49.570783286658902</v>
      </c>
      <c r="AA23" s="4"/>
      <c r="AB23" s="6">
        <f t="shared" si="1"/>
        <v>31644</v>
      </c>
      <c r="AC23" s="41">
        <f t="shared" si="15"/>
        <v>-31594.429216713343</v>
      </c>
      <c r="AD23" s="41">
        <f>AC23/((1+Sheet1!$G$18/12)^(Sheet2!A23))</f>
        <v>-26985.604602775551</v>
      </c>
      <c r="AE23" s="35"/>
      <c r="AF23" s="41">
        <f t="shared" si="2"/>
        <v>0</v>
      </c>
      <c r="AG23" s="35"/>
      <c r="AH23" s="35"/>
      <c r="AI23" s="35"/>
      <c r="AJ23" s="35"/>
      <c r="AM23" s="4">
        <f>+L23*Sheet1!$M$10/10000/12</f>
        <v>9.1515292221524138</v>
      </c>
      <c r="AN23" s="4">
        <f t="shared" si="16"/>
        <v>0</v>
      </c>
      <c r="AO23" s="4"/>
      <c r="AP23" s="4">
        <f t="shared" si="3"/>
        <v>9.1515292221524138</v>
      </c>
      <c r="AS23" s="6">
        <f t="shared" si="4"/>
        <v>40.419254064506489</v>
      </c>
      <c r="AT23" s="6">
        <f t="shared" si="5"/>
        <v>0</v>
      </c>
      <c r="AU23" s="6">
        <f t="shared" si="6"/>
        <v>0</v>
      </c>
      <c r="AV23" s="4">
        <f t="shared" si="17"/>
        <v>40.419254064506489</v>
      </c>
      <c r="AW23">
        <f>Sheet1!H158+Sheet1!I158</f>
        <v>6182</v>
      </c>
      <c r="AX23" s="4">
        <f>((AV23+AW23)/((1+Sheet1!$M$15)^(Sheet1!A69/12)))</f>
        <v>5508.5630348561499</v>
      </c>
    </row>
    <row r="24" spans="1:50" x14ac:dyDescent="0.2">
      <c r="A24">
        <v>20</v>
      </c>
      <c r="B24" s="1">
        <v>37165</v>
      </c>
      <c r="C24" s="4">
        <f>SUM(Sheet1!D70:W70)-SUM(Sheet1!H70:I70)</f>
        <v>17236</v>
      </c>
      <c r="E24" s="4">
        <f t="shared" si="7"/>
        <v>0</v>
      </c>
      <c r="F24" s="4">
        <f>Sheet1!$M$17*Sheet2!C24</f>
        <v>0</v>
      </c>
      <c r="G24" s="4">
        <f>(Sheet1!$M$18/12)*(E24+F24)</f>
        <v>0</v>
      </c>
      <c r="H24" s="4">
        <f>+Sheet1!H371+Sheet1!I371</f>
        <v>0</v>
      </c>
      <c r="I24" s="4">
        <f>+Sheet1!H422+Sheet1!I422</f>
        <v>0</v>
      </c>
      <c r="J24" s="4">
        <f t="shared" si="8"/>
        <v>0</v>
      </c>
      <c r="K24" s="4"/>
      <c r="L24" s="4">
        <f>+Sheet1!$G$8-Sheet2!R23</f>
        <v>39666.967547702166</v>
      </c>
      <c r="M24" s="4">
        <f t="shared" si="9"/>
        <v>255333.03245229783</v>
      </c>
      <c r="N24" s="4">
        <f>(SUM(Sheet1!D70:W70)-SUM(Sheet1!H70:I70))*Sheet1!$G$16</f>
        <v>17236</v>
      </c>
      <c r="O24" s="4">
        <f>((Sheet1!$G$13+Sheet1!$G$11/10000)/12)*(M24+N24)</f>
        <v>2044.8355955431762</v>
      </c>
      <c r="P24" s="4">
        <f>SUM(Sheet1!H51:H69)+SUM(Sheet1!I51:I69)+Sheet1!H46+Sheet1!I46-H24</f>
        <v>64254</v>
      </c>
      <c r="Q24" s="4">
        <f>+Sheet1!H268+Sheet1!I268</f>
        <v>3757.1262355576773</v>
      </c>
      <c r="R24" s="4">
        <f t="shared" si="0"/>
        <v>206602.74181228332</v>
      </c>
      <c r="S24" s="4"/>
      <c r="U24" s="4">
        <f>L24*Sheet1!$G$10/10000/12</f>
        <v>26.857842610423344</v>
      </c>
      <c r="V24" s="4">
        <f t="shared" si="10"/>
        <v>64254</v>
      </c>
      <c r="W24" s="4">
        <f t="shared" si="11"/>
        <v>3757.1262355576773</v>
      </c>
      <c r="X24" s="4">
        <f t="shared" si="12"/>
        <v>0</v>
      </c>
      <c r="Y24" s="4">
        <f t="shared" si="13"/>
        <v>0</v>
      </c>
      <c r="Z24" s="4">
        <f t="shared" si="14"/>
        <v>68037.984078168098</v>
      </c>
      <c r="AA24" s="4">
        <f>Sheet1!H158+Sheet1!I158</f>
        <v>6182</v>
      </c>
      <c r="AB24" s="6">
        <f t="shared" si="1"/>
        <v>17236</v>
      </c>
      <c r="AC24" s="41">
        <f t="shared" si="15"/>
        <v>56983.984078168098</v>
      </c>
      <c r="AD24" s="41">
        <f>AC24/((1+Sheet1!$G$18/12)^(Sheet2!A24))</f>
        <v>48269.22485281821</v>
      </c>
      <c r="AE24" s="35"/>
      <c r="AF24" s="41">
        <f t="shared" si="2"/>
        <v>6182</v>
      </c>
      <c r="AG24" s="35"/>
      <c r="AH24" s="35"/>
      <c r="AI24" s="35"/>
      <c r="AJ24" s="35"/>
      <c r="AM24" s="4">
        <f>+L24*Sheet1!$M$10/10000/12</f>
        <v>4.9583709434627705</v>
      </c>
      <c r="AN24" s="4">
        <f t="shared" si="16"/>
        <v>64254</v>
      </c>
      <c r="AO24" s="4">
        <f>+Sheet1!H320+Sheet1!I320</f>
        <v>2534.5103215698055</v>
      </c>
      <c r="AP24" s="4">
        <f t="shared" si="3"/>
        <v>66793.46869251327</v>
      </c>
      <c r="AS24" s="6">
        <f t="shared" si="4"/>
        <v>21.899471666960572</v>
      </c>
      <c r="AT24" s="6">
        <f t="shared" si="5"/>
        <v>1222.6159139878719</v>
      </c>
      <c r="AU24" s="6">
        <f t="shared" si="6"/>
        <v>0</v>
      </c>
      <c r="AV24" s="4">
        <f t="shared" si="17"/>
        <v>1244.5153856548325</v>
      </c>
      <c r="AX24" s="4">
        <f>((AV24+AW24)/((1+Sheet1!$M$15)^(Sheet1!A70/12)))</f>
        <v>1094.6972092277965</v>
      </c>
    </row>
    <row r="25" spans="1:50" x14ac:dyDescent="0.2">
      <c r="A25">
        <v>21</v>
      </c>
      <c r="B25" s="1">
        <v>37196</v>
      </c>
      <c r="C25" s="4">
        <f>SUM(Sheet1!D71:W71)</f>
        <v>17236</v>
      </c>
      <c r="E25" s="4">
        <f t="shared" si="7"/>
        <v>0</v>
      </c>
      <c r="F25" s="4">
        <f>Sheet1!$M$17*Sheet2!C25</f>
        <v>0</v>
      </c>
      <c r="G25" s="4">
        <f>(Sheet1!$M$18/12)*(E25+F25)</f>
        <v>0</v>
      </c>
      <c r="H25" s="4">
        <v>0</v>
      </c>
      <c r="J25" s="4">
        <f t="shared" si="8"/>
        <v>0</v>
      </c>
      <c r="K25" s="4"/>
      <c r="L25" s="4">
        <f>+Sheet1!$G$8-Sheet2!R24</f>
        <v>88397.258187716681</v>
      </c>
      <c r="M25" s="4">
        <f t="shared" si="9"/>
        <v>206602.74181228332</v>
      </c>
      <c r="N25" s="4">
        <f>SUM(Sheet1!D71:W71)*Sheet1!$G$16</f>
        <v>17236</v>
      </c>
      <c r="O25" s="4">
        <f>((Sheet1!$G$13+Sheet1!$G$11/10000)/12)*(M25+N25)</f>
        <v>1679.2568943042338</v>
      </c>
      <c r="P25" s="4">
        <v>0</v>
      </c>
      <c r="Q25" s="4"/>
      <c r="R25" s="4">
        <f t="shared" si="0"/>
        <v>225517.99870658756</v>
      </c>
      <c r="S25" s="4"/>
      <c r="U25" s="4">
        <f>L25*Sheet1!$G$10/10000/12</f>
        <v>59.8523102312665</v>
      </c>
      <c r="V25" s="4">
        <f t="shared" si="10"/>
        <v>0</v>
      </c>
      <c r="W25" s="4">
        <f t="shared" si="11"/>
        <v>0</v>
      </c>
      <c r="X25" s="4">
        <f t="shared" si="12"/>
        <v>0</v>
      </c>
      <c r="Y25" s="4">
        <f t="shared" si="13"/>
        <v>0</v>
      </c>
      <c r="Z25" s="4">
        <f t="shared" si="14"/>
        <v>59.8523102312665</v>
      </c>
      <c r="AA25" s="4"/>
      <c r="AB25" s="6">
        <f t="shared" si="1"/>
        <v>17236</v>
      </c>
      <c r="AC25" s="41">
        <f t="shared" si="15"/>
        <v>-17176.147689768735</v>
      </c>
      <c r="AD25" s="41">
        <f>AC25/((1+Sheet1!$G$18/12)^(Sheet2!A25))</f>
        <v>-14429.097103576707</v>
      </c>
      <c r="AE25" s="35"/>
      <c r="AF25" s="41">
        <f t="shared" si="2"/>
        <v>0</v>
      </c>
      <c r="AG25" s="35"/>
      <c r="AH25" s="35"/>
      <c r="AI25" s="35"/>
      <c r="AJ25" s="35"/>
      <c r="AM25" s="4">
        <f>+L25*Sheet1!$M$10/10000/12</f>
        <v>11.049657273464584</v>
      </c>
      <c r="AN25" s="4">
        <f t="shared" si="16"/>
        <v>0</v>
      </c>
      <c r="AO25" s="4"/>
      <c r="AP25" s="4">
        <f t="shared" si="3"/>
        <v>11.049657273464584</v>
      </c>
      <c r="AS25" s="6">
        <f t="shared" si="4"/>
        <v>48.802652957801918</v>
      </c>
      <c r="AT25" s="6">
        <f t="shared" si="5"/>
        <v>0</v>
      </c>
      <c r="AU25" s="6">
        <f t="shared" si="6"/>
        <v>0</v>
      </c>
      <c r="AV25" s="4">
        <f t="shared" si="17"/>
        <v>48.802652957801918</v>
      </c>
      <c r="AX25" s="4">
        <f>((AV25+AW25)/((1+Sheet1!$M$15)^(Sheet1!A71/12)))</f>
        <v>42.653223580876926</v>
      </c>
    </row>
    <row r="26" spans="1:50" x14ac:dyDescent="0.2">
      <c r="A26">
        <v>22</v>
      </c>
      <c r="B26" s="1">
        <v>37226</v>
      </c>
      <c r="C26" s="4">
        <f>SUM(Sheet1!D72:W72)</f>
        <v>17932</v>
      </c>
      <c r="E26" s="4">
        <f t="shared" si="7"/>
        <v>0</v>
      </c>
      <c r="F26" s="4">
        <f>Sheet1!$M$17*Sheet2!C26</f>
        <v>0</v>
      </c>
      <c r="G26" s="4">
        <f>(Sheet1!$M$18/12)*(E26+F26)</f>
        <v>0</v>
      </c>
      <c r="H26" s="4">
        <v>0</v>
      </c>
      <c r="J26" s="4">
        <f t="shared" si="8"/>
        <v>0</v>
      </c>
      <c r="K26" s="4"/>
      <c r="L26" s="4">
        <f>+Sheet1!$G$8-Sheet2!R25</f>
        <v>69482.001293412439</v>
      </c>
      <c r="M26" s="4">
        <f t="shared" si="9"/>
        <v>225517.99870658756</v>
      </c>
      <c r="N26" s="4">
        <f>SUM(Sheet1!D72:W72)*Sheet1!$G$16</f>
        <v>17932</v>
      </c>
      <c r="O26" s="4">
        <f>((Sheet1!$G$13+Sheet1!$G$11/10000)/12)*(M26+N26)</f>
        <v>1826.3821777967121</v>
      </c>
      <c r="P26" s="4">
        <v>0</v>
      </c>
      <c r="Q26" s="4"/>
      <c r="R26" s="4">
        <f t="shared" si="0"/>
        <v>245276.38088438427</v>
      </c>
      <c r="S26" s="4"/>
      <c r="U26" s="4">
        <f>L26*Sheet1!$G$10/10000/12</f>
        <v>47.045105042414669</v>
      </c>
      <c r="V26" s="4">
        <f t="shared" si="10"/>
        <v>0</v>
      </c>
      <c r="W26" s="4">
        <f t="shared" si="11"/>
        <v>0</v>
      </c>
      <c r="X26" s="4">
        <f t="shared" si="12"/>
        <v>0</v>
      </c>
      <c r="Y26" s="4">
        <f t="shared" si="13"/>
        <v>0</v>
      </c>
      <c r="Z26" s="4">
        <f t="shared" si="14"/>
        <v>47.045105042414669</v>
      </c>
      <c r="AA26" s="4"/>
      <c r="AB26" s="6">
        <f t="shared" si="1"/>
        <v>17932</v>
      </c>
      <c r="AC26" s="41">
        <f t="shared" si="15"/>
        <v>-17884.954894957584</v>
      </c>
      <c r="AD26" s="41">
        <f>AC26/((1+Sheet1!$G$18/12)^(Sheet2!A26))</f>
        <v>-14900.372145333213</v>
      </c>
      <c r="AE26" s="35"/>
      <c r="AF26" s="41">
        <f t="shared" si="2"/>
        <v>0</v>
      </c>
      <c r="AG26" s="35"/>
      <c r="AH26" s="35"/>
      <c r="AI26" s="35"/>
      <c r="AJ26" s="35"/>
      <c r="AM26" s="4">
        <f>+L26*Sheet1!$M$10/10000/12</f>
        <v>8.6852501616765547</v>
      </c>
      <c r="AN26" s="4">
        <f t="shared" si="16"/>
        <v>0</v>
      </c>
      <c r="AO26" s="4"/>
      <c r="AP26" s="4">
        <f t="shared" si="3"/>
        <v>8.6852501616765547</v>
      </c>
      <c r="AS26" s="6">
        <f t="shared" si="4"/>
        <v>38.359854880738112</v>
      </c>
      <c r="AT26" s="6">
        <f t="shared" si="5"/>
        <v>0</v>
      </c>
      <c r="AU26" s="6">
        <f t="shared" si="6"/>
        <v>0</v>
      </c>
      <c r="AV26" s="4">
        <f t="shared" si="17"/>
        <v>38.359854880738112</v>
      </c>
      <c r="AW26">
        <f>+Sheet1!J158+Sheet1!K158+Sheet1!L158+Sheet1!M158</f>
        <v>5259</v>
      </c>
      <c r="AX26" s="4">
        <f>((AV26+AW26)/((1+Sheet1!$M$15)^(Sheet1!A72/12)))</f>
        <v>4600.2622547559149</v>
      </c>
    </row>
    <row r="27" spans="1:50" x14ac:dyDescent="0.2">
      <c r="A27">
        <v>23</v>
      </c>
      <c r="B27" s="1">
        <v>37257</v>
      </c>
      <c r="C27" s="4">
        <f>SUM(Sheet1!D73:W73)</f>
        <v>47112</v>
      </c>
      <c r="E27" s="4">
        <f t="shared" si="7"/>
        <v>0</v>
      </c>
      <c r="F27" s="4">
        <f>Sheet1!$M$17*Sheet2!C27</f>
        <v>0</v>
      </c>
      <c r="G27" s="4">
        <f>(Sheet1!$M$18/12)*(E27+F27)</f>
        <v>0</v>
      </c>
      <c r="H27" s="4">
        <v>0</v>
      </c>
      <c r="J27" s="4">
        <f t="shared" si="8"/>
        <v>0</v>
      </c>
      <c r="K27" s="4"/>
      <c r="L27" s="4">
        <f>+Sheet1!$G$8-Sheet2!R26</f>
        <v>49723.619115615729</v>
      </c>
      <c r="M27" s="4">
        <f t="shared" si="9"/>
        <v>245276.38088438427</v>
      </c>
      <c r="N27" s="4">
        <f>SUM(Sheet1!D73:W73)*Sheet1!$G$16</f>
        <v>47112</v>
      </c>
      <c r="O27" s="4">
        <f>((Sheet1!$G$13+Sheet1!$G$11/10000)/12)*(M27+N27)</f>
        <v>2193.5219990930577</v>
      </c>
      <c r="P27" s="4">
        <v>0</v>
      </c>
      <c r="Q27" s="4"/>
      <c r="R27" s="4">
        <f t="shared" si="0"/>
        <v>294581.90288347733</v>
      </c>
      <c r="S27" s="4"/>
      <c r="U27" s="4">
        <f>L27*Sheet1!$G$10/10000/12</f>
        <v>33.667033776198146</v>
      </c>
      <c r="V27" s="4">
        <f t="shared" si="10"/>
        <v>0</v>
      </c>
      <c r="W27" s="4">
        <f t="shared" si="11"/>
        <v>0</v>
      </c>
      <c r="X27" s="4">
        <f t="shared" si="12"/>
        <v>0</v>
      </c>
      <c r="Y27" s="4">
        <f t="shared" si="13"/>
        <v>0</v>
      </c>
      <c r="Z27" s="4">
        <f t="shared" si="14"/>
        <v>33.667033776198146</v>
      </c>
      <c r="AA27" s="4"/>
      <c r="AB27" s="6">
        <f t="shared" si="1"/>
        <v>47112</v>
      </c>
      <c r="AC27" s="41">
        <f>Z27+AA27-AB27</f>
        <v>-47078.332966223803</v>
      </c>
      <c r="AD27" s="41">
        <f>AC27/((1+Sheet1!$G$18/12)^(Sheet2!A27))</f>
        <v>-38897.905597483805</v>
      </c>
      <c r="AE27" s="35"/>
      <c r="AF27" s="41">
        <f t="shared" si="2"/>
        <v>0</v>
      </c>
      <c r="AG27" s="35"/>
      <c r="AH27" s="35"/>
      <c r="AI27" s="35"/>
      <c r="AJ27" s="35"/>
      <c r="AM27" s="4">
        <f>+L27*Sheet1!$M$10/10000/12</f>
        <v>6.2154523894519658</v>
      </c>
      <c r="AN27" s="4">
        <f t="shared" si="16"/>
        <v>0</v>
      </c>
      <c r="AO27" s="4"/>
      <c r="AP27" s="4">
        <f t="shared" si="3"/>
        <v>6.2154523894519658</v>
      </c>
      <c r="AS27" s="6">
        <f t="shared" si="4"/>
        <v>27.451581386746181</v>
      </c>
      <c r="AT27" s="6">
        <f t="shared" si="5"/>
        <v>0</v>
      </c>
      <c r="AU27" s="6">
        <f t="shared" si="6"/>
        <v>0</v>
      </c>
      <c r="AV27" s="4">
        <f t="shared" si="17"/>
        <v>27.451581386746181</v>
      </c>
      <c r="AX27" s="4">
        <f>((AV27+AW27)/((1+Sheet1!$M$15)^(Sheet1!A73/12)))</f>
        <v>23.686733271566968</v>
      </c>
    </row>
    <row r="28" spans="1:50" x14ac:dyDescent="0.2">
      <c r="A28">
        <v>24</v>
      </c>
      <c r="B28" s="1">
        <v>37288</v>
      </c>
      <c r="C28" s="4">
        <f>SUM(Sheet1!D74:W74)-SUM(Sheet1!J74:M74)</f>
        <v>12716</v>
      </c>
      <c r="E28" s="4">
        <f t="shared" si="7"/>
        <v>0</v>
      </c>
      <c r="F28" s="4">
        <f>Sheet1!$M$17*Sheet2!C28</f>
        <v>0</v>
      </c>
      <c r="G28" s="4">
        <f>(Sheet1!$M$18/12)*(E28+F28)</f>
        <v>0</v>
      </c>
      <c r="H28" s="4">
        <f>+Sheet1!J371+Sheet1!K371+Sheet1!L371+Sheet1!M371</f>
        <v>0</v>
      </c>
      <c r="I28" s="4">
        <f>+Sheet1!J422+Sheet1!K422+Sheet1!L422+Sheet1!M422</f>
        <v>0</v>
      </c>
      <c r="J28" s="4">
        <f t="shared" si="8"/>
        <v>0</v>
      </c>
      <c r="K28" s="4"/>
      <c r="L28" s="4">
        <f>+Sheet1!$G$8-Sheet2!R27</f>
        <v>418.0971165226656</v>
      </c>
      <c r="M28" s="4">
        <f t="shared" si="9"/>
        <v>294581.90288347733</v>
      </c>
      <c r="N28" s="4">
        <f>(SUM(Sheet1!D74:W74)-SUM(Sheet1!J74:M74))*Sheet1!$G$16</f>
        <v>12716</v>
      </c>
      <c r="O28" s="4">
        <f>((Sheet1!$G$13+Sheet1!$G$11/10000)/12)*(M28+N28)</f>
        <v>2305.3744755904204</v>
      </c>
      <c r="P28" s="4">
        <f>+SUM(Sheet1!J51:J73)+SUM(Sheet1!K51:K73)+SUM(Sheet1!L51:L73)+SUM(Sheet1!M51:M73)+Sheet1!J46+Sheet1!K46+Sheet1!L46+Sheet1!M46-H28</f>
        <v>132016</v>
      </c>
      <c r="Q28" s="4">
        <f>+Sheet1!J268+Sheet1!K268+Sheet1!L268+Sheet1!M268</f>
        <v>10383.103116013815</v>
      </c>
      <c r="R28" s="4">
        <f t="shared" si="0"/>
        <v>167204.17424305395</v>
      </c>
      <c r="S28" s="4"/>
      <c r="U28" s="4">
        <f>L28*Sheet1!$G$10/10000/12</f>
        <v>0.28308658931222147</v>
      </c>
      <c r="V28" s="4">
        <f t="shared" si="10"/>
        <v>132016</v>
      </c>
      <c r="W28" s="4">
        <f t="shared" si="11"/>
        <v>10383.103116013815</v>
      </c>
      <c r="X28" s="4">
        <f t="shared" si="12"/>
        <v>0</v>
      </c>
      <c r="Y28" s="4">
        <f t="shared" si="13"/>
        <v>0</v>
      </c>
      <c r="Z28" s="4">
        <f t="shared" si="14"/>
        <v>142399.38620260311</v>
      </c>
      <c r="AA28" s="4">
        <f>Sheet1!J158+Sheet1!K158+Sheet1!L158+Sheet1!M158</f>
        <v>5259</v>
      </c>
      <c r="AB28" s="6">
        <f t="shared" si="1"/>
        <v>12716</v>
      </c>
      <c r="AC28" s="41">
        <f>Z28+AA28-AB28</f>
        <v>134942.38620260311</v>
      </c>
      <c r="AD28" s="41">
        <f>AC28/((1+Sheet1!$G$18/12)^(Sheet2!A28))</f>
        <v>110573.0790160092</v>
      </c>
      <c r="AE28" s="35"/>
      <c r="AF28" s="41">
        <f t="shared" si="2"/>
        <v>5259</v>
      </c>
      <c r="AG28" s="35"/>
      <c r="AH28" s="35"/>
      <c r="AI28" s="35"/>
      <c r="AJ28" s="35"/>
      <c r="AM28" s="4">
        <f>+L28*Sheet1!$M$10/10000/12</f>
        <v>5.2262139565333203E-2</v>
      </c>
      <c r="AN28" s="4">
        <f t="shared" si="16"/>
        <v>132016</v>
      </c>
      <c r="AO28" s="4">
        <f>+Sheet1!J320+Sheet1!K320+Sheet1!L320+Sheet1!M320</f>
        <v>6559.719171875181</v>
      </c>
      <c r="AP28" s="4">
        <f t="shared" si="3"/>
        <v>138575.77143401475</v>
      </c>
      <c r="AS28" s="6">
        <f t="shared" si="4"/>
        <v>0.23082444974688826</v>
      </c>
      <c r="AT28" s="6">
        <f t="shared" si="5"/>
        <v>3823.3839441386344</v>
      </c>
      <c r="AU28" s="6">
        <f t="shared" si="6"/>
        <v>0</v>
      </c>
      <c r="AV28" s="4">
        <f t="shared" si="17"/>
        <v>3823.6147685883811</v>
      </c>
      <c r="AX28" s="4">
        <f>((AV28+AW28)/((1+Sheet1!$M$15)^(Sheet1!A74/12)))</f>
        <v>3278.1333749900382</v>
      </c>
    </row>
    <row r="29" spans="1:50" x14ac:dyDescent="0.2">
      <c r="A29">
        <v>25</v>
      </c>
      <c r="B29" s="1">
        <v>37316</v>
      </c>
      <c r="C29" s="4">
        <f>SUM(Sheet1!D75:W75)</f>
        <v>27206</v>
      </c>
      <c r="E29" s="4">
        <f t="shared" si="7"/>
        <v>0</v>
      </c>
      <c r="F29" s="4">
        <f>Sheet1!$M$17*Sheet2!C29</f>
        <v>0</v>
      </c>
      <c r="G29" s="4">
        <f>(Sheet1!$M$18/12)*(E29+F29)</f>
        <v>0</v>
      </c>
      <c r="H29" s="4">
        <v>0</v>
      </c>
      <c r="J29" s="4">
        <f t="shared" si="8"/>
        <v>0</v>
      </c>
      <c r="K29" s="4"/>
      <c r="L29" s="4">
        <f>+Sheet1!$G$8-Sheet2!R28</f>
        <v>127795.82575694605</v>
      </c>
      <c r="M29" s="4">
        <f t="shared" si="9"/>
        <v>167204.17424305395</v>
      </c>
      <c r="N29" s="4">
        <f>SUM(Sheet1!D75:W75)*Sheet1!$G$16</f>
        <v>27206</v>
      </c>
      <c r="O29" s="4">
        <f>((Sheet1!$G$13+Sheet1!$G$11/10000)/12)*(M29+N29)</f>
        <v>1458.4813280192441</v>
      </c>
      <c r="P29" s="4">
        <v>0</v>
      </c>
      <c r="Q29" s="4"/>
      <c r="R29" s="4">
        <f t="shared" si="0"/>
        <v>195868.65557107318</v>
      </c>
      <c r="S29" s="4"/>
      <c r="U29" s="4">
        <f>L29*Sheet1!$G$10/10000/12</f>
        <v>86.528423689598881</v>
      </c>
      <c r="V29" s="4">
        <f t="shared" si="10"/>
        <v>0</v>
      </c>
      <c r="W29" s="4">
        <f t="shared" si="11"/>
        <v>0</v>
      </c>
      <c r="X29" s="4">
        <f t="shared" si="12"/>
        <v>0</v>
      </c>
      <c r="Y29" s="4">
        <f t="shared" si="13"/>
        <v>0</v>
      </c>
      <c r="Z29" s="4">
        <f t="shared" si="14"/>
        <v>86.528423689598881</v>
      </c>
      <c r="AA29" s="4"/>
      <c r="AB29" s="6">
        <f t="shared" si="1"/>
        <v>27206</v>
      </c>
      <c r="AC29" s="41">
        <f t="shared" si="15"/>
        <v>-27119.4715763104</v>
      </c>
      <c r="AD29" s="41">
        <f>AC29/((1+Sheet1!$G$18/12)^(Sheet2!A29))</f>
        <v>-22038.301301189898</v>
      </c>
      <c r="AE29" s="35"/>
      <c r="AF29" s="41">
        <f t="shared" si="2"/>
        <v>0</v>
      </c>
      <c r="AG29" s="35"/>
      <c r="AH29" s="35"/>
      <c r="AI29" s="35"/>
      <c r="AJ29" s="35"/>
      <c r="AM29" s="4">
        <f>+L29*Sheet1!$M$10/10000/12</f>
        <v>15.974478219618256</v>
      </c>
      <c r="AN29" s="4">
        <f t="shared" si="16"/>
        <v>0</v>
      </c>
      <c r="AO29" s="4"/>
      <c r="AP29" s="4">
        <f t="shared" si="3"/>
        <v>15.974478219618256</v>
      </c>
      <c r="AS29" s="6">
        <f t="shared" si="4"/>
        <v>70.553945469980619</v>
      </c>
      <c r="AT29" s="6">
        <f t="shared" si="5"/>
        <v>0</v>
      </c>
      <c r="AU29" s="6">
        <f t="shared" si="6"/>
        <v>0</v>
      </c>
      <c r="AV29" s="4">
        <f t="shared" si="17"/>
        <v>70.553945469980619</v>
      </c>
      <c r="AW29">
        <f>+Sheet1!N158+Sheet1!O158</f>
        <v>0</v>
      </c>
      <c r="AX29" s="4">
        <f>((AV29+AW29)/((1+Sheet1!$M$15)^(Sheet1!A75/12)))</f>
        <v>60.101938693645018</v>
      </c>
    </row>
    <row r="30" spans="1:50" x14ac:dyDescent="0.2">
      <c r="A30">
        <v>26</v>
      </c>
      <c r="B30" s="1">
        <v>37347</v>
      </c>
      <c r="C30" s="4">
        <f>SUM(Sheet1!D76:W76)-SUM(Sheet1!N76:O76)</f>
        <v>9956</v>
      </c>
      <c r="E30" s="4">
        <f t="shared" si="7"/>
        <v>0</v>
      </c>
      <c r="F30" s="4">
        <f>Sheet1!$M$17*Sheet2!C30</f>
        <v>0</v>
      </c>
      <c r="G30" s="4">
        <f>(Sheet1!$M$18/12)*(E30+F30)</f>
        <v>0</v>
      </c>
      <c r="H30" s="4">
        <f>+Sheet1!N371+Sheet1!O371</f>
        <v>0</v>
      </c>
      <c r="I30" s="4">
        <f>+Sheet1!N422+Sheet1!O422</f>
        <v>0</v>
      </c>
      <c r="J30" s="4">
        <f t="shared" si="8"/>
        <v>0</v>
      </c>
      <c r="K30" s="4"/>
      <c r="L30" s="4">
        <f>+Sheet1!$G$8-Sheet2!R29</f>
        <v>99131.344428926823</v>
      </c>
      <c r="M30" s="4">
        <f t="shared" si="9"/>
        <v>195868.65557107318</v>
      </c>
      <c r="N30" s="4">
        <f>(SUM(Sheet1!D76:W76)-SUM(Sheet1!N76:O76))*Sheet1!$G$16</f>
        <v>9956</v>
      </c>
      <c r="O30" s="4">
        <f>((Sheet1!$G$13+Sheet1!$G$11/10000)/12)*(M30+N30)</f>
        <v>1544.1137181488218</v>
      </c>
      <c r="P30" s="4">
        <f>SUM(Sheet1!N51:N75)+SUM(Sheet1!O51:O75)+Sheet1!N46+Sheet1!O46-H30</f>
        <v>65568</v>
      </c>
      <c r="Q30" s="4">
        <f>+Sheet1!N268+Sheet1!O268</f>
        <v>5281.7308852240485</v>
      </c>
      <c r="R30" s="4">
        <f t="shared" si="0"/>
        <v>136519.03840399795</v>
      </c>
      <c r="S30" s="4"/>
      <c r="U30" s="4">
        <f>L30*Sheet1!$G$10/10000/12</f>
        <v>67.120181123752531</v>
      </c>
      <c r="V30" s="4">
        <f t="shared" si="10"/>
        <v>65568</v>
      </c>
      <c r="W30" s="4">
        <f t="shared" si="11"/>
        <v>5281.7308852240485</v>
      </c>
      <c r="X30" s="4">
        <f t="shared" si="12"/>
        <v>0</v>
      </c>
      <c r="Y30" s="4">
        <f t="shared" si="13"/>
        <v>0</v>
      </c>
      <c r="Z30" s="4">
        <f t="shared" si="14"/>
        <v>70916.851066347808</v>
      </c>
      <c r="AA30" s="4">
        <f>+Sheet1!N158+Sheet1!O158</f>
        <v>0</v>
      </c>
      <c r="AB30" s="6">
        <f t="shared" si="1"/>
        <v>9956</v>
      </c>
      <c r="AC30" s="41">
        <f t="shared" si="15"/>
        <v>60960.851066347808</v>
      </c>
      <c r="AD30" s="41">
        <f>AC30/((1+Sheet1!$G$18/12)^(Sheet2!A30))</f>
        <v>49129.663607080845</v>
      </c>
      <c r="AE30" s="35"/>
      <c r="AF30" s="41">
        <f t="shared" si="2"/>
        <v>0</v>
      </c>
      <c r="AG30" s="35"/>
      <c r="AH30" s="35"/>
      <c r="AI30" s="35"/>
      <c r="AJ30" s="35"/>
      <c r="AM30" s="4">
        <f>+L30*Sheet1!$M$10/10000/12</f>
        <v>12.391418053615853</v>
      </c>
      <c r="AN30" s="4">
        <f t="shared" si="16"/>
        <v>65568</v>
      </c>
      <c r="AO30" s="4">
        <f>+Sheet1!N320+Sheet1!O320</f>
        <v>3282.0497050190265</v>
      </c>
      <c r="AP30" s="4">
        <f t="shared" si="3"/>
        <v>68862.441123072655</v>
      </c>
      <c r="AS30" s="6">
        <f t="shared" si="4"/>
        <v>54.728763070136679</v>
      </c>
      <c r="AT30" s="6">
        <f t="shared" si="5"/>
        <v>1999.681180205022</v>
      </c>
      <c r="AU30" s="6">
        <f t="shared" si="6"/>
        <v>0</v>
      </c>
      <c r="AV30" s="4">
        <f t="shared" si="17"/>
        <v>2054.4099432751586</v>
      </c>
      <c r="AX30" s="4">
        <f>((AV30+AW30)/((1+Sheet1!$M$15)^(Sheet1!A76/12)))</f>
        <v>1738.8774337875598</v>
      </c>
    </row>
    <row r="31" spans="1:50" x14ac:dyDescent="0.2">
      <c r="A31">
        <v>27</v>
      </c>
      <c r="B31" s="1">
        <v>37377</v>
      </c>
      <c r="C31" s="4">
        <f>SUM(Sheet1!D77:W77)</f>
        <v>9956</v>
      </c>
      <c r="E31" s="4">
        <f t="shared" si="7"/>
        <v>0</v>
      </c>
      <c r="F31" s="4">
        <f>Sheet1!$M$17*Sheet2!C31</f>
        <v>0</v>
      </c>
      <c r="G31" s="4">
        <f>(Sheet1!$M$18/12)*(E31+F31)</f>
        <v>0</v>
      </c>
      <c r="H31" s="4">
        <v>0</v>
      </c>
      <c r="J31" s="4">
        <f t="shared" si="8"/>
        <v>0</v>
      </c>
      <c r="K31" s="4"/>
      <c r="L31" s="4">
        <f>+Sheet1!$G$8-Sheet2!R30</f>
        <v>158480.96159600205</v>
      </c>
      <c r="M31" s="4">
        <f t="shared" si="9"/>
        <v>136519.03840399795</v>
      </c>
      <c r="N31" s="4">
        <f>SUM(Sheet1!D77:W77)*Sheet1!$G$16</f>
        <v>9956</v>
      </c>
      <c r="O31" s="4">
        <f>((Sheet1!$G$13+Sheet1!$G$11/10000)/12)*(M31+N31)</f>
        <v>1098.8679443599929</v>
      </c>
      <c r="P31" s="4">
        <v>0</v>
      </c>
      <c r="Q31" s="4"/>
      <c r="R31" s="4">
        <f t="shared" si="0"/>
        <v>147573.90634835794</v>
      </c>
      <c r="S31" s="4"/>
      <c r="U31" s="4">
        <f>L31*Sheet1!$G$10/10000/12</f>
        <v>107.30481774729306</v>
      </c>
      <c r="V31" s="4">
        <f t="shared" si="10"/>
        <v>0</v>
      </c>
      <c r="W31" s="4">
        <f t="shared" si="11"/>
        <v>0</v>
      </c>
      <c r="X31" s="4">
        <f t="shared" si="12"/>
        <v>0</v>
      </c>
      <c r="Y31" s="4">
        <f t="shared" si="13"/>
        <v>0</v>
      </c>
      <c r="Z31" s="4">
        <f t="shared" si="14"/>
        <v>107.30481774729306</v>
      </c>
      <c r="AA31" s="4"/>
      <c r="AB31" s="6">
        <f t="shared" si="1"/>
        <v>9956</v>
      </c>
      <c r="AC31" s="41">
        <f t="shared" si="15"/>
        <v>-9848.6951822527062</v>
      </c>
      <c r="AD31" s="41">
        <f>AC31/((1+Sheet1!$G$18/12)^(Sheet2!A31))</f>
        <v>-7871.6783712585302</v>
      </c>
      <c r="AE31" s="35"/>
      <c r="AF31" s="41">
        <f t="shared" si="2"/>
        <v>0</v>
      </c>
      <c r="AG31" s="35"/>
      <c r="AH31" s="35"/>
      <c r="AI31" s="35"/>
      <c r="AJ31" s="35"/>
      <c r="AM31" s="4">
        <f>+L31*Sheet1!$M$10/10000/12</f>
        <v>19.810120199500258</v>
      </c>
      <c r="AN31" s="4">
        <f t="shared" si="16"/>
        <v>0</v>
      </c>
      <c r="AO31" s="4"/>
      <c r="AP31" s="4">
        <f t="shared" si="3"/>
        <v>19.810120199500258</v>
      </c>
      <c r="AS31" s="6">
        <f t="shared" si="4"/>
        <v>87.494697547792796</v>
      </c>
      <c r="AT31" s="6">
        <f t="shared" si="5"/>
        <v>0</v>
      </c>
      <c r="AU31" s="6">
        <f t="shared" si="6"/>
        <v>0</v>
      </c>
      <c r="AV31" s="4">
        <f t="shared" si="17"/>
        <v>87.494697547792796</v>
      </c>
      <c r="AX31" s="4">
        <f>((AV31+AW31)/((1+Sheet1!$M$15)^(Sheet1!A77/12)))</f>
        <v>73.583134563039309</v>
      </c>
    </row>
    <row r="32" spans="1:50" x14ac:dyDescent="0.2">
      <c r="A32">
        <v>28</v>
      </c>
      <c r="B32" s="1">
        <v>37408</v>
      </c>
      <c r="C32" s="4">
        <f>SUM(Sheet1!D78:W78)</f>
        <v>9956</v>
      </c>
      <c r="E32" s="4">
        <f t="shared" si="7"/>
        <v>0</v>
      </c>
      <c r="F32" s="4">
        <f>Sheet1!$M$17*Sheet2!C32</f>
        <v>0</v>
      </c>
      <c r="G32" s="4">
        <f>(Sheet1!$M$18/12)*(E32+F32)</f>
        <v>0</v>
      </c>
      <c r="H32" s="4">
        <v>0</v>
      </c>
      <c r="J32" s="4">
        <f t="shared" si="8"/>
        <v>0</v>
      </c>
      <c r="K32" s="4"/>
      <c r="L32" s="4">
        <f>+Sheet1!$G$8-Sheet2!R31</f>
        <v>147426.09365164206</v>
      </c>
      <c r="M32" s="4">
        <f t="shared" si="9"/>
        <v>147573.90634835794</v>
      </c>
      <c r="N32" s="4">
        <f>SUM(Sheet1!D78:W78)*Sheet1!$G$16</f>
        <v>9956</v>
      </c>
      <c r="O32" s="4">
        <f>((Sheet1!$G$13+Sheet1!$G$11/10000)/12)*(M32+N32)</f>
        <v>1181.802484917577</v>
      </c>
      <c r="P32" s="4">
        <v>0</v>
      </c>
      <c r="Q32" s="4"/>
      <c r="R32" s="4">
        <f t="shared" si="0"/>
        <v>158711.70883327551</v>
      </c>
      <c r="S32" s="4"/>
      <c r="U32" s="4">
        <f>L32*Sheet1!$G$10/10000/12</f>
        <v>99.81975090996599</v>
      </c>
      <c r="V32" s="4">
        <f t="shared" si="10"/>
        <v>0</v>
      </c>
      <c r="W32" s="4">
        <f t="shared" si="11"/>
        <v>0</v>
      </c>
      <c r="X32" s="4">
        <f t="shared" si="12"/>
        <v>0</v>
      </c>
      <c r="Y32" s="4">
        <f t="shared" si="13"/>
        <v>0</v>
      </c>
      <c r="Z32" s="4">
        <f t="shared" si="14"/>
        <v>99.81975090996599</v>
      </c>
      <c r="AA32" s="4"/>
      <c r="AB32" s="6">
        <f t="shared" si="1"/>
        <v>9956</v>
      </c>
      <c r="AC32" s="41">
        <f t="shared" si="15"/>
        <v>-9856.1802490900336</v>
      </c>
      <c r="AD32" s="41">
        <f>AC32/((1+Sheet1!$G$18/12)^(Sheet2!A32))</f>
        <v>-7812.556258092407</v>
      </c>
      <c r="AE32" s="35"/>
      <c r="AF32" s="41">
        <f t="shared" si="2"/>
        <v>0</v>
      </c>
      <c r="AG32" s="35"/>
      <c r="AH32" s="35"/>
      <c r="AI32" s="35"/>
      <c r="AJ32" s="35"/>
      <c r="AM32" s="4">
        <f>+L32*Sheet1!$M$10/10000/12</f>
        <v>18.428261706455256</v>
      </c>
      <c r="AN32" s="4">
        <f t="shared" si="16"/>
        <v>0</v>
      </c>
      <c r="AO32" s="4"/>
      <c r="AP32" s="4">
        <f t="shared" si="3"/>
        <v>18.428261706455256</v>
      </c>
      <c r="AS32" s="6">
        <f t="shared" si="4"/>
        <v>81.39148920351073</v>
      </c>
      <c r="AT32" s="6">
        <f t="shared" si="5"/>
        <v>0</v>
      </c>
      <c r="AU32" s="6">
        <f t="shared" si="6"/>
        <v>0</v>
      </c>
      <c r="AV32" s="4">
        <f t="shared" si="17"/>
        <v>81.39148920351073</v>
      </c>
      <c r="AX32" s="4">
        <f>((AV32+AW32)/((1+Sheet1!$M$15)^(Sheet1!A78/12)))</f>
        <v>68.012733816479852</v>
      </c>
    </row>
    <row r="33" spans="1:50" x14ac:dyDescent="0.2">
      <c r="A33">
        <v>29</v>
      </c>
      <c r="B33" s="1">
        <v>37438</v>
      </c>
      <c r="C33" s="4">
        <f>SUM(Sheet1!D79:W79)</f>
        <v>9956</v>
      </c>
      <c r="E33" s="4">
        <f t="shared" si="7"/>
        <v>0</v>
      </c>
      <c r="F33" s="4">
        <f>Sheet1!$M$17*Sheet2!C33</f>
        <v>0</v>
      </c>
      <c r="G33" s="4">
        <f>(Sheet1!$M$18/12)*(E33+F33)</f>
        <v>0</v>
      </c>
      <c r="H33" s="4">
        <v>0</v>
      </c>
      <c r="J33" s="4">
        <f t="shared" si="8"/>
        <v>0</v>
      </c>
      <c r="K33" s="4"/>
      <c r="L33" s="4">
        <f>+Sheet1!$G$8-Sheet2!R32</f>
        <v>136288.29116672449</v>
      </c>
      <c r="M33" s="4">
        <f t="shared" si="9"/>
        <v>158711.70883327551</v>
      </c>
      <c r="N33" s="4">
        <f>SUM(Sheet1!D79:W79)*Sheet1!$G$16</f>
        <v>9956</v>
      </c>
      <c r="O33" s="4">
        <f>((Sheet1!$G$13+Sheet1!$G$11/10000)/12)*(M33+N33)</f>
        <v>1265.3592073096356</v>
      </c>
      <c r="P33" s="4">
        <v>0</v>
      </c>
      <c r="Q33" s="4"/>
      <c r="R33" s="4">
        <f t="shared" si="0"/>
        <v>169933.06804058515</v>
      </c>
      <c r="S33" s="4"/>
      <c r="U33" s="4">
        <f>L33*Sheet1!$G$10/10000/12</f>
        <v>92.278530477469701</v>
      </c>
      <c r="V33" s="4">
        <f t="shared" si="10"/>
        <v>0</v>
      </c>
      <c r="W33" s="4">
        <f t="shared" si="11"/>
        <v>0</v>
      </c>
      <c r="X33" s="4">
        <f t="shared" si="12"/>
        <v>0</v>
      </c>
      <c r="Y33" s="4">
        <f t="shared" si="13"/>
        <v>0</v>
      </c>
      <c r="Z33" s="4">
        <f t="shared" si="14"/>
        <v>92.278530477469701</v>
      </c>
      <c r="AA33" s="4"/>
      <c r="AB33" s="6">
        <f t="shared" si="1"/>
        <v>9956</v>
      </c>
      <c r="AC33" s="41">
        <f t="shared" si="15"/>
        <v>-9863.7214695225302</v>
      </c>
      <c r="AD33" s="41">
        <f>AC33/((1+Sheet1!$G$18/12)^(Sheet2!A33))</f>
        <v>-7753.9178663183329</v>
      </c>
      <c r="AE33" s="35"/>
      <c r="AF33" s="41">
        <f t="shared" si="2"/>
        <v>0</v>
      </c>
      <c r="AG33" s="35"/>
      <c r="AH33" s="35"/>
      <c r="AI33" s="35"/>
      <c r="AJ33" s="35"/>
      <c r="AM33" s="4">
        <f>+L33*Sheet1!$M$10/10000/12</f>
        <v>17.036036395840561</v>
      </c>
      <c r="AN33" s="4">
        <f t="shared" si="16"/>
        <v>0</v>
      </c>
      <c r="AO33" s="4"/>
      <c r="AP33" s="4">
        <f t="shared" si="3"/>
        <v>17.036036395840561</v>
      </c>
      <c r="AS33" s="6">
        <f t="shared" si="4"/>
        <v>75.242494081629133</v>
      </c>
      <c r="AT33" s="6">
        <f t="shared" si="5"/>
        <v>0</v>
      </c>
      <c r="AU33" s="6">
        <f t="shared" si="6"/>
        <v>0</v>
      </c>
      <c r="AV33" s="4">
        <f t="shared" si="17"/>
        <v>75.242494081629133</v>
      </c>
      <c r="AX33" s="4">
        <f>((AV33+AW33)/((1+Sheet1!$M$15)^(Sheet1!A79/12)))</f>
        <v>62.472531834173111</v>
      </c>
    </row>
    <row r="34" spans="1:50" x14ac:dyDescent="0.2">
      <c r="A34">
        <v>30</v>
      </c>
      <c r="B34" s="1">
        <v>37469</v>
      </c>
      <c r="C34" s="4">
        <f>SUM(Sheet1!D80:W80)</f>
        <v>9956</v>
      </c>
      <c r="E34" s="4">
        <f t="shared" si="7"/>
        <v>0</v>
      </c>
      <c r="F34" s="4">
        <f>Sheet1!$M$17*Sheet2!C34</f>
        <v>0</v>
      </c>
      <c r="G34" s="4">
        <f>(Sheet1!$M$18/12)*(E34+F34)</f>
        <v>0</v>
      </c>
      <c r="H34" s="4">
        <v>0</v>
      </c>
      <c r="J34" s="4">
        <f t="shared" si="8"/>
        <v>0</v>
      </c>
      <c r="K34" s="4"/>
      <c r="L34" s="4">
        <f>+Sheet1!$G$8-Sheet2!R33</f>
        <v>125066.93195941485</v>
      </c>
      <c r="M34" s="4">
        <f t="shared" si="9"/>
        <v>169933.06804058515</v>
      </c>
      <c r="N34" s="4">
        <f>SUM(Sheet1!D80:W80)*Sheet1!$G$16</f>
        <v>9956</v>
      </c>
      <c r="O34" s="4">
        <f>((Sheet1!$G$13+Sheet1!$G$11/10000)/12)*(M34+N34)</f>
        <v>1349.5427791961397</v>
      </c>
      <c r="P34" s="4">
        <v>0</v>
      </c>
      <c r="Q34" s="4"/>
      <c r="R34" s="4">
        <f t="shared" si="0"/>
        <v>181238.61081978129</v>
      </c>
      <c r="S34" s="4"/>
      <c r="U34" s="4">
        <f>L34*Sheet1!$G$10/10000/12</f>
        <v>84.680735180853802</v>
      </c>
      <c r="V34" s="4">
        <f t="shared" si="10"/>
        <v>0</v>
      </c>
      <c r="W34" s="4">
        <f t="shared" si="11"/>
        <v>0</v>
      </c>
      <c r="X34" s="4">
        <f t="shared" si="12"/>
        <v>0</v>
      </c>
      <c r="Y34" s="4">
        <f t="shared" si="13"/>
        <v>0</v>
      </c>
      <c r="Z34" s="4">
        <f t="shared" si="14"/>
        <v>84.680735180853802</v>
      </c>
      <c r="AA34" s="4"/>
      <c r="AB34" s="6">
        <f t="shared" si="1"/>
        <v>9956</v>
      </c>
      <c r="AC34" s="41">
        <f t="shared" si="15"/>
        <v>-9871.3192648191471</v>
      </c>
      <c r="AD34" s="41">
        <f>AC34/((1+Sheet1!$G$18/12)^(Sheet2!A34))</f>
        <v>-7695.759202270985</v>
      </c>
      <c r="AE34" s="35"/>
      <c r="AF34" s="41">
        <f t="shared" si="2"/>
        <v>0</v>
      </c>
      <c r="AG34" s="35"/>
      <c r="AH34" s="35"/>
      <c r="AI34" s="35"/>
      <c r="AJ34" s="35"/>
      <c r="AM34" s="4">
        <f>+L34*Sheet1!$M$10/10000/12</f>
        <v>15.633366494926856</v>
      </c>
      <c r="AN34" s="4">
        <f t="shared" si="16"/>
        <v>0</v>
      </c>
      <c r="AO34" s="4"/>
      <c r="AP34" s="4">
        <f t="shared" si="3"/>
        <v>15.633366494926856</v>
      </c>
      <c r="AS34" s="6">
        <f t="shared" si="4"/>
        <v>69.047368685926941</v>
      </c>
      <c r="AT34" s="6">
        <f t="shared" si="5"/>
        <v>0</v>
      </c>
      <c r="AU34" s="6">
        <f t="shared" si="6"/>
        <v>0</v>
      </c>
      <c r="AV34" s="4">
        <f t="shared" si="17"/>
        <v>69.047368685926941</v>
      </c>
      <c r="AX34" s="4">
        <f>((AV34+AW34)/((1+Sheet1!$M$15)^(Sheet1!A80/12)))</f>
        <v>56.962329814893764</v>
      </c>
    </row>
    <row r="35" spans="1:50" x14ac:dyDescent="0.2">
      <c r="A35">
        <v>31</v>
      </c>
      <c r="B35" s="1">
        <v>37500</v>
      </c>
      <c r="C35" s="4">
        <f>SUM(Sheet1!D81:W81)</f>
        <v>10300</v>
      </c>
      <c r="E35" s="4">
        <f t="shared" si="7"/>
        <v>0</v>
      </c>
      <c r="F35" s="4">
        <f>Sheet1!$M$17*Sheet2!C35</f>
        <v>0</v>
      </c>
      <c r="G35" s="4">
        <f>(Sheet1!$M$18/12)*(E35+F35)</f>
        <v>0</v>
      </c>
      <c r="H35" s="4">
        <v>0</v>
      </c>
      <c r="J35" s="4">
        <f t="shared" si="8"/>
        <v>0</v>
      </c>
      <c r="K35" s="4"/>
      <c r="L35" s="4">
        <f>+Sheet1!$G$8-Sheet2!R34</f>
        <v>113761.38918021871</v>
      </c>
      <c r="M35" s="4">
        <f t="shared" si="9"/>
        <v>181238.61081978129</v>
      </c>
      <c r="N35" s="4">
        <f>SUM(Sheet1!D81:W81)*Sheet1!$G$16</f>
        <v>10300</v>
      </c>
      <c r="O35" s="4">
        <f>((Sheet1!$G$13+Sheet1!$G$11/10000)/12)*(M35+N35)</f>
        <v>1436.9386199209007</v>
      </c>
      <c r="P35" s="4">
        <v>0</v>
      </c>
      <c r="Q35" s="4"/>
      <c r="R35" s="4">
        <f t="shared" si="0"/>
        <v>192975.54943970218</v>
      </c>
      <c r="S35" s="4"/>
      <c r="U35" s="4">
        <f>L35*Sheet1!$G$10/10000/12</f>
        <v>77.025940590773089</v>
      </c>
      <c r="V35" s="4">
        <f t="shared" si="10"/>
        <v>0</v>
      </c>
      <c r="W35" s="4">
        <f t="shared" si="11"/>
        <v>0</v>
      </c>
      <c r="X35" s="4">
        <f t="shared" si="12"/>
        <v>0</v>
      </c>
      <c r="Y35" s="4">
        <f t="shared" si="13"/>
        <v>0</v>
      </c>
      <c r="Z35" s="4">
        <f t="shared" si="14"/>
        <v>77.025940590773089</v>
      </c>
      <c r="AA35" s="4"/>
      <c r="AB35" s="6">
        <f t="shared" si="1"/>
        <v>10300</v>
      </c>
      <c r="AC35" s="41">
        <f t="shared" si="15"/>
        <v>-10222.974059409227</v>
      </c>
      <c r="AD35" s="41">
        <f>AC35/((1+Sheet1!$G$18/12)^(Sheet2!A35))</f>
        <v>-7904.0450418400078</v>
      </c>
      <c r="AE35" s="35"/>
      <c r="AF35" s="41">
        <f t="shared" si="2"/>
        <v>0</v>
      </c>
      <c r="AG35" s="35"/>
      <c r="AH35" s="35"/>
      <c r="AI35" s="35"/>
      <c r="AJ35" s="35"/>
      <c r="AM35" s="4">
        <f>+L35*Sheet1!$M$10/10000/12</f>
        <v>14.220173647527339</v>
      </c>
      <c r="AN35" s="4">
        <f t="shared" si="16"/>
        <v>0</v>
      </c>
      <c r="AO35" s="4"/>
      <c r="AP35" s="4">
        <f t="shared" si="3"/>
        <v>14.220173647527339</v>
      </c>
      <c r="AS35" s="6">
        <f t="shared" si="4"/>
        <v>62.80576694324575</v>
      </c>
      <c r="AT35" s="6">
        <f t="shared" si="5"/>
        <v>0</v>
      </c>
      <c r="AU35" s="6">
        <f t="shared" si="6"/>
        <v>0</v>
      </c>
      <c r="AV35" s="4">
        <f t="shared" si="17"/>
        <v>62.80576694324575</v>
      </c>
      <c r="AX35" s="4">
        <f>((AV35+AW35)/((1+Sheet1!$M$15)^(Sheet1!A81/12)))</f>
        <v>51.481930222237111</v>
      </c>
    </row>
    <row r="36" spans="1:50" x14ac:dyDescent="0.2">
      <c r="A36">
        <v>32</v>
      </c>
      <c r="B36" s="1">
        <v>37530</v>
      </c>
      <c r="C36" s="4">
        <f>SUM(Sheet1!D82:W82)</f>
        <v>24970</v>
      </c>
      <c r="E36" s="4">
        <f t="shared" si="7"/>
        <v>0</v>
      </c>
      <c r="F36" s="4">
        <f>Sheet1!$M$17*Sheet2!C36</f>
        <v>0</v>
      </c>
      <c r="G36" s="4">
        <f>(Sheet1!$M$18/12)*(E36+F36)</f>
        <v>0</v>
      </c>
      <c r="H36" s="4">
        <v>0</v>
      </c>
      <c r="J36" s="4">
        <f t="shared" si="8"/>
        <v>0</v>
      </c>
      <c r="K36" s="4"/>
      <c r="L36" s="4">
        <f>+Sheet1!$G$8-Sheet2!R35</f>
        <v>102024.45056029782</v>
      </c>
      <c r="M36" s="4">
        <f t="shared" si="9"/>
        <v>192975.54943970218</v>
      </c>
      <c r="N36" s="4">
        <f>SUM(Sheet1!D82:W82)*Sheet1!$G$16</f>
        <v>24970</v>
      </c>
      <c r="O36" s="4">
        <f>((Sheet1!$G$13+Sheet1!$G$11/10000)/12)*(M36+N36)</f>
        <v>1635.0456740257657</v>
      </c>
      <c r="P36" s="4">
        <v>0</v>
      </c>
      <c r="Q36" s="4"/>
      <c r="R36" s="4">
        <f t="shared" si="0"/>
        <v>219580.59511372796</v>
      </c>
      <c r="S36" s="4"/>
      <c r="U36" s="4">
        <f>L36*Sheet1!$G$10/10000/12</f>
        <v>69.079055066868321</v>
      </c>
      <c r="V36" s="4">
        <f t="shared" si="10"/>
        <v>0</v>
      </c>
      <c r="W36" s="4">
        <f t="shared" si="11"/>
        <v>0</v>
      </c>
      <c r="X36" s="4">
        <f t="shared" si="12"/>
        <v>0</v>
      </c>
      <c r="Y36" s="4">
        <f t="shared" si="13"/>
        <v>0</v>
      </c>
      <c r="Z36" s="4">
        <f t="shared" si="14"/>
        <v>69.079055066868321</v>
      </c>
      <c r="AA36" s="4"/>
      <c r="AB36" s="6">
        <f t="shared" si="1"/>
        <v>24970</v>
      </c>
      <c r="AC36" s="41">
        <f t="shared" si="15"/>
        <v>-24900.920944933132</v>
      </c>
      <c r="AD36" s="41">
        <f>AC36/((1+Sheet1!$G$18/12)^(Sheet2!A36))</f>
        <v>-19093.40711913694</v>
      </c>
      <c r="AE36" s="35"/>
      <c r="AF36" s="41">
        <f t="shared" si="2"/>
        <v>0</v>
      </c>
      <c r="AG36" s="35"/>
      <c r="AH36" s="35"/>
      <c r="AI36" s="35"/>
      <c r="AJ36" s="35"/>
      <c r="AM36" s="4">
        <f>+L36*Sheet1!$M$10/10000/12</f>
        <v>12.753056320037226</v>
      </c>
      <c r="AN36" s="4">
        <f t="shared" si="16"/>
        <v>0</v>
      </c>
      <c r="AO36" s="4"/>
      <c r="AP36" s="4">
        <f t="shared" si="3"/>
        <v>12.753056320037226</v>
      </c>
      <c r="AS36" s="6">
        <f t="shared" si="4"/>
        <v>56.325998746831097</v>
      </c>
      <c r="AT36" s="6">
        <f t="shared" si="5"/>
        <v>0</v>
      </c>
      <c r="AU36" s="6">
        <f t="shared" si="6"/>
        <v>0</v>
      </c>
      <c r="AV36" s="4">
        <f t="shared" si="17"/>
        <v>56.325998746831097</v>
      </c>
      <c r="AW36">
        <f>+Sheet1!P158+Sheet1!Q158</f>
        <v>4982</v>
      </c>
      <c r="AX36" s="4">
        <f>((AV36+AW36)/((1+Sheet1!$M$15)^(Sheet1!A82/12)))</f>
        <v>4103.5171226627635</v>
      </c>
    </row>
    <row r="37" spans="1:50" x14ac:dyDescent="0.2">
      <c r="A37">
        <v>33</v>
      </c>
      <c r="B37" s="1">
        <v>37561</v>
      </c>
      <c r="C37" s="4">
        <f>SUM(Sheet1!D83:W83)-SUM(Sheet1!P83:Q83)</f>
        <v>15820</v>
      </c>
      <c r="E37" s="4">
        <f t="shared" si="7"/>
        <v>0</v>
      </c>
      <c r="F37" s="4">
        <f>Sheet1!$M$17*Sheet2!C37</f>
        <v>0</v>
      </c>
      <c r="G37" s="4">
        <f>(Sheet1!$M$18/12)*(E37+F37)</f>
        <v>0</v>
      </c>
      <c r="H37" s="4">
        <f>+Sheet1!P371+Sheet1!Q371</f>
        <v>0</v>
      </c>
      <c r="I37" s="4">
        <f>+Sheet1!P422+Sheet1!Q422</f>
        <v>0</v>
      </c>
      <c r="J37" s="4">
        <f t="shared" si="8"/>
        <v>0</v>
      </c>
      <c r="K37" s="4"/>
      <c r="L37" s="4">
        <f>+Sheet1!$G$8-Sheet2!R36</f>
        <v>75419.404886272037</v>
      </c>
      <c r="M37" s="4">
        <f t="shared" si="9"/>
        <v>219580.59511372796</v>
      </c>
      <c r="N37" s="4">
        <f>(SUM(Sheet1!D83:W83)-SUM(Sheet1!P83:Q83))*Sheet1!$G$16</f>
        <v>15820</v>
      </c>
      <c r="O37" s="4">
        <f>((Sheet1!$G$13+Sheet1!$G$11/10000)/12)*(M37+N37)</f>
        <v>1765.9948812594466</v>
      </c>
      <c r="P37" s="4">
        <f>SUM(Sheet1!P51:P82)+SUM(Sheet1!Q51:Q82)+Sheet1!P46+Sheet1!Q46-H37</f>
        <v>65568</v>
      </c>
      <c r="Q37" s="4">
        <f>+Sheet1!P268+Sheet1!Q268</f>
        <v>5731.1241719374475</v>
      </c>
      <c r="R37" s="4">
        <f t="shared" si="0"/>
        <v>165867.46582304998</v>
      </c>
      <c r="S37" s="4"/>
      <c r="U37" s="4">
        <f>L37*Sheet1!$G$10/10000/12</f>
        <v>51.065222058413354</v>
      </c>
      <c r="V37" s="4">
        <f t="shared" si="10"/>
        <v>65568</v>
      </c>
      <c r="W37" s="4">
        <f t="shared" si="11"/>
        <v>5731.1241719374475</v>
      </c>
      <c r="X37" s="4">
        <f t="shared" si="12"/>
        <v>0</v>
      </c>
      <c r="Y37" s="4">
        <f t="shared" si="13"/>
        <v>0</v>
      </c>
      <c r="Z37" s="4">
        <f t="shared" si="14"/>
        <v>71350.189393995868</v>
      </c>
      <c r="AA37" s="4">
        <f>+Sheet1!P158+Sheet1!Q158</f>
        <v>4982</v>
      </c>
      <c r="AB37" s="6">
        <f t="shared" si="1"/>
        <v>15820</v>
      </c>
      <c r="AC37" s="41">
        <f t="shared" si="15"/>
        <v>60512.189393995868</v>
      </c>
      <c r="AD37" s="41">
        <f>AC37/((1+Sheet1!$G$18/12)^(Sheet2!A37))</f>
        <v>46015.77762113561</v>
      </c>
      <c r="AE37" s="35"/>
      <c r="AF37" s="41">
        <f t="shared" si="2"/>
        <v>4982</v>
      </c>
      <c r="AG37" s="35"/>
      <c r="AH37" s="35"/>
      <c r="AI37" s="35"/>
      <c r="AJ37" s="35"/>
      <c r="AM37" s="4">
        <f>+L37*Sheet1!$M$10/10000/12</f>
        <v>9.4274256107840042</v>
      </c>
      <c r="AN37" s="4">
        <f t="shared" si="16"/>
        <v>65568</v>
      </c>
      <c r="AO37" s="4">
        <f>+Sheet1!P320+Sheet1!Q320</f>
        <v>3367.1069095025091</v>
      </c>
      <c r="AP37" s="4">
        <f t="shared" si="3"/>
        <v>68944.534335113305</v>
      </c>
      <c r="AS37" s="6">
        <f t="shared" si="4"/>
        <v>41.637796447629349</v>
      </c>
      <c r="AT37" s="6">
        <f t="shared" si="5"/>
        <v>2364.0172624349384</v>
      </c>
      <c r="AU37" s="6">
        <f t="shared" si="6"/>
        <v>0</v>
      </c>
      <c r="AV37" s="4">
        <f t="shared" si="17"/>
        <v>2405.6550588825676</v>
      </c>
      <c r="AX37" s="4">
        <f>((AV37+AW37)/((1+Sheet1!$M$15)^(Sheet1!A83/12)))</f>
        <v>1946.7851617902145</v>
      </c>
    </row>
    <row r="38" spans="1:50" x14ac:dyDescent="0.2">
      <c r="A38">
        <v>34</v>
      </c>
      <c r="B38" s="1">
        <v>37591</v>
      </c>
      <c r="C38" s="4">
        <f>SUM(Sheet1!D84:W84)</f>
        <v>31300</v>
      </c>
      <c r="E38" s="4">
        <f t="shared" si="7"/>
        <v>0</v>
      </c>
      <c r="F38" s="4">
        <f>Sheet1!$M$17*Sheet2!C38</f>
        <v>0</v>
      </c>
      <c r="G38" s="4">
        <f>(Sheet1!$M$18/12)*(E38+F38)</f>
        <v>0</v>
      </c>
      <c r="H38" s="4">
        <v>0</v>
      </c>
      <c r="J38" s="4">
        <f t="shared" si="8"/>
        <v>0</v>
      </c>
      <c r="K38" s="4"/>
      <c r="L38" s="4">
        <f>+Sheet1!$G$8-Sheet2!R37</f>
        <v>129132.53417695002</v>
      </c>
      <c r="M38" s="4">
        <f t="shared" si="9"/>
        <v>165867.46582304998</v>
      </c>
      <c r="N38" s="4">
        <f>SUM(Sheet1!D84:W84)*Sheet1!$G$16</f>
        <v>31300</v>
      </c>
      <c r="O38" s="4">
        <f>((Sheet1!$G$13+Sheet1!$G$11/10000)/12)*(M38+N38)</f>
        <v>1479.1667592266726</v>
      </c>
      <c r="P38" s="4">
        <v>0</v>
      </c>
      <c r="Q38" s="4"/>
      <c r="R38" s="4">
        <f t="shared" si="0"/>
        <v>198646.63258227665</v>
      </c>
      <c r="S38" s="4"/>
      <c r="U38" s="4">
        <f>L38*Sheet1!$G$10/10000/12</f>
        <v>87.433486682309919</v>
      </c>
      <c r="V38" s="4">
        <f t="shared" si="10"/>
        <v>0</v>
      </c>
      <c r="W38" s="4">
        <f t="shared" si="11"/>
        <v>0</v>
      </c>
      <c r="X38" s="4">
        <f t="shared" si="12"/>
        <v>0</v>
      </c>
      <c r="Y38" s="4">
        <f t="shared" si="13"/>
        <v>0</v>
      </c>
      <c r="Z38" s="4">
        <f t="shared" si="14"/>
        <v>87.433486682309919</v>
      </c>
      <c r="AA38" s="4"/>
      <c r="AB38" s="6">
        <f t="shared" si="1"/>
        <v>31300</v>
      </c>
      <c r="AC38" s="41">
        <f t="shared" si="15"/>
        <v>-31212.566513317692</v>
      </c>
      <c r="AD38" s="41">
        <f>AC38/((1+Sheet1!$G$18/12)^(Sheet2!A38))</f>
        <v>-23539.067576826717</v>
      </c>
      <c r="AE38" s="35"/>
      <c r="AF38" s="41">
        <f t="shared" si="2"/>
        <v>0</v>
      </c>
      <c r="AG38" s="35"/>
      <c r="AH38" s="35"/>
      <c r="AI38" s="35"/>
      <c r="AJ38" s="35"/>
      <c r="AM38" s="4">
        <f>+L38*Sheet1!$M$10/10000/12</f>
        <v>16.141566772118754</v>
      </c>
      <c r="AN38" s="4">
        <f t="shared" si="16"/>
        <v>0</v>
      </c>
      <c r="AO38" s="4"/>
      <c r="AP38" s="4">
        <f t="shared" si="3"/>
        <v>16.141566772118754</v>
      </c>
      <c r="AS38" s="6">
        <f t="shared" si="4"/>
        <v>71.291919910191169</v>
      </c>
      <c r="AT38" s="6">
        <f t="shared" si="5"/>
        <v>0</v>
      </c>
      <c r="AU38" s="6">
        <f t="shared" si="6"/>
        <v>0</v>
      </c>
      <c r="AV38" s="4">
        <f t="shared" si="17"/>
        <v>71.291919910191169</v>
      </c>
      <c r="AW38">
        <f>+Sheet1!R158+Sheet1!S158</f>
        <v>0</v>
      </c>
      <c r="AX38" s="4">
        <f>((AV38+AW38)/((1+Sheet1!$M$15)^(Sheet1!A84/12)))</f>
        <v>57.324420091349801</v>
      </c>
    </row>
    <row r="39" spans="1:50" x14ac:dyDescent="0.2">
      <c r="A39">
        <v>35</v>
      </c>
      <c r="B39" s="1">
        <v>37622</v>
      </c>
      <c r="C39" s="4">
        <f>SUM(Sheet1!D85:W85)-SUM(Sheet1!R85:U85)</f>
        <v>2500</v>
      </c>
      <c r="E39" s="4">
        <f t="shared" si="7"/>
        <v>0</v>
      </c>
      <c r="F39" s="4">
        <f>Sheet1!$M$17*Sheet2!C39</f>
        <v>0</v>
      </c>
      <c r="G39" s="4">
        <f>(Sheet1!$M$18/12)*(E39+F39)</f>
        <v>0</v>
      </c>
      <c r="H39" s="4">
        <f>+Sheet1!R371+Sheet1!S371+Sheet1!T371+Sheet1!U371</f>
        <v>0</v>
      </c>
      <c r="I39" s="4">
        <f>+Sheet1!R422+Sheet1!S422+Sheet1!T422+Sheet1!U422</f>
        <v>0</v>
      </c>
      <c r="J39" s="4">
        <f t="shared" si="8"/>
        <v>0</v>
      </c>
      <c r="K39" s="4"/>
      <c r="L39" s="4">
        <f>+Sheet1!$G$8-Sheet2!R38</f>
        <v>96353.367417723348</v>
      </c>
      <c r="M39" s="4">
        <f t="shared" si="9"/>
        <v>198646.63258227665</v>
      </c>
      <c r="N39" s="4">
        <f>(SUM(Sheet1!D85:W85)-SUM(Sheet1!R85:U85))*Sheet1!$G$16</f>
        <v>2500</v>
      </c>
      <c r="O39" s="4">
        <f>((Sheet1!$G$13+Sheet1!$G$11/10000)/12)*(M39+N39)</f>
        <v>1509.0187998516212</v>
      </c>
      <c r="P39" s="4">
        <f>SUM(Sheet1!R51:R84)+SUM(Sheet1!S51:S84)+SUM(Sheet1!T51:T84)+SUM(Sheet1!U51:U84)+Sheet1!R46+Sheet1!S46+Sheet1!T46+Sheet1!U46-H39</f>
        <v>138600</v>
      </c>
      <c r="Q39" s="4">
        <f>+Sheet1!R268+Sheet1!S268+Sheet1!T268+Sheet1!U268</f>
        <v>12265.425356253603</v>
      </c>
      <c r="R39" s="4">
        <f t="shared" si="0"/>
        <v>51790.226025874668</v>
      </c>
      <c r="S39" s="4"/>
      <c r="U39" s="4">
        <f>L39*Sheet1!$G$10/10000/12</f>
        <v>65.239259189083512</v>
      </c>
      <c r="V39" s="4">
        <f t="shared" si="10"/>
        <v>138600</v>
      </c>
      <c r="W39" s="4">
        <f t="shared" si="11"/>
        <v>12265.425356253603</v>
      </c>
      <c r="X39" s="4">
        <f t="shared" si="12"/>
        <v>0</v>
      </c>
      <c r="Y39" s="4">
        <f t="shared" si="13"/>
        <v>0</v>
      </c>
      <c r="Z39" s="4">
        <f t="shared" si="14"/>
        <v>150930.66461544269</v>
      </c>
      <c r="AA39" s="4">
        <f>+Sheet1!R158+Sheet1!S158+Sheet1!T158+Sheet1!U158</f>
        <v>0</v>
      </c>
      <c r="AB39" s="6">
        <f t="shared" si="1"/>
        <v>2500</v>
      </c>
      <c r="AC39" s="41">
        <f t="shared" si="15"/>
        <v>148430.66461544269</v>
      </c>
      <c r="AD39" s="41">
        <f>AC39/((1+Sheet1!$G$18/12)^(Sheet2!A39))</f>
        <v>111014.39146520976</v>
      </c>
      <c r="AE39" s="35"/>
      <c r="AF39" s="41">
        <f t="shared" si="2"/>
        <v>0</v>
      </c>
      <c r="AG39" s="35"/>
      <c r="AH39" s="35"/>
      <c r="AI39" s="35"/>
      <c r="AJ39" s="35"/>
      <c r="AM39" s="4">
        <f>+L39*Sheet1!$M$10/10000/12</f>
        <v>12.044170927215418</v>
      </c>
      <c r="AN39" s="4">
        <f t="shared" si="16"/>
        <v>138600</v>
      </c>
      <c r="AO39" s="4">
        <f>+Sheet1!R320+Sheet1!S320+Sheet1!T320+Sheet1!U320</f>
        <v>7940.4884376872633</v>
      </c>
      <c r="AP39" s="4">
        <f t="shared" si="3"/>
        <v>146552.53260861448</v>
      </c>
      <c r="AS39" s="6">
        <f t="shared" si="4"/>
        <v>53.195088261868094</v>
      </c>
      <c r="AT39" s="6">
        <f t="shared" si="5"/>
        <v>4324.93691856634</v>
      </c>
      <c r="AU39" s="6">
        <f t="shared" si="6"/>
        <v>0</v>
      </c>
      <c r="AV39" s="4">
        <f t="shared" si="17"/>
        <v>4378.1320068282084</v>
      </c>
      <c r="AW39">
        <f>+Sheet1!T158+Sheet1!U158</f>
        <v>0</v>
      </c>
      <c r="AX39" s="4">
        <f>((AV39+AW39)/((1+Sheet1!$M$15)^(Sheet1!A85/12)))</f>
        <v>3497.8638291813609</v>
      </c>
    </row>
    <row r="40" spans="1:50" x14ac:dyDescent="0.2">
      <c r="A40">
        <v>36</v>
      </c>
      <c r="B40" s="1">
        <v>37653</v>
      </c>
      <c r="C40" s="4">
        <f>SUM(Sheet1!D86:W86)</f>
        <v>2856</v>
      </c>
      <c r="E40" s="4">
        <f t="shared" si="7"/>
        <v>0</v>
      </c>
      <c r="F40" s="4">
        <f>Sheet1!$M$17*Sheet2!C40</f>
        <v>0</v>
      </c>
      <c r="G40" s="4">
        <f>(Sheet1!$M$18/12)*(E40+F40)</f>
        <v>0</v>
      </c>
      <c r="H40" s="4">
        <v>0</v>
      </c>
      <c r="J40" s="4">
        <f t="shared" si="8"/>
        <v>0</v>
      </c>
      <c r="K40" s="4"/>
      <c r="L40" s="4">
        <f>+Sheet1!$G$8-Sheet2!R39</f>
        <v>243209.77397412533</v>
      </c>
      <c r="M40" s="4">
        <f t="shared" si="9"/>
        <v>51790.226025874668</v>
      </c>
      <c r="N40" s="4">
        <f>SUM(Sheet1!D86:W86)*Sheet1!$G$16</f>
        <v>2856</v>
      </c>
      <c r="O40" s="4">
        <f>((Sheet1!$G$13+Sheet1!$G$11/10000)/12)*(M40+N40)</f>
        <v>409.96054149828058</v>
      </c>
      <c r="P40" s="4">
        <v>0</v>
      </c>
      <c r="Q40" s="4"/>
      <c r="R40" s="4">
        <f t="shared" si="0"/>
        <v>55056.186567372948</v>
      </c>
      <c r="S40" s="4"/>
      <c r="U40" s="4">
        <f>L40*Sheet1!$G$10/10000/12</f>
        <v>164.67328446164737</v>
      </c>
      <c r="V40" s="4">
        <f t="shared" si="10"/>
        <v>0</v>
      </c>
      <c r="W40" s="4">
        <f t="shared" si="11"/>
        <v>0</v>
      </c>
      <c r="X40" s="4">
        <f t="shared" si="12"/>
        <v>0</v>
      </c>
      <c r="Y40" s="4">
        <f t="shared" si="13"/>
        <v>0</v>
      </c>
      <c r="Z40" s="4">
        <f t="shared" si="14"/>
        <v>164.67328446164737</v>
      </c>
      <c r="AA40" s="4"/>
      <c r="AB40" s="6">
        <f t="shared" si="1"/>
        <v>2856</v>
      </c>
      <c r="AC40" s="41">
        <f t="shared" si="15"/>
        <v>-2691.3267155383528</v>
      </c>
      <c r="AD40" s="41">
        <f>AC40/((1+Sheet1!$G$18/12)^(Sheet2!A40))</f>
        <v>-1996.2638798856217</v>
      </c>
      <c r="AE40" s="35"/>
      <c r="AF40" s="41">
        <f t="shared" si="2"/>
        <v>0</v>
      </c>
      <c r="AG40" s="35"/>
      <c r="AH40" s="35"/>
      <c r="AI40" s="35"/>
      <c r="AJ40" s="35"/>
      <c r="AM40" s="4">
        <f>+L40*Sheet1!$M$10/10000/12</f>
        <v>30.401221746765668</v>
      </c>
      <c r="AN40" s="4">
        <f t="shared" si="16"/>
        <v>0</v>
      </c>
      <c r="AO40" s="4"/>
      <c r="AP40" s="4">
        <f t="shared" si="3"/>
        <v>30.401221746765668</v>
      </c>
      <c r="AS40" s="6">
        <f t="shared" si="4"/>
        <v>134.27206271488171</v>
      </c>
      <c r="AT40" s="6">
        <f t="shared" si="5"/>
        <v>0</v>
      </c>
      <c r="AU40" s="6">
        <f t="shared" si="6"/>
        <v>0</v>
      </c>
      <c r="AV40" s="4">
        <f t="shared" si="17"/>
        <v>134.27206271488171</v>
      </c>
      <c r="AX40" s="4">
        <f>((AV40+AW40)/((1+Sheet1!$M$15)^(Sheet1!A86/12)))</f>
        <v>106.58949245135531</v>
      </c>
    </row>
    <row r="41" spans="1:50" x14ac:dyDescent="0.2">
      <c r="A41">
        <v>37</v>
      </c>
      <c r="B41" s="1">
        <v>37681</v>
      </c>
      <c r="C41" s="4">
        <f>SUM(Sheet1!D87:W87)</f>
        <v>17850</v>
      </c>
      <c r="E41" s="4">
        <f t="shared" si="7"/>
        <v>0</v>
      </c>
      <c r="F41" s="4">
        <f>Sheet1!$M$17*Sheet2!C41</f>
        <v>0</v>
      </c>
      <c r="G41" s="4">
        <f>(Sheet1!$M$18/12)*(E41+F41)</f>
        <v>0</v>
      </c>
      <c r="H41" s="4">
        <v>0</v>
      </c>
      <c r="J41" s="4">
        <f t="shared" si="8"/>
        <v>0</v>
      </c>
      <c r="K41" s="4"/>
      <c r="L41" s="4">
        <f>+Sheet1!$G$8-Sheet2!R40</f>
        <v>239943.81343262707</v>
      </c>
      <c r="M41" s="4">
        <f t="shared" si="9"/>
        <v>55056.186567372948</v>
      </c>
      <c r="N41" s="4">
        <f>SUM(Sheet1!D87:W87)*Sheet1!$G$16</f>
        <v>17850</v>
      </c>
      <c r="O41" s="4">
        <f>((Sheet1!$G$13+Sheet1!$G$11/10000)/12)*(M41+N41)</f>
        <v>546.94828714397909</v>
      </c>
      <c r="P41" s="4">
        <v>0</v>
      </c>
      <c r="Q41" s="4"/>
      <c r="R41" s="4">
        <f t="shared" si="0"/>
        <v>73453.134854516931</v>
      </c>
      <c r="S41" s="4"/>
      <c r="U41" s="4">
        <f>L41*Sheet1!$G$10/10000/12</f>
        <v>162.46195701167457</v>
      </c>
      <c r="V41" s="4">
        <f t="shared" si="10"/>
        <v>0</v>
      </c>
      <c r="W41" s="4">
        <f t="shared" si="11"/>
        <v>0</v>
      </c>
      <c r="X41" s="4">
        <f t="shared" si="12"/>
        <v>0</v>
      </c>
      <c r="Y41" s="4">
        <f t="shared" si="13"/>
        <v>0</v>
      </c>
      <c r="Z41" s="4">
        <f t="shared" si="14"/>
        <v>162.46195701167457</v>
      </c>
      <c r="AA41" s="4"/>
      <c r="AB41" s="6">
        <f t="shared" si="1"/>
        <v>17850</v>
      </c>
      <c r="AC41" s="41">
        <f t="shared" si="15"/>
        <v>-17687.538042988326</v>
      </c>
      <c r="AD41" s="41">
        <f>AC41/((1+Sheet1!$G$18/12)^(Sheet2!A41))</f>
        <v>-13011.123196231007</v>
      </c>
      <c r="AE41" s="35"/>
      <c r="AF41" s="41">
        <f t="shared" si="2"/>
        <v>0</v>
      </c>
      <c r="AG41" s="35"/>
      <c r="AH41" s="35"/>
      <c r="AI41" s="35"/>
      <c r="AJ41" s="35"/>
      <c r="AM41" s="4">
        <f>+L41*Sheet1!$M$10/10000/12</f>
        <v>29.992976679078385</v>
      </c>
      <c r="AN41" s="4">
        <f t="shared" si="16"/>
        <v>0</v>
      </c>
      <c r="AO41" s="4"/>
      <c r="AP41" s="4">
        <f t="shared" si="3"/>
        <v>29.992976679078385</v>
      </c>
      <c r="AS41" s="6">
        <f t="shared" si="4"/>
        <v>132.46898033259617</v>
      </c>
      <c r="AT41" s="6">
        <f t="shared" si="5"/>
        <v>0</v>
      </c>
      <c r="AU41" s="6">
        <f t="shared" si="6"/>
        <v>0</v>
      </c>
      <c r="AV41" s="4">
        <f t="shared" si="17"/>
        <v>132.46898033259617</v>
      </c>
      <c r="AX41" s="4">
        <f>((AV41+AW41)/((1+Sheet1!$M$15)^(Sheet1!A87/12)))</f>
        <v>104.48588221086659</v>
      </c>
    </row>
    <row r="42" spans="1:50" ht="15" x14ac:dyDescent="0.35">
      <c r="A42">
        <v>38</v>
      </c>
      <c r="B42" s="1">
        <v>37712</v>
      </c>
      <c r="C42" s="4">
        <f>SUM(Sheet1!D88:W88)-SUM(Sheet1!V88:W88)</f>
        <v>0</v>
      </c>
      <c r="E42" s="4">
        <f t="shared" si="7"/>
        <v>0</v>
      </c>
      <c r="F42" s="4">
        <f>Sheet1!$M$17*Sheet2!C42</f>
        <v>0</v>
      </c>
      <c r="G42" s="4">
        <f>(Sheet1!$M$18/12)*(E42+F42)</f>
        <v>0</v>
      </c>
      <c r="H42" s="4">
        <f>+Sheet1!V371+Sheet1!W371</f>
        <v>0</v>
      </c>
      <c r="I42" s="4">
        <f>+Sheet1!V422+Sheet1!W422</f>
        <v>0</v>
      </c>
      <c r="J42" s="4">
        <f t="shared" si="8"/>
        <v>0</v>
      </c>
      <c r="K42" s="4"/>
      <c r="L42" s="4">
        <f>+Sheet1!$G$8-Sheet2!R41</f>
        <v>221546.86514548305</v>
      </c>
      <c r="M42" s="4">
        <f t="shared" si="9"/>
        <v>73453.134854516931</v>
      </c>
      <c r="N42" s="4">
        <f>(SUM(Sheet1!D88:W88)-SUM(Sheet1!V88:W88))*Sheet1!$G$16</f>
        <v>0</v>
      </c>
      <c r="O42" s="4">
        <f>((Sheet1!$G$13+Sheet1!$G$11/10000)/12)*(M42+N42)</f>
        <v>551.05153877315718</v>
      </c>
      <c r="P42" s="4">
        <f>SUM(Sheet1!V51:V87)+SUM(Sheet1!W51:W87)+Sheet1!V46+Sheet1!W46-H42</f>
        <v>67848</v>
      </c>
      <c r="Q42" s="4">
        <f>+Sheet1!V268+Sheet1!W268</f>
        <v>6156.1863932895885</v>
      </c>
      <c r="R42" s="4">
        <f t="shared" si="0"/>
        <v>5.0022208597511053E-10</v>
      </c>
      <c r="S42" s="4"/>
      <c r="U42" s="4">
        <f>L42*Sheet1!$G$10/10000/12</f>
        <v>150.00568994225415</v>
      </c>
      <c r="V42" s="4">
        <f t="shared" si="10"/>
        <v>67848</v>
      </c>
      <c r="W42" s="4">
        <f t="shared" si="11"/>
        <v>6156.1863932895885</v>
      </c>
      <c r="X42" s="4">
        <f t="shared" si="12"/>
        <v>0</v>
      </c>
      <c r="Y42" s="4">
        <f t="shared" si="13"/>
        <v>0</v>
      </c>
      <c r="Z42" s="4">
        <f t="shared" si="14"/>
        <v>74154.192083231843</v>
      </c>
      <c r="AA42" s="4">
        <f>+Sheet1!V158+Sheet1!W158</f>
        <v>0</v>
      </c>
      <c r="AB42" s="6">
        <f t="shared" si="1"/>
        <v>0</v>
      </c>
      <c r="AC42" s="41">
        <f t="shared" si="15"/>
        <v>74154.192083231843</v>
      </c>
      <c r="AD42" s="42">
        <f>AC42/((1+Sheet1!$G$18/12)^(Sheet2!A42))</f>
        <v>54097.722943762987</v>
      </c>
      <c r="AE42" s="35"/>
      <c r="AF42" s="41">
        <f t="shared" si="2"/>
        <v>0</v>
      </c>
      <c r="AG42" s="35"/>
      <c r="AH42" s="35"/>
      <c r="AI42" s="35"/>
      <c r="AJ42" s="35"/>
      <c r="AM42" s="4">
        <f>+L42*Sheet1!$M$10/10000/12</f>
        <v>27.693358143185382</v>
      </c>
      <c r="AN42" s="4">
        <f t="shared" si="16"/>
        <v>67848</v>
      </c>
      <c r="AO42" s="4">
        <f>+Sheet1!V320+Sheet1!W320</f>
        <v>3910.2198240298499</v>
      </c>
      <c r="AP42" s="4">
        <f t="shared" si="3"/>
        <v>71785.913182173026</v>
      </c>
      <c r="AS42" s="6">
        <f t="shared" si="4"/>
        <v>122.31233179906877</v>
      </c>
      <c r="AT42" s="6">
        <f t="shared" si="5"/>
        <v>2245.9665692597387</v>
      </c>
      <c r="AU42" s="6">
        <f t="shared" si="6"/>
        <v>0</v>
      </c>
      <c r="AV42" s="4">
        <f t="shared" si="17"/>
        <v>2368.2789010588076</v>
      </c>
      <c r="AW42">
        <f>Sheet1!V158+Sheet1!W158</f>
        <v>0</v>
      </c>
      <c r="AX42" s="18">
        <f>((AV42+AW42)/((1+Sheet1!$M$15)^(Sheet1!A88/12)))</f>
        <v>1856.0554790595775</v>
      </c>
    </row>
    <row r="43" spans="1:50" x14ac:dyDescent="0.2">
      <c r="AD43" s="43">
        <f>SUM(AD5:AD42)</f>
        <v>69756.879951481576</v>
      </c>
      <c r="AE43" s="37"/>
      <c r="AF43" s="37"/>
      <c r="AG43" s="37"/>
      <c r="AH43" s="37"/>
      <c r="AI43" s="37"/>
      <c r="AJ43" s="37"/>
      <c r="AU43" s="6"/>
      <c r="AX43" s="6">
        <f>SUM(AX5:AX42)</f>
        <v>39352.528764009468</v>
      </c>
    </row>
    <row r="44" spans="1:50" x14ac:dyDescent="0.2">
      <c r="M44" s="4"/>
      <c r="AF44" s="6">
        <f>SUM(AF5:AF43)</f>
        <v>16423</v>
      </c>
    </row>
    <row r="45" spans="1:50" x14ac:dyDescent="0.2">
      <c r="M45" s="4"/>
    </row>
    <row r="46" spans="1:50" x14ac:dyDescent="0.2">
      <c r="M46" s="4"/>
    </row>
    <row r="47" spans="1:50" x14ac:dyDescent="0.2">
      <c r="M47" s="4"/>
    </row>
    <row r="48" spans="1:50" x14ac:dyDescent="0.2">
      <c r="M48" s="4"/>
    </row>
  </sheetData>
  <pageMargins left="0.75" right="0.75" top="0.75" bottom="0.75" header="0" footer="0"/>
  <pageSetup paperSize="5" scale="45" orientation="landscape" horizontalDpi="0" r:id="rId1"/>
  <headerFooter alignWithMargins="0">
    <oddFooter>&amp;L&amp;F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Summary</vt:lpstr>
      <vt:lpstr>Sheet1</vt:lpstr>
      <vt:lpstr>Sheet2</vt:lpstr>
      <vt:lpstr>Sheet1!Print_Area</vt:lpstr>
      <vt:lpstr>Sheet2!Print_Area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D. Herron</dc:creator>
  <cp:lastModifiedBy>Jan Havlíček</cp:lastModifiedBy>
  <cp:lastPrinted>2000-04-12T20:59:09Z</cp:lastPrinted>
  <dcterms:created xsi:type="dcterms:W3CDTF">2000-04-06T15:12:23Z</dcterms:created>
  <dcterms:modified xsi:type="dcterms:W3CDTF">2023-09-13T22:55:26Z</dcterms:modified>
</cp:coreProperties>
</file>