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AB27D9-08BB-4050-AEFA-D093745990CE}" xr6:coauthVersionLast="47" xr6:coauthVersionMax="47" xr10:uidLastSave="{00000000-0000-0000-0000-000000000000}"/>
  <bookViews>
    <workbookView xWindow="-120" yWindow="-120" windowWidth="38640" windowHeight="15720" tabRatio="915" firstSheet="2" activeTab="9"/>
  </bookViews>
  <sheets>
    <sheet name="Notes" sheetId="23" r:id="rId1"/>
    <sheet name="Tracking Sheet" sheetId="16" r:id="rId2"/>
    <sheet name="Assumptions" sheetId="2" r:id="rId3"/>
    <sheet name="IS" sheetId="4" r:id="rId4"/>
    <sheet name="Capital Budget" sheetId="29" r:id="rId5"/>
    <sheet name="Gas Curve" sheetId="26" r:id="rId6"/>
    <sheet name="Fixed and Variable Costs" sheetId="30" r:id="rId7"/>
    <sheet name="Returns Analysis" sheetId="25" r:id="rId8"/>
    <sheet name="Price_Technical Assumption" sheetId="3" r:id="rId9"/>
    <sheet name="Cash Flows" sheetId="33" r:id="rId10"/>
    <sheet name="Summary" sheetId="34" r:id="rId11"/>
    <sheet name="Amortization" sheetId="35" r:id="rId12"/>
    <sheet name="Debt Structs" sheetId="32" r:id="rId13"/>
    <sheet name="Performance" sheetId="27" r:id="rId14"/>
    <sheet name="Perf." sheetId="28" r:id="rId15"/>
    <sheet name="BS" sheetId="19" state="hidden" r:id="rId16"/>
    <sheet name="Debt" sheetId="6" r:id="rId17"/>
    <sheet name="Depreciation" sheetId="7" r:id="rId18"/>
    <sheet name="Taxes" sheetId="8" r:id="rId19"/>
    <sheet name="IDC" sheetId="18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11">Amortization!$A$1:$W$41</definedName>
    <definedName name="_xlnm.Print_Area" localSheetId="2">Assumptions!$A$3:$P$80</definedName>
    <definedName name="_xlnm.Print_Area" localSheetId="15">BS!$A$2:$AH$9</definedName>
    <definedName name="_xlnm.Print_Area" localSheetId="9">'Cash Flows'!$A$60:$W$100</definedName>
    <definedName name="_xlnm.Print_Area" localSheetId="16">Debt!$A$2:$AF$69</definedName>
    <definedName name="_xlnm.Print_Area" localSheetId="12">'Debt Structs'!$A$2:$P$50</definedName>
    <definedName name="_xlnm.Print_Area" localSheetId="17">Depreciation!$A$2:$X$50</definedName>
    <definedName name="_xlnm.Print_Area" localSheetId="19">IDC!$A$2:$L$59</definedName>
    <definedName name="_xlnm.Print_Area" localSheetId="3">IS!$A$2:$W$46</definedName>
    <definedName name="_xlnm.Print_Area" localSheetId="7">'Returns Analysis'!$A$1:$W$60</definedName>
    <definedName name="_xlnm.Print_Area" localSheetId="10">Summary!$A$1:$H$38</definedName>
    <definedName name="_xlnm.Print_Area" localSheetId="18">Taxes!$A$2:$AF$41</definedName>
    <definedName name="_xlnm.Print_Titles" localSheetId="15">BS!$A:$A</definedName>
    <definedName name="_xlnm.Print_Titles" localSheetId="16">Debt!$A:$A</definedName>
    <definedName name="_xlnm.Print_Titles" localSheetId="17">Depreciation!$A:$A</definedName>
    <definedName name="_xlnm.Print_Titles" localSheetId="3">IS!$A:$A</definedName>
    <definedName name="_xlnm.Print_Titles" localSheetId="8">'Price_Technical Assumption'!$A:$B</definedName>
    <definedName name="_xlnm.Print_Titles" localSheetId="7">'Returns Analysis'!$A:$A</definedName>
    <definedName name="_xlnm.Print_Titles" localSheetId="18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F5" i="35" l="1"/>
  <c r="G5" i="35"/>
  <c r="H5" i="35"/>
  <c r="I5" i="35"/>
  <c r="F6" i="35"/>
  <c r="G6" i="35"/>
  <c r="F7" i="35"/>
  <c r="F8" i="35"/>
  <c r="G8" i="35"/>
  <c r="F9" i="35"/>
  <c r="G9" i="35"/>
  <c r="F10" i="35"/>
  <c r="G10" i="35"/>
  <c r="H10" i="35"/>
  <c r="I10" i="35"/>
  <c r="G11" i="35"/>
  <c r="H11" i="35"/>
  <c r="D15" i="35"/>
  <c r="E15" i="35"/>
  <c r="F15" i="35"/>
  <c r="G15" i="35"/>
  <c r="H15" i="35"/>
  <c r="D16" i="35"/>
  <c r="E16" i="35"/>
  <c r="F16" i="35"/>
  <c r="G16" i="35"/>
  <c r="H16" i="35"/>
  <c r="D17" i="35"/>
  <c r="E17" i="35"/>
  <c r="F17" i="35"/>
  <c r="G17" i="35"/>
  <c r="H17" i="35"/>
  <c r="D22" i="35"/>
  <c r="E22" i="35"/>
  <c r="F22" i="35"/>
  <c r="G22" i="35"/>
  <c r="H22" i="35"/>
  <c r="I22" i="35"/>
  <c r="J22" i="35"/>
  <c r="D23" i="35"/>
  <c r="E23" i="35"/>
  <c r="F23" i="35"/>
  <c r="G23" i="35"/>
  <c r="H23" i="35"/>
  <c r="I23" i="35"/>
  <c r="J23" i="35"/>
  <c r="D24" i="35"/>
  <c r="E24" i="35"/>
  <c r="F24" i="35"/>
  <c r="G24" i="35"/>
  <c r="H24" i="35"/>
  <c r="I24" i="35"/>
  <c r="J24" i="35"/>
  <c r="D25" i="35"/>
  <c r="E25" i="35"/>
  <c r="F25" i="35"/>
  <c r="G25" i="35"/>
  <c r="H25" i="35"/>
  <c r="I25" i="35"/>
  <c r="J25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B11" i="2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AC14" i="2"/>
  <c r="N17" i="2"/>
  <c r="P17" i="2"/>
  <c r="O19" i="2"/>
  <c r="B20" i="2"/>
  <c r="C20" i="2"/>
  <c r="D20" i="2"/>
  <c r="O20" i="2"/>
  <c r="B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B35" i="2"/>
  <c r="D35" i="2"/>
  <c r="G35" i="2"/>
  <c r="H35" i="2"/>
  <c r="B36" i="2"/>
  <c r="C36" i="2"/>
  <c r="D36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D48" i="2"/>
  <c r="G48" i="2"/>
  <c r="H48" i="2"/>
  <c r="B49" i="2"/>
  <c r="D49" i="2"/>
  <c r="B50" i="2"/>
  <c r="D50" i="2"/>
  <c r="B51" i="2"/>
  <c r="D51" i="2"/>
  <c r="B52" i="2"/>
  <c r="D52" i="2"/>
  <c r="B53" i="2"/>
  <c r="C53" i="2"/>
  <c r="D53" i="2"/>
  <c r="B56" i="2"/>
  <c r="D56" i="2"/>
  <c r="B57" i="2"/>
  <c r="D57" i="2"/>
  <c r="H57" i="2"/>
  <c r="B58" i="2"/>
  <c r="D58" i="2"/>
  <c r="B59" i="2"/>
  <c r="C59" i="2"/>
  <c r="D59" i="2"/>
  <c r="H60" i="2"/>
  <c r="B61" i="2"/>
  <c r="C61" i="2"/>
  <c r="D61" i="2"/>
  <c r="H62" i="2"/>
  <c r="C65" i="2"/>
  <c r="H66" i="2"/>
  <c r="C68" i="2"/>
  <c r="D68" i="2"/>
  <c r="H68" i="2"/>
  <c r="C71" i="2"/>
  <c r="A72" i="2"/>
  <c r="C72" i="2"/>
  <c r="A73" i="2"/>
  <c r="C73" i="2"/>
  <c r="A74" i="2"/>
  <c r="C74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E7" i="29"/>
  <c r="F7" i="29"/>
  <c r="H7" i="29"/>
  <c r="I7" i="29"/>
  <c r="C8" i="29"/>
  <c r="E8" i="29"/>
  <c r="F8" i="29"/>
  <c r="I8" i="29"/>
  <c r="E9" i="29"/>
  <c r="F9" i="29"/>
  <c r="I9" i="29"/>
  <c r="E10" i="29"/>
  <c r="F10" i="29"/>
  <c r="I10" i="29"/>
  <c r="E11" i="29"/>
  <c r="F11" i="29"/>
  <c r="I11" i="29"/>
  <c r="E12" i="29"/>
  <c r="F12" i="29"/>
  <c r="I12" i="29"/>
  <c r="E13" i="29"/>
  <c r="F13" i="29"/>
  <c r="I13" i="29"/>
  <c r="E14" i="29"/>
  <c r="F14" i="29"/>
  <c r="I14" i="29"/>
  <c r="C15" i="29"/>
  <c r="D15" i="29"/>
  <c r="E15" i="29"/>
  <c r="F15" i="29"/>
  <c r="H15" i="29"/>
  <c r="I15" i="29"/>
  <c r="E18" i="29"/>
  <c r="F18" i="29"/>
  <c r="E19" i="29"/>
  <c r="F19" i="29"/>
  <c r="C20" i="29"/>
  <c r="E20" i="29"/>
  <c r="F20" i="29"/>
  <c r="C21" i="29"/>
  <c r="D21" i="29"/>
  <c r="E21" i="29"/>
  <c r="F21" i="29"/>
  <c r="E23" i="29"/>
  <c r="F23" i="29"/>
  <c r="E24" i="29"/>
  <c r="F24" i="29"/>
  <c r="E25" i="29"/>
  <c r="F25" i="29"/>
  <c r="E26" i="29"/>
  <c r="F26" i="29"/>
  <c r="C27" i="29"/>
  <c r="E27" i="29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C36" i="29"/>
  <c r="D36" i="29"/>
  <c r="E36" i="29"/>
  <c r="F36" i="29"/>
  <c r="E37" i="29"/>
  <c r="F37" i="29"/>
  <c r="F40" i="29"/>
  <c r="F41" i="29"/>
  <c r="F42" i="29"/>
  <c r="F43" i="29"/>
  <c r="F44" i="29"/>
  <c r="F45" i="29"/>
  <c r="F46" i="29"/>
  <c r="F47" i="29"/>
  <c r="F48" i="29"/>
  <c r="F49" i="29"/>
  <c r="F50" i="29"/>
  <c r="C51" i="29"/>
  <c r="F51" i="29"/>
  <c r="F52" i="29"/>
  <c r="F53" i="29"/>
  <c r="F54" i="29"/>
  <c r="F55" i="29"/>
  <c r="C56" i="29"/>
  <c r="F56" i="29"/>
  <c r="F57" i="29"/>
  <c r="C58" i="29"/>
  <c r="F58" i="29"/>
  <c r="C59" i="29"/>
  <c r="F59" i="29"/>
  <c r="F62" i="29"/>
  <c r="F63" i="29"/>
  <c r="C64" i="29"/>
  <c r="F64" i="29"/>
  <c r="C67" i="29"/>
  <c r="F67" i="29"/>
  <c r="C68" i="29"/>
  <c r="F68" i="29"/>
  <c r="C69" i="29"/>
  <c r="F69" i="29"/>
  <c r="C70" i="29"/>
  <c r="F70" i="29"/>
  <c r="C71" i="29"/>
  <c r="F71" i="29"/>
  <c r="C72" i="29"/>
  <c r="F72" i="29"/>
  <c r="C74" i="29"/>
  <c r="C75" i="29"/>
  <c r="F75" i="29"/>
  <c r="A2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C12" i="33"/>
  <c r="D12" i="33"/>
  <c r="E12" i="33"/>
  <c r="F12" i="33"/>
  <c r="G12" i="33"/>
  <c r="H12" i="33"/>
  <c r="I12" i="33"/>
  <c r="J12" i="33"/>
  <c r="K12" i="33"/>
  <c r="L12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C18" i="33"/>
  <c r="D18" i="33"/>
  <c r="E18" i="33"/>
  <c r="F18" i="33"/>
  <c r="G18" i="33"/>
  <c r="H18" i="33"/>
  <c r="I18" i="33"/>
  <c r="J18" i="33"/>
  <c r="K18" i="33"/>
  <c r="L18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C21" i="33"/>
  <c r="D21" i="33"/>
  <c r="E21" i="33"/>
  <c r="F21" i="33"/>
  <c r="G21" i="33"/>
  <c r="C22" i="33"/>
  <c r="D22" i="33"/>
  <c r="E22" i="33"/>
  <c r="F22" i="33"/>
  <c r="G22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B32" i="33"/>
  <c r="B35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B39" i="33"/>
  <c r="C39" i="33"/>
  <c r="D39" i="33"/>
  <c r="E39" i="33"/>
  <c r="F39" i="33"/>
  <c r="G39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C42" i="33"/>
  <c r="C43" i="33"/>
  <c r="C44" i="33"/>
  <c r="C45" i="33"/>
  <c r="B48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P49" i="33"/>
  <c r="Q49" i="33"/>
  <c r="R49" i="33"/>
  <c r="S49" i="33"/>
  <c r="T49" i="33"/>
  <c r="U49" i="33"/>
  <c r="V49" i="33"/>
  <c r="W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S50" i="33"/>
  <c r="T50" i="33"/>
  <c r="U50" i="33"/>
  <c r="V50" i="33"/>
  <c r="W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R51" i="33"/>
  <c r="S51" i="33"/>
  <c r="T51" i="33"/>
  <c r="U51" i="33"/>
  <c r="V51" i="33"/>
  <c r="W51" i="33"/>
  <c r="B52" i="33"/>
  <c r="C52" i="33"/>
  <c r="D52" i="33"/>
  <c r="E52" i="33"/>
  <c r="F52" i="33"/>
  <c r="G52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C55" i="33"/>
  <c r="C56" i="33"/>
  <c r="C57" i="33"/>
  <c r="C58" i="33"/>
  <c r="B64" i="33"/>
  <c r="B67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R68" i="33"/>
  <c r="S68" i="33"/>
  <c r="T68" i="33"/>
  <c r="U68" i="33"/>
  <c r="V68" i="33"/>
  <c r="W68" i="33"/>
  <c r="L69" i="33"/>
  <c r="B71" i="33"/>
  <c r="C71" i="33"/>
  <c r="D71" i="33"/>
  <c r="E71" i="33"/>
  <c r="F71" i="33"/>
  <c r="G71" i="33"/>
  <c r="H71" i="33"/>
  <c r="I71" i="33"/>
  <c r="J71" i="33"/>
  <c r="K71" i="33"/>
  <c r="L71" i="33"/>
  <c r="B72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O72" i="33"/>
  <c r="P72" i="33"/>
  <c r="Q72" i="33"/>
  <c r="R72" i="33"/>
  <c r="S72" i="33"/>
  <c r="T72" i="33"/>
  <c r="U72" i="33"/>
  <c r="V72" i="33"/>
  <c r="W72" i="33"/>
  <c r="C74" i="33"/>
  <c r="C75" i="33"/>
  <c r="C76" i="33"/>
  <c r="C77" i="33"/>
  <c r="B81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O82" i="33"/>
  <c r="P82" i="33"/>
  <c r="Q82" i="33"/>
  <c r="R82" i="33"/>
  <c r="S82" i="33"/>
  <c r="T82" i="33"/>
  <c r="U82" i="33"/>
  <c r="V82" i="33"/>
  <c r="W82" i="33"/>
  <c r="B85" i="33"/>
  <c r="C85" i="33"/>
  <c r="D85" i="33"/>
  <c r="E85" i="33"/>
  <c r="F85" i="33"/>
  <c r="G85" i="33"/>
  <c r="H85" i="33"/>
  <c r="I85" i="33"/>
  <c r="J85" i="33"/>
  <c r="K85" i="33"/>
  <c r="L85" i="33"/>
  <c r="B86" i="33"/>
  <c r="C86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S86" i="33"/>
  <c r="T86" i="33"/>
  <c r="U86" i="33"/>
  <c r="V86" i="33"/>
  <c r="W86" i="33"/>
  <c r="B89" i="33"/>
  <c r="B90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O90" i="33"/>
  <c r="P90" i="33"/>
  <c r="Q90" i="33"/>
  <c r="R90" i="33"/>
  <c r="S90" i="33"/>
  <c r="T90" i="33"/>
  <c r="U90" i="33"/>
  <c r="V90" i="33"/>
  <c r="W90" i="33"/>
  <c r="L91" i="33"/>
  <c r="B93" i="33"/>
  <c r="C93" i="33"/>
  <c r="D93" i="33"/>
  <c r="E93" i="33"/>
  <c r="F93" i="33"/>
  <c r="G93" i="33"/>
  <c r="H93" i="33"/>
  <c r="I93" i="33"/>
  <c r="J93" i="33"/>
  <c r="K93" i="33"/>
  <c r="L93" i="33"/>
  <c r="C94" i="33"/>
  <c r="C95" i="33"/>
  <c r="C97" i="33"/>
  <c r="C98" i="33"/>
  <c r="C99" i="33"/>
  <c r="C100" i="33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D3" i="32"/>
  <c r="E3" i="32"/>
  <c r="D8" i="32"/>
  <c r="E8" i="32"/>
  <c r="B16" i="32"/>
  <c r="C16" i="32"/>
  <c r="D16" i="32"/>
  <c r="E16" i="32"/>
  <c r="G16" i="32"/>
  <c r="H16" i="32"/>
  <c r="I16" i="32"/>
  <c r="J16" i="32"/>
  <c r="L16" i="32"/>
  <c r="M16" i="32"/>
  <c r="N16" i="32"/>
  <c r="Q16" i="32"/>
  <c r="R16" i="32"/>
  <c r="A17" i="32"/>
  <c r="B17" i="32"/>
  <c r="C17" i="32"/>
  <c r="D17" i="32"/>
  <c r="E17" i="32"/>
  <c r="G17" i="32"/>
  <c r="H17" i="32"/>
  <c r="I17" i="32"/>
  <c r="J17" i="32"/>
  <c r="L17" i="32"/>
  <c r="M17" i="32"/>
  <c r="N17" i="32"/>
  <c r="A18" i="32"/>
  <c r="B18" i="32"/>
  <c r="C18" i="32"/>
  <c r="D18" i="32"/>
  <c r="E18" i="32"/>
  <c r="G18" i="32"/>
  <c r="H18" i="32"/>
  <c r="I18" i="32"/>
  <c r="J18" i="32"/>
  <c r="L18" i="32"/>
  <c r="M18" i="32"/>
  <c r="N18" i="32"/>
  <c r="A19" i="32"/>
  <c r="B19" i="32"/>
  <c r="C19" i="32"/>
  <c r="D19" i="32"/>
  <c r="E19" i="32"/>
  <c r="G19" i="32"/>
  <c r="H19" i="32"/>
  <c r="I19" i="32"/>
  <c r="J19" i="32"/>
  <c r="L19" i="32"/>
  <c r="M19" i="32"/>
  <c r="N19" i="32"/>
  <c r="A20" i="32"/>
  <c r="B20" i="32"/>
  <c r="C20" i="32"/>
  <c r="D20" i="32"/>
  <c r="E20" i="32"/>
  <c r="G20" i="32"/>
  <c r="H20" i="32"/>
  <c r="I20" i="32"/>
  <c r="J20" i="32"/>
  <c r="L20" i="32"/>
  <c r="M20" i="32"/>
  <c r="N20" i="32"/>
  <c r="Q20" i="32"/>
  <c r="R20" i="32"/>
  <c r="A21" i="32"/>
  <c r="B21" i="32"/>
  <c r="C21" i="32"/>
  <c r="D21" i="32"/>
  <c r="E21" i="32"/>
  <c r="G21" i="32"/>
  <c r="H21" i="32"/>
  <c r="I21" i="32"/>
  <c r="J21" i="32"/>
  <c r="A22" i="32"/>
  <c r="B22" i="32"/>
  <c r="C22" i="32"/>
  <c r="D22" i="32"/>
  <c r="E22" i="32"/>
  <c r="G22" i="32"/>
  <c r="H22" i="32"/>
  <c r="I22" i="32"/>
  <c r="J22" i="32"/>
  <c r="R22" i="32"/>
  <c r="A23" i="32"/>
  <c r="B23" i="32"/>
  <c r="C23" i="32"/>
  <c r="D23" i="32"/>
  <c r="E23" i="32"/>
  <c r="A24" i="32"/>
  <c r="B24" i="32"/>
  <c r="C24" i="32"/>
  <c r="D24" i="32"/>
  <c r="E24" i="32"/>
  <c r="A25" i="32"/>
  <c r="B25" i="32"/>
  <c r="C25" i="32"/>
  <c r="D25" i="32"/>
  <c r="E25" i="32"/>
  <c r="A26" i="32"/>
  <c r="B26" i="32"/>
  <c r="C26" i="32"/>
  <c r="D26" i="32"/>
  <c r="E26" i="32"/>
  <c r="A27" i="32"/>
  <c r="B27" i="32"/>
  <c r="C27" i="32"/>
  <c r="D27" i="32"/>
  <c r="E27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B35" i="32"/>
  <c r="C35" i="32"/>
  <c r="D35" i="32"/>
  <c r="E35" i="32"/>
  <c r="A36" i="32"/>
  <c r="B36" i="32"/>
  <c r="C36" i="32"/>
  <c r="D36" i="32"/>
  <c r="E36" i="32"/>
  <c r="A37" i="32"/>
  <c r="B37" i="32"/>
  <c r="C37" i="32"/>
  <c r="D37" i="32"/>
  <c r="E37" i="32"/>
  <c r="A38" i="32"/>
  <c r="B38" i="32"/>
  <c r="C38" i="32"/>
  <c r="D38" i="32"/>
  <c r="E38" i="32"/>
  <c r="A39" i="32"/>
  <c r="B39" i="32"/>
  <c r="C39" i="32"/>
  <c r="D39" i="32"/>
  <c r="E39" i="32"/>
  <c r="A40" i="32"/>
  <c r="B40" i="32"/>
  <c r="C40" i="32"/>
  <c r="D40" i="32"/>
  <c r="E40" i="32"/>
  <c r="A41" i="32"/>
  <c r="B41" i="32"/>
  <c r="C41" i="32"/>
  <c r="D41" i="32"/>
  <c r="E41" i="32"/>
  <c r="A42" i="32"/>
  <c r="B42" i="32"/>
  <c r="C42" i="32"/>
  <c r="D42" i="32"/>
  <c r="E42" i="32"/>
  <c r="A43" i="32"/>
  <c r="B43" i="32"/>
  <c r="C43" i="32"/>
  <c r="D43" i="32"/>
  <c r="E43" i="32"/>
  <c r="A44" i="32"/>
  <c r="B44" i="32"/>
  <c r="C44" i="32"/>
  <c r="D44" i="32"/>
  <c r="E44" i="32"/>
  <c r="D59" i="32"/>
  <c r="E59" i="32"/>
  <c r="D63" i="32"/>
  <c r="D64" i="32"/>
  <c r="E64" i="32"/>
  <c r="B74" i="32"/>
  <c r="C74" i="32"/>
  <c r="D74" i="32"/>
  <c r="E74" i="32"/>
  <c r="H74" i="32"/>
  <c r="I74" i="32"/>
  <c r="J74" i="32"/>
  <c r="K74" i="32"/>
  <c r="A75" i="32"/>
  <c r="B75" i="32"/>
  <c r="C75" i="32"/>
  <c r="D75" i="32"/>
  <c r="E75" i="32"/>
  <c r="G75" i="32"/>
  <c r="H75" i="32"/>
  <c r="I75" i="32"/>
  <c r="J75" i="32"/>
  <c r="K75" i="32"/>
  <c r="A76" i="32"/>
  <c r="B76" i="32"/>
  <c r="C76" i="32"/>
  <c r="D76" i="32"/>
  <c r="E76" i="32"/>
  <c r="G76" i="32"/>
  <c r="H76" i="32"/>
  <c r="I76" i="32"/>
  <c r="J76" i="32"/>
  <c r="K76" i="32"/>
  <c r="A77" i="32"/>
  <c r="B77" i="32"/>
  <c r="C77" i="32"/>
  <c r="D77" i="32"/>
  <c r="E77" i="32"/>
  <c r="G77" i="32"/>
  <c r="H77" i="32"/>
  <c r="I77" i="32"/>
  <c r="J77" i="32"/>
  <c r="K77" i="32"/>
  <c r="A78" i="32"/>
  <c r="B78" i="32"/>
  <c r="C78" i="32"/>
  <c r="D78" i="32"/>
  <c r="E78" i="32"/>
  <c r="G78" i="32"/>
  <c r="H78" i="32"/>
  <c r="I78" i="32"/>
  <c r="J78" i="32"/>
  <c r="K78" i="32"/>
  <c r="A79" i="32"/>
  <c r="B79" i="32"/>
  <c r="C79" i="32"/>
  <c r="D79" i="32"/>
  <c r="E79" i="32"/>
  <c r="G79" i="32"/>
  <c r="H79" i="32"/>
  <c r="I79" i="32"/>
  <c r="J79" i="32"/>
  <c r="K79" i="32"/>
  <c r="A80" i="32"/>
  <c r="B80" i="32"/>
  <c r="C80" i="32"/>
  <c r="D80" i="32"/>
  <c r="E80" i="32"/>
  <c r="G80" i="32"/>
  <c r="H80" i="32"/>
  <c r="I80" i="32"/>
  <c r="J80" i="32"/>
  <c r="K80" i="32"/>
  <c r="A81" i="32"/>
  <c r="B81" i="32"/>
  <c r="C81" i="32"/>
  <c r="D81" i="32"/>
  <c r="E81" i="32"/>
  <c r="G81" i="32"/>
  <c r="H81" i="32"/>
  <c r="I81" i="32"/>
  <c r="J81" i="32"/>
  <c r="K81" i="32"/>
  <c r="A82" i="32"/>
  <c r="B82" i="32"/>
  <c r="C82" i="32"/>
  <c r="D82" i="32"/>
  <c r="E82" i="32"/>
  <c r="G82" i="32"/>
  <c r="H82" i="32"/>
  <c r="I82" i="32"/>
  <c r="J82" i="32"/>
  <c r="K82" i="32"/>
  <c r="A83" i="32"/>
  <c r="B83" i="32"/>
  <c r="C83" i="32"/>
  <c r="D83" i="32"/>
  <c r="E83" i="32"/>
  <c r="G83" i="32"/>
  <c r="H83" i="32"/>
  <c r="I83" i="32"/>
  <c r="J83" i="32"/>
  <c r="K83" i="32"/>
  <c r="A84" i="32"/>
  <c r="B84" i="32"/>
  <c r="C84" i="32"/>
  <c r="D84" i="32"/>
  <c r="E84" i="32"/>
  <c r="G84" i="32"/>
  <c r="H84" i="32"/>
  <c r="I84" i="32"/>
  <c r="J84" i="32"/>
  <c r="K84" i="32"/>
  <c r="A85" i="32"/>
  <c r="B85" i="32"/>
  <c r="C85" i="32"/>
  <c r="D85" i="32"/>
  <c r="E85" i="32"/>
  <c r="G85" i="32"/>
  <c r="H85" i="32"/>
  <c r="I85" i="32"/>
  <c r="J85" i="32"/>
  <c r="K85" i="32"/>
  <c r="A86" i="32"/>
  <c r="B86" i="32"/>
  <c r="C86" i="32"/>
  <c r="D86" i="32"/>
  <c r="E86" i="32"/>
  <c r="G86" i="32"/>
  <c r="H86" i="32"/>
  <c r="I86" i="32"/>
  <c r="J86" i="32"/>
  <c r="K86" i="32"/>
  <c r="A87" i="32"/>
  <c r="B87" i="32"/>
  <c r="C87" i="32"/>
  <c r="D87" i="32"/>
  <c r="E87" i="32"/>
  <c r="A88" i="32"/>
  <c r="B88" i="32"/>
  <c r="C88" i="32"/>
  <c r="D88" i="32"/>
  <c r="E88" i="32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1" i="30"/>
  <c r="B1" i="30"/>
  <c r="A2" i="30"/>
  <c r="C11" i="30"/>
  <c r="C23" i="30"/>
  <c r="C26" i="30"/>
  <c r="D26" i="30"/>
  <c r="E26" i="30"/>
  <c r="C27" i="30"/>
  <c r="D27" i="30"/>
  <c r="G5" i="26"/>
  <c r="G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G14" i="26"/>
  <c r="H14" i="26"/>
  <c r="G15" i="26"/>
  <c r="H15" i="26"/>
  <c r="D16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D28" i="26"/>
  <c r="D40" i="26"/>
  <c r="D52" i="26"/>
  <c r="D64" i="26"/>
  <c r="D76" i="26"/>
  <c r="D88" i="26"/>
  <c r="D100" i="26"/>
  <c r="D112" i="26"/>
  <c r="D124" i="26"/>
  <c r="D136" i="26"/>
  <c r="D148" i="26"/>
  <c r="D160" i="26"/>
  <c r="D172" i="26"/>
  <c r="D184" i="26"/>
  <c r="D196" i="26"/>
  <c r="D208" i="26"/>
  <c r="D220" i="26"/>
  <c r="D232" i="26"/>
  <c r="D244" i="26"/>
  <c r="D256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B4" i="34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<sst xmlns="http://schemas.openxmlformats.org/spreadsheetml/2006/main" count="981" uniqueCount="720">
  <si>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</si>
  <si>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</si>
  <si>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</si>
  <si>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</si>
  <si>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</si>
  <si>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</si>
  <si>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</si>
  <si>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</si>
  <si>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</si>
  <si>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</si>
  <si>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</si>
  <si>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</si>
  <si>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</si>
  <si>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</si>
  <si>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</si>
  <si>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</si>
  <si>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</si>
  <si>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</si>
  <si>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</si>
  <si>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</si>
  <si>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</si>
  <si>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</si>
  <si>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</si>
  <si>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</si>
  <si>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</si>
  <si>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</si>
  <si>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</si>
  <si>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</si>
  <si>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</si>
  <si>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</si>
  <si>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</si>
  <si>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</si>
  <si>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</si>
  <si>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</si>
  <si>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</si>
  <si>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</si>
  <si>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</si>
  <si>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</si>
  <si>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</si>
  <si>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</si>
  <si>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</si>
  <si>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</si>
  <si>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</si>
  <si>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</si>
  <si>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</si>
  <si>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</si>
  <si>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</si>
  <si>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</si>
  <si>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</si>
  <si>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</si>
  <si>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</si>
  <si>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</si>
  <si>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</si>
  <si>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</si>
  <si>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</si>
  <si>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</si>
  <si>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</si>
  <si>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</si>
  <si>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</si>
  <si>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</si>
  <si>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</si>
  <si>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</si>
  <si>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</si>
  <si>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</si>
  <si>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</si>
  <si>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</si>
  <si>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</si>
  <si>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</si>
  <si>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</si>
  <si>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</si>
  <si>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</si>
  <si>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</si>
  <si>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</si>
  <si>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</si>
  <si>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</si>
  <si>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</si>
  <si>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</si>
  <si>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</si>
  <si>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</si>
  <si>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</si>
  <si>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</si>
  <si>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</si>
  <si>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</si>
  <si>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</si>
  <si>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</si>
  <si>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</si>
  <si>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</si>
  <si>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</si>
  <si>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</si>
  <si>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</si>
  <si>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</si>
  <si>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</si>
  <si>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</si>
  <si>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</si>
  <si>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</si>
  <si>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</si>
  <si>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</si>
  <si>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</si>
  <si>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</si>
  <si>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</si>
  <si>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</si>
  <si>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</si>
  <si>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</si>
  <si>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</si>
  <si>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</si>
  <si>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</si>
  <si>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</si>
  <si>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</si>
  <si>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Dual Fuel </t>
  </si>
  <si>
    <t xml:space="preserve">  Black Start</t>
  </si>
  <si>
    <t xml:space="preserve">  Demineralized Water Facility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</si>
  <si>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</si>
  <si>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</si>
  <si>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</si>
  <si>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</si>
  <si>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</si>
  <si>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</si>
  <si>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</si>
  <si>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</si>
  <si>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</si>
  <si>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</si>
  <si>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</si>
  <si>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</si>
  <si>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</si>
  <si>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</si>
  <si>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</si>
  <si>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</si>
  <si>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</si>
  <si>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</si>
  <si>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</si>
  <si>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</si>
  <si>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</si>
  <si>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</si>
  <si>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</si>
  <si>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</si>
  <si>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</si>
  <si>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</si>
  <si>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</si>
  <si>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</si>
  <si>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</si>
  <si>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</si>
  <si>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</si>
  <si>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</si>
  <si>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</si>
  <si>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</si>
  <si>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</si>
  <si>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</si>
  <si>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</si>
  <si>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</si>
  <si>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</si>
  <si>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</si>
  <si>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</si>
  <si>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</si>
  <si>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</si>
  <si>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</si>
  <si>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</si>
  <si>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</si>
  <si>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</si>
  <si>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</si>
  <si>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</si>
  <si>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</si>
  <si>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</si>
  <si>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</si>
  <si>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</si>
  <si>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</si>
  <si>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</si>
  <si>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</si>
  <si>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</si>
  <si>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</si>
  <si>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</si>
  <si>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</si>
  <si>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</si>
  <si>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</si>
  <si>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</si>
  <si>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</si>
  <si>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</si>
  <si>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</si>
  <si>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</si>
  <si>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</si>
  <si>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</si>
  <si>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</si>
  <si>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</si>
  <si>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</si>
  <si>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</si>
  <si>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</si>
  <si>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</si>
  <si>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</si>
  <si>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</si>
  <si>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</si>
  <si>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</si>
  <si>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</si>
  <si>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</si>
  <si>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</si>
  <si>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</si>
  <si>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</si>
  <si>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</si>
  <si>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</si>
  <si>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</si>
  <si>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</si>
  <si>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</si>
  <si>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</si>
  <si>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</si>
  <si>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</si>
  <si>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</si>
  <si>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</si>
  <si>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</si>
  <si>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</si>
  <si>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</si>
  <si>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</si>
  <si>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</si>
  <si>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</si>
  <si>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</si>
  <si>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</si>
  <si>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</si>
  <si>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</si>
  <si>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</si>
  <si>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</si>
  <si>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</si>
  <si>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</si>
  <si>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</si>
  <si>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</si>
  <si>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</si>
  <si>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</si>
  <si>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</si>
  <si>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</si>
  <si>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</si>
  <si>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</si>
  <si>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</si>
  <si>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</si>
  <si>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</si>
  <si>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</si>
  <si>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</si>
  <si>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</si>
  <si>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</si>
  <si>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</si>
  <si>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</si>
  <si>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</si>
  <si>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</si>
  <si>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</si>
  <si>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</si>
  <si>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</si>
  <si>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</si>
  <si>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</si>
  <si>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</si>
  <si>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</si>
  <si>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</si>
  <si>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</si>
  <si>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</si>
  <si>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</si>
  <si>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</si>
  <si>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</si>
  <si>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</si>
  <si>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</si>
  <si>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</si>
  <si>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</si>
  <si>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</si>
  <si>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</si>
  <si>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</si>
  <si>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</si>
  <si>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</si>
  <si>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</si>
  <si>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</si>
  <si>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</si>
  <si>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</si>
  <si>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</si>
  <si>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</si>
  <si>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</si>
  <si>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</si>
  <si>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</si>
  <si>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</si>
  <si>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</si>
  <si>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</si>
  <si>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</si>
  <si>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</si>
  <si>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</si>
  <si>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</si>
  <si>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</si>
  <si>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</si>
  <si>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</si>
  <si>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</si>
  <si>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</si>
  <si>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</si>
  <si>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</si>
  <si>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</si>
  <si>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</si>
  <si>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</si>
  <si>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</si>
  <si>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</si>
  <si>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</si>
  <si>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</si>
  <si>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</si>
  <si>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</si>
  <si>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</si>
  <si>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</si>
  <si>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</si>
  <si>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</si>
  <si>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</si>
  <si>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</si>
  <si>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</si>
  <si>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</si>
  <si>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</si>
  <si>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</si>
  <si>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</si>
  <si>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</si>
  <si>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</si>
  <si>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</si>
  <si>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</si>
  <si>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</si>
  <si>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</si>
  <si>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</si>
  <si>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</si>
  <si>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</si>
  <si>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</si>
  <si>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</si>
  <si>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</si>
  <si>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</si>
  <si>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</si>
  <si>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</si>
  <si>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</si>
  <si>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</si>
  <si>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</si>
  <si>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</si>
  <si>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</si>
  <si>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</si>
  <si>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</si>
  <si>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</si>
  <si>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</si>
  <si>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</si>
  <si>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</si>
  <si>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</si>
  <si>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</si>
  <si>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</si>
  <si>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</si>
  <si>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</si>
  <si>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</si>
  <si>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</si>
  <si>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</si>
  <si>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</si>
  <si>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</si>
  <si>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</si>
  <si>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</si>
  <si>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</si>
  <si>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</si>
  <si>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</si>
  <si>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</si>
  <si>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</si>
  <si>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</si>
  <si>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</si>
  <si>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</si>
  <si>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</si>
  <si>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</si>
  <si>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</si>
  <si>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</si>
  <si>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</si>
  <si>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</si>
  <si>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</si>
  <si>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</si>
  <si>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</si>
  <si>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</si>
  <si>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</si>
  <si>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</si>
  <si>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</si>
  <si>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</si>
  <si>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</si>
  <si>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</si>
  <si>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</si>
  <si>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</si>
  <si>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</si>
  <si>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</si>
  <si>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</si>
  <si>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</si>
  <si>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</si>
  <si>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</si>
  <si>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</si>
  <si>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</si>
  <si>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</si>
  <si>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</si>
  <si>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</si>
  <si>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</si>
  <si>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</si>
  <si>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</si>
  <si>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</si>
  <si>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</si>
  <si>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</si>
  <si>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</si>
  <si>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</si>
  <si>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</si>
  <si>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</si>
  <si>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</si>
  <si>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</si>
  <si>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</si>
  <si>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</si>
  <si>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</si>
  <si>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</si>
  <si>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</si>
  <si>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</si>
  <si>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</si>
  <si>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</si>
  <si>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</si>
  <si>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</si>
  <si>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</si>
  <si>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</si>
  <si>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</si>
  <si>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</si>
  <si>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</si>
  <si>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</si>
  <si>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</si>
  <si>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</si>
  <si>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</si>
  <si>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</si>
  <si>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</si>
  <si>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</si>
  <si>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</si>
  <si>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</si>
  <si>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</si>
  <si>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</si>
  <si>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</si>
  <si>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</si>
  <si>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</si>
  <si>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</si>
  <si>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</si>
  <si>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</si>
  <si>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</si>
  <si>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</si>
  <si>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</si>
  <si>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</si>
  <si>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</si>
  <si>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</si>
  <si>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</si>
  <si>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 xml:space="preserve">  Insurance</t>
  </si>
  <si>
    <t xml:space="preserve">Total Price to </t>
  </si>
  <si>
    <t>Tenn Zone 6</t>
  </si>
  <si>
    <t>Price</t>
  </si>
  <si>
    <t>Index (Tenn Zone 6)</t>
  </si>
  <si>
    <t>Target</t>
  </si>
  <si>
    <t>20 Yrs After-Tax Cashflow with Zero Residual Value</t>
  </si>
  <si>
    <t xml:space="preserve">  Sprint Package Adder</t>
  </si>
  <si>
    <t>UAE Lowell Power Expansion</t>
  </si>
  <si>
    <t>Single LM6000 Unit</t>
  </si>
  <si>
    <t>Equipment Performance</t>
  </si>
  <si>
    <t xml:space="preserve">Ambient vs. Front End Simple Cycle Technology </t>
  </si>
  <si>
    <t>5 - GE/S&amp;S LM6000 Units</t>
  </si>
  <si>
    <t>DLE</t>
  </si>
  <si>
    <t>Spr. w/ WI</t>
  </si>
  <si>
    <t>Spr. w/ SI</t>
  </si>
  <si>
    <t>General Plant Performance Data</t>
  </si>
  <si>
    <t>Generator Power, MW</t>
  </si>
  <si>
    <t>S</t>
  </si>
  <si>
    <t>Gross Heat Rate, Btu/kWh (LHV)</t>
  </si>
  <si>
    <t>&amp;</t>
  </si>
  <si>
    <t>Gross Heat Rate Adjusted for Steam Use, Btu/kWh (HHV)</t>
  </si>
  <si>
    <t>na</t>
  </si>
  <si>
    <t>Fuel Flow, mmBtu/hr (LHV)</t>
  </si>
  <si>
    <t>Fuel Flow, mmBtu/hr (HHV)</t>
  </si>
  <si>
    <t>Chilling Requirements, tons</t>
  </si>
  <si>
    <t>R</t>
  </si>
  <si>
    <t>Water Injection Flow, pph</t>
  </si>
  <si>
    <t>u</t>
  </si>
  <si>
    <t>Steam Injection Flow, pph</t>
  </si>
  <si>
    <t>n</t>
  </si>
  <si>
    <t xml:space="preserve">Sprint Water Injection Flow, pph </t>
  </si>
  <si>
    <t>s</t>
  </si>
  <si>
    <t>Chiller Aux. Load (kW)</t>
  </si>
  <si>
    <t>Net Power Output, MW</t>
  </si>
  <si>
    <t>@</t>
  </si>
  <si>
    <r>
      <t>NOx</t>
    </r>
    <r>
      <rPr>
        <sz val="10"/>
        <rFont val="Arial"/>
      </rPr>
      <t>, ppm</t>
    </r>
  </si>
  <si>
    <r>
      <t>NOx</t>
    </r>
    <r>
      <rPr>
        <sz val="10"/>
        <rFont val="Arial"/>
      </rPr>
      <t>, pph</t>
    </r>
  </si>
  <si>
    <r>
      <t>CO</t>
    </r>
    <r>
      <rPr>
        <sz val="10"/>
        <rFont val="Arial"/>
      </rPr>
      <t>, ppm</t>
    </r>
  </si>
  <si>
    <r>
      <t>o</t>
    </r>
    <r>
      <rPr>
        <sz val="10"/>
        <rFont val="Arial"/>
      </rPr>
      <t>F</t>
    </r>
  </si>
  <si>
    <r>
      <t>CO</t>
    </r>
    <r>
      <rPr>
        <sz val="10"/>
        <rFont val="Arial"/>
      </rPr>
      <t>, pph</t>
    </r>
  </si>
  <si>
    <t>Expected DEP NOx Emission Rate, ppm</t>
  </si>
  <si>
    <t>Reduction Required</t>
  </si>
  <si>
    <t>Expected DEP NOx Emission Rate, lb/mmBtu</t>
  </si>
  <si>
    <t>Expected DEP NOx Emission Rate, lb/hr</t>
  </si>
  <si>
    <t>Expected DEP CO Reduction Rate, %</t>
  </si>
  <si>
    <t>Expected DEP CO Emission Rate, ppm</t>
  </si>
  <si>
    <t>Notes:</t>
  </si>
  <si>
    <t>Spray Intercooling (Sprint) is not currently available with DLE combustors.</t>
  </si>
  <si>
    <t xml:space="preserve">Auxiliary load includes fuel compression, misc. GT auxiliaries, and transformer losses </t>
  </si>
  <si>
    <t>Gross heat rate as a function of the HHV of the fuel plus degradation</t>
  </si>
  <si>
    <r>
      <t xml:space="preserve">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</si>
  <si>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60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</si>
  <si>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90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</si>
  <si>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Gross Heat Rate, Btu/kWh (HHV) </t>
    </r>
    <r>
      <rPr>
        <vertAlign val="superscript"/>
        <sz val="10"/>
        <rFont val="Arial"/>
        <family val="2"/>
      </rPr>
      <t>(3)</t>
    </r>
  </si>
  <si>
    <r>
      <t>Aux Load (kW)</t>
    </r>
    <r>
      <rPr>
        <vertAlign val="superscript"/>
        <sz val="10"/>
        <rFont val="Arial"/>
        <family val="2"/>
      </rPr>
      <t xml:space="preserve"> (2)</t>
    </r>
  </si>
  <si>
    <t>Technology Comparison</t>
  </si>
  <si>
    <t>Yearly Revenue/Cost Variances per Unit</t>
  </si>
  <si>
    <t>DLE Combustor</t>
  </si>
  <si>
    <t>Sprint w/ Water Injection</t>
  </si>
  <si>
    <t>w/ Inlet Chilling</t>
  </si>
  <si>
    <t>Water Treatment Capital Recovery ($200,000 over 15 yr. @ 11%)</t>
  </si>
  <si>
    <t>Water Treatment Variable Cost ($0.0025/gal for chemical, 2500 hrs.)</t>
  </si>
  <si>
    <t>Fuel Cost ($3/mmBtu &amp; 2500 hrs.)</t>
  </si>
  <si>
    <t>Capacity Payment ($6/kw-mo w/ DLE Unit as datum)</t>
  </si>
  <si>
    <t>Total First Year Cost</t>
  </si>
  <si>
    <t>Operating Hours</t>
  </si>
  <si>
    <t>(1) Price differential between machines equipped with a DLE Combustor and those with the Sprint Technology is $1.1 m ($1.4 m for DLE, $0.3 for Sprint)</t>
  </si>
  <si>
    <t>(2) General assumption of 2500 hrs. operating</t>
  </si>
  <si>
    <t>(3) Steam injection rates of over 30,000 lbs/hr can not be handled by existing systems</t>
  </si>
  <si>
    <r>
      <t xml:space="preserve">Sprint w/ Steam Injection </t>
    </r>
    <r>
      <rPr>
        <vertAlign val="superscript"/>
        <sz val="10"/>
        <rFont val="Arial"/>
        <family val="2"/>
      </rPr>
      <t>(3)</t>
    </r>
  </si>
  <si>
    <r>
      <t xml:space="preserve">DLE Capital Recovery ($1.1m over 15 yr. @ 11%) </t>
    </r>
    <r>
      <rPr>
        <vertAlign val="superscript"/>
        <sz val="10"/>
        <rFont val="Arial"/>
        <family val="2"/>
      </rPr>
      <t>(1)</t>
    </r>
  </si>
  <si>
    <r>
      <t xml:space="preserve">Chiller Cost (90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F, electric @ $0.03/kw-hr, 2500 hrs)</t>
    </r>
  </si>
  <si>
    <r>
      <t>Sprint 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</si>
  <si>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>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</si>
  <si>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 xml:space="preserve">Steam Injection (550 psig, 75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sprht, 1263 Btu/lb)</t>
    </r>
  </si>
  <si>
    <t>PRELIMINARY DATA; ENGINEERING STUDY UNDERWAY TO CONFIRM ASSUMPTIONS</t>
  </si>
  <si>
    <t>Capital Cost  Breakdown ($ = 000's)</t>
  </si>
  <si>
    <t>5x GE LM 6000 Base Package - Simple Cycle</t>
  </si>
  <si>
    <t>(1=yes, 0=no)</t>
  </si>
  <si>
    <t>Feb 23 Meeting with Enron Capital and Trade</t>
  </si>
  <si>
    <t>Lowell Expansion</t>
  </si>
  <si>
    <t>GT Pro</t>
  </si>
  <si>
    <t>Gas Turbine Package</t>
  </si>
  <si>
    <t>Equipment</t>
  </si>
  <si>
    <t>Installation</t>
  </si>
  <si>
    <t>Total</t>
  </si>
  <si>
    <t>Per Unit</t>
  </si>
  <si>
    <t>Gas Turbine Generator</t>
  </si>
  <si>
    <t>Sprint Package Adder (unavail w/DLE)</t>
  </si>
  <si>
    <t>Inlet Air Chiller</t>
  </si>
  <si>
    <t>Switchgear/MCC/Relays/Breaker Set</t>
  </si>
  <si>
    <t>Stack(s)/Noise Attenuation/Buildings</t>
  </si>
  <si>
    <t>Water Tube Oil Cooler</t>
  </si>
  <si>
    <t>Freight</t>
  </si>
  <si>
    <t>Spare Parts Inventory</t>
  </si>
  <si>
    <t>Total Base Package</t>
  </si>
  <si>
    <t>Emissions Controls</t>
  </si>
  <si>
    <t>Vanadium-Titanium SCR (to 2 ppm NOX)</t>
  </si>
  <si>
    <t>CO Oxidation Catalyst (to 10ppm CO)</t>
  </si>
  <si>
    <t xml:space="preserve">Dry Low Emissions (DLE) Combustor Adder </t>
  </si>
  <si>
    <t>Balance Of Plant</t>
  </si>
  <si>
    <t>Pads and Grading</t>
  </si>
  <si>
    <t>Fuel Gas Compressors</t>
  </si>
  <si>
    <t>Control Room (upgrade to existing unit)</t>
  </si>
  <si>
    <t>Controls For Remote Operation</t>
  </si>
  <si>
    <t>Demin Water Treatment (for Sprint/Water Inj)</t>
  </si>
  <si>
    <t>Fire Protection</t>
  </si>
  <si>
    <t>Cooling Tower for Chiller</t>
  </si>
  <si>
    <t>Ammonia System (Tanks, Unldg./Fwdg. Pumps)</t>
  </si>
  <si>
    <t>Step-Up Transformer(s)</t>
  </si>
  <si>
    <t>Piping</t>
  </si>
  <si>
    <t>Wiring</t>
  </si>
  <si>
    <t>Continuous Emissions Monitoring</t>
  </si>
  <si>
    <t>Other</t>
  </si>
  <si>
    <t>Total Emissions and BOP</t>
  </si>
  <si>
    <t>Total EPC</t>
  </si>
  <si>
    <t>Owner's Cost</t>
  </si>
  <si>
    <t>Air Permitting</t>
  </si>
  <si>
    <t>Air Permit Fees</t>
  </si>
  <si>
    <t>Boston Gas Upgrades</t>
  </si>
  <si>
    <t>Utility Connection Cost (NEP)</t>
  </si>
  <si>
    <t>Interconnect Study (NEP)</t>
  </si>
  <si>
    <t>Property Purchase</t>
  </si>
  <si>
    <t>Water/Sewer Connect</t>
  </si>
  <si>
    <t>Phase I/Phase II Environmental Review</t>
  </si>
  <si>
    <t>Engineering Plant Specification</t>
  </si>
  <si>
    <t>Engineering (Studies/Services/Conceptual)</t>
  </si>
  <si>
    <t>Development/Construction Management</t>
  </si>
  <si>
    <t xml:space="preserve">Interest During Construction </t>
  </si>
  <si>
    <t>Misc. Permits/Fees</t>
  </si>
  <si>
    <t>Legal Fees</t>
  </si>
  <si>
    <t>Bank Fees</t>
  </si>
  <si>
    <t>Emissions Offsets</t>
  </si>
  <si>
    <t>Working Capital</t>
  </si>
  <si>
    <t>Miscellaneous Consultants</t>
  </si>
  <si>
    <t>Owner's Contingency (3% of EPC)</t>
  </si>
  <si>
    <t>Total Owner's</t>
  </si>
  <si>
    <t>Commissioning</t>
  </si>
  <si>
    <t>Site Infrastructure (roads, landscape, neighbors)</t>
  </si>
  <si>
    <t xml:space="preserve">Start Up </t>
  </si>
  <si>
    <t>Total Commissioning</t>
  </si>
  <si>
    <t>Base Package</t>
  </si>
  <si>
    <t>BOP</t>
  </si>
  <si>
    <t>Sales Tax (5.0%)</t>
  </si>
  <si>
    <t>Other Costs</t>
  </si>
  <si>
    <t>Total Capital Cost</t>
  </si>
  <si>
    <t>ISO Output (MW)</t>
  </si>
  <si>
    <t>DLE Estimated Output at 90 deg F</t>
  </si>
  <si>
    <t>Sprint/Water Inj Estimated Output at 90 deg F</t>
  </si>
  <si>
    <t>Operations Summary</t>
  </si>
  <si>
    <t>FIXED COSTS</t>
  </si>
  <si>
    <t>Labor</t>
  </si>
  <si>
    <t>add one+ maintenance</t>
  </si>
  <si>
    <t>Annual Inspection of Gas Turbines</t>
  </si>
  <si>
    <t>Fixed - maint &amp; consum</t>
  </si>
  <si>
    <t>per S&amp;S</t>
  </si>
  <si>
    <t>Operator Fee</t>
  </si>
  <si>
    <t>G&amp;A</t>
  </si>
  <si>
    <t>Property &amp; BI Insurance</t>
  </si>
  <si>
    <t>Replacement Power Insurance</t>
  </si>
  <si>
    <t>discuss</t>
  </si>
  <si>
    <t>Real Property Taxes</t>
  </si>
  <si>
    <t>same as existing PILOT</t>
  </si>
  <si>
    <t>Water Supply/Discharge</t>
  </si>
  <si>
    <t>cooling tower</t>
  </si>
  <si>
    <t>Interconnect and NEPOOL Fees</t>
  </si>
  <si>
    <t>Audit/Miscellaneous</t>
  </si>
  <si>
    <t>NOx Budget</t>
  </si>
  <si>
    <t>Asset Mgt. Cost</t>
  </si>
  <si>
    <t>VARIABLE COSTS</t>
  </si>
  <si>
    <t>$/mwhr</t>
  </si>
  <si>
    <t>Cost</t>
  </si>
  <si>
    <t>Energy</t>
  </si>
  <si>
    <t>hrs/yr</t>
  </si>
  <si>
    <t>Consumables</t>
  </si>
  <si>
    <t>Water / Supply Discharge</t>
  </si>
  <si>
    <t>Asset Mhmt. Cost</t>
  </si>
  <si>
    <t>Nox Budget/Audit Costs</t>
  </si>
  <si>
    <t>Labor, Ann. Inspection, Fixed (Maint), Op. Fee</t>
  </si>
  <si>
    <t>Water Supply Discharge</t>
  </si>
  <si>
    <t>Interconnect &amp; Nepool Fees</t>
  </si>
  <si>
    <t xml:space="preserve">  Switchgear/MCC/Relays</t>
  </si>
  <si>
    <t xml:space="preserve">  SCR, CO oxidation Catalyst, DLE Combuster Turbine</t>
  </si>
  <si>
    <t xml:space="preserve">  Stacks, Noise Mitigation, Buildings</t>
  </si>
  <si>
    <t xml:space="preserve">  Freight</t>
  </si>
  <si>
    <t xml:space="preserve">  LMP Cost Adder</t>
  </si>
  <si>
    <t>ENA Turbines with UAE Costs</t>
  </si>
  <si>
    <t xml:space="preserve">  Spare Parts Inventory</t>
  </si>
  <si>
    <t xml:space="preserve">  Owners Cost</t>
  </si>
  <si>
    <t xml:space="preserve">  Others Costs</t>
  </si>
  <si>
    <t>UAE Cost Sceanrio</t>
  </si>
  <si>
    <t>Lease</t>
  </si>
  <si>
    <t>Plant Turnkey Price</t>
  </si>
  <si>
    <t>Debt Term (yrs)</t>
  </si>
  <si>
    <t>Rate (%)</t>
  </si>
  <si>
    <t>Princ Amort Sched (yrs)</t>
  </si>
  <si>
    <t>Equity (%)</t>
  </si>
  <si>
    <t>Equity ($)</t>
  </si>
  <si>
    <t>Posted LC</t>
  </si>
  <si>
    <t>Turbines (#)</t>
  </si>
  <si>
    <t>Capacity (MW)</t>
  </si>
  <si>
    <t>Capacity Pmt ($/kw-mo)</t>
  </si>
  <si>
    <t>Total $</t>
  </si>
  <si>
    <t>$/kw/mo</t>
  </si>
  <si>
    <t>100% Lease</t>
  </si>
  <si>
    <t>Pmt Diff</t>
  </si>
  <si>
    <t>Prin Bal</t>
  </si>
  <si>
    <t>Pmt</t>
  </si>
  <si>
    <t>Int Pmt</t>
  </si>
  <si>
    <t>Prin Pmt</t>
  </si>
  <si>
    <t>10 yr Amort</t>
  </si>
  <si>
    <t>Debt Options</t>
  </si>
  <si>
    <t>New Debt</t>
  </si>
  <si>
    <t>10-Yr. Debt</t>
  </si>
  <si>
    <t>7-Yr. Debt</t>
  </si>
  <si>
    <t>Versions</t>
  </si>
  <si>
    <t>Optimal Debt</t>
  </si>
  <si>
    <t>With 20% of Initial Project Costs</t>
  </si>
  <si>
    <t>Lease Option</t>
  </si>
  <si>
    <t>10-Yr. Debt Option</t>
  </si>
  <si>
    <t>Debt Repayment - Bullet</t>
  </si>
  <si>
    <t>Debt Versions</t>
  </si>
  <si>
    <t>7 yr Term with 12 yr. Amort.</t>
  </si>
  <si>
    <t>Capacity Price</t>
  </si>
  <si>
    <t>Add Depreciation (Lease)</t>
  </si>
  <si>
    <t>NPV</t>
  </si>
  <si>
    <t>15 yr Amort on Lease Structure</t>
  </si>
  <si>
    <t>Cash In Flow</t>
  </si>
  <si>
    <t>Less Principal Payments (Lease Years 6-20)</t>
  </si>
  <si>
    <t>Cash In Flow (Trapped Cash)</t>
  </si>
  <si>
    <t>NPV @ 15% (000's)</t>
  </si>
  <si>
    <r>
      <t>Notes</t>
    </r>
    <r>
      <rPr>
        <b/>
        <sz val="10"/>
        <rFont val="Arial"/>
        <family val="2"/>
      </rPr>
      <t>:  Lease Structure</t>
    </r>
  </si>
  <si>
    <r>
      <t>Notes</t>
    </r>
    <r>
      <rPr>
        <b/>
        <sz val="10"/>
        <rFont val="Arial"/>
        <family val="2"/>
      </rPr>
      <t>:  Debt Structure</t>
    </r>
  </si>
  <si>
    <t xml:space="preserve">New Debt </t>
  </si>
  <si>
    <t>Debt Repayment - First Level</t>
  </si>
  <si>
    <t>Debt Repayment - Second Level</t>
  </si>
  <si>
    <t>Debt Repayment</t>
  </si>
  <si>
    <t>Total Cash Flow - 5 Year Term</t>
  </si>
  <si>
    <t>Total Cash Flow - 20 Year Term</t>
  </si>
  <si>
    <t>5 Year Term</t>
  </si>
  <si>
    <t>20 Year Term</t>
  </si>
  <si>
    <t>Debt Repayment - No Bullet</t>
  </si>
  <si>
    <t>7 Year Term</t>
  </si>
  <si>
    <t>Years 1-5: 8.0% Rate; 90/10 D/E: Capacity @ $4.50</t>
  </si>
  <si>
    <t xml:space="preserve">5 Year Lease Structure </t>
  </si>
  <si>
    <t>Years 1-7: 70/30 D/E; 9.5% Rate; 12 year amort.</t>
  </si>
  <si>
    <t xml:space="preserve">Years 6-20: 8.75% Rate; </t>
  </si>
  <si>
    <t>Total Cash Flow - 7 Year Term</t>
  </si>
  <si>
    <t>ENRON'S RETURN ANALYSIS</t>
  </si>
  <si>
    <t>Distribution to ENA</t>
  </si>
  <si>
    <t>Distribution to UAE</t>
  </si>
  <si>
    <t>UAE's RETURN ANALYSIS</t>
  </si>
  <si>
    <t>Enron Return Analysis</t>
  </si>
  <si>
    <t>Equity Distribution Percentage</t>
  </si>
  <si>
    <t>Amortization</t>
  </si>
  <si>
    <t>Schedules</t>
  </si>
  <si>
    <t>Principal Balance</t>
  </si>
  <si>
    <t>Payment</t>
  </si>
  <si>
    <t>Interest Payment</t>
  </si>
  <si>
    <t>Principal Payment</t>
  </si>
  <si>
    <t>Lease Years 1 -5</t>
  </si>
  <si>
    <t>12 yr Amort</t>
  </si>
  <si>
    <t>7 Year Debt w/ 12 yr. Amort</t>
  </si>
  <si>
    <t>13 Year Debt</t>
  </si>
  <si>
    <t>15 Year Debt</t>
  </si>
  <si>
    <t>13 yr Amort Debt Structure</t>
  </si>
  <si>
    <t>Less Principal Payments (Debt Years 8-20)</t>
  </si>
  <si>
    <t>Less Interest Payments (Debt Years 8-20)</t>
  </si>
  <si>
    <t>Less Principal Payments (Debt Years 1-7)</t>
  </si>
  <si>
    <t>Less Interest Payments (Debt Years 1-7)</t>
  </si>
  <si>
    <t>Payment to Equal Lease</t>
  </si>
  <si>
    <t>Less Interest Payments (Lease) &amp; (Int. Years 6-20)</t>
  </si>
  <si>
    <t>Debt (13 Yr.)</t>
  </si>
  <si>
    <t>Debt (7 Yr.)</t>
  </si>
  <si>
    <t>N/A</t>
  </si>
  <si>
    <t>Refinancing in Year 6 - 20</t>
  </si>
  <si>
    <t>Refinancing in Year 8-20</t>
  </si>
  <si>
    <t>7 Year Debt Structure</t>
  </si>
  <si>
    <t>Debt (15 Yr.)</t>
  </si>
  <si>
    <t>Cash Flows</t>
  </si>
  <si>
    <t>20 Year Lease Structure With Debt</t>
  </si>
  <si>
    <t>20 Year Debt Structure With Debt</t>
  </si>
  <si>
    <t>Less Lease Principal Payments</t>
  </si>
  <si>
    <t>100% Lease with Principal Payment (12 yr. Amort.)</t>
  </si>
  <si>
    <t>Lease with Prin. Pmt</t>
  </si>
  <si>
    <t>Total Expense w/o Energy Exp.</t>
  </si>
  <si>
    <t>Resid Value</t>
  </si>
  <si>
    <t>10 Year Term</t>
  </si>
  <si>
    <t>Total Cash Flow - 10 Year Term</t>
  </si>
  <si>
    <t>10-Yr. Debt Option w/ 10 Yr. Amort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</si>
</sst>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17" formatCode="&quot;$&quot;#,##0"/>
    <numFmt numFmtId="218" formatCode="&quot;$&quot;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20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b/>
      <vertAlign val="superscript"/>
      <sz val="16"/>
      <name val="Arial"/>
      <family val="2"/>
    </font>
    <font>
      <b/>
      <sz val="16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u/>
      <sz val="12"/>
      <color indexed="12"/>
      <name val="Times New Roman"/>
      <family val="1"/>
    </font>
    <font>
      <b/>
      <sz val="12"/>
      <name val="Arial"/>
      <family val="2"/>
    </font>
    <font>
      <b/>
      <sz val="7.5"/>
      <name val="Arial"/>
      <family val="2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745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1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1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1" applyNumberFormat="1" applyFont="1" applyBorder="1" applyAlignment="1">
      <alignment horizontal="center"/>
    </xf>
    <xf numFmtId="164" fontId="30" fillId="0" borderId="0" xfId="21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1" applyFont="1" applyBorder="1" applyAlignment="1">
      <alignment horizontal="center"/>
    </xf>
    <xf numFmtId="9" fontId="22" fillId="0" borderId="9" xfId="21" applyFont="1" applyFill="1" applyBorder="1" applyAlignment="1">
      <alignment horizontal="center"/>
    </xf>
    <xf numFmtId="9" fontId="22" fillId="0" borderId="13" xfId="2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1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1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1" applyNumberFormat="1" applyFont="1" applyFill="1" applyBorder="1" applyAlignment="1">
      <alignment horizontal="center"/>
    </xf>
    <xf numFmtId="9" fontId="30" fillId="0" borderId="9" xfId="21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1" applyNumberFormat="1" applyFont="1" applyFill="1" applyBorder="1" applyAlignment="1">
      <alignment horizontal="center"/>
    </xf>
    <xf numFmtId="9" fontId="22" fillId="0" borderId="0" xfId="2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1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1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1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1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1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1" applyFont="1" applyBorder="1"/>
    <xf numFmtId="9" fontId="0" fillId="0" borderId="8" xfId="21" applyFont="1" applyBorder="1"/>
    <xf numFmtId="9" fontId="0" fillId="0" borderId="0" xfId="21" applyFont="1" applyBorder="1"/>
    <xf numFmtId="9" fontId="0" fillId="0" borderId="9" xfId="21" applyFont="1" applyBorder="1"/>
    <xf numFmtId="0" fontId="0" fillId="0" borderId="6" xfId="0" applyBorder="1"/>
    <xf numFmtId="9" fontId="0" fillId="0" borderId="6" xfId="21" applyFont="1" applyBorder="1"/>
    <xf numFmtId="9" fontId="0" fillId="0" borderId="13" xfId="21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1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1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1" applyNumberFormat="1" applyFont="1" applyFill="1" applyBorder="1" applyAlignment="1">
      <alignment horizontal="center"/>
    </xf>
    <xf numFmtId="9" fontId="3" fillId="8" borderId="3" xfId="21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1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1" applyNumberFormat="1" applyFont="1" applyBorder="1"/>
    <xf numFmtId="9" fontId="0" fillId="0" borderId="0" xfId="21" applyNumberFormat="1" applyFont="1" applyBorder="1"/>
    <xf numFmtId="166" fontId="28" fillId="0" borderId="0" xfId="3" applyNumberFormat="1" applyFont="1"/>
    <xf numFmtId="10" fontId="2" fillId="0" borderId="0" xfId="21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1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1" applyNumberFormat="1" applyFont="1" applyBorder="1" applyAlignment="1">
      <alignment horizontal="center"/>
    </xf>
    <xf numFmtId="38" fontId="110" fillId="0" borderId="0" xfId="0" applyNumberFormat="1" applyFont="1" applyFill="1" applyBorder="1" applyAlignment="1">
      <alignment horizontal="right"/>
    </xf>
    <xf numFmtId="0" fontId="102" fillId="0" borderId="0" xfId="20" applyFont="1"/>
    <xf numFmtId="0" fontId="1" fillId="0" borderId="0" xfId="20"/>
    <xf numFmtId="0" fontId="102" fillId="0" borderId="0" xfId="20" applyFont="1" applyAlignment="1">
      <alignment horizontal="centerContinuous"/>
    </xf>
    <xf numFmtId="0" fontId="1" fillId="0" borderId="0" xfId="20" applyAlignment="1">
      <alignment horizontal="centerContinuous"/>
    </xf>
    <xf numFmtId="0" fontId="1" fillId="0" borderId="0" xfId="20" applyAlignment="1">
      <alignment horizontal="left"/>
    </xf>
    <xf numFmtId="0" fontId="113" fillId="4" borderId="4" xfId="20" applyFont="1" applyFill="1" applyBorder="1" applyAlignment="1">
      <alignment horizontal="centerContinuous"/>
    </xf>
    <xf numFmtId="0" fontId="113" fillId="4" borderId="0" xfId="20" applyFont="1" applyFill="1" applyAlignment="1">
      <alignment horizontal="centerContinuous"/>
    </xf>
    <xf numFmtId="0" fontId="113" fillId="0" borderId="0" xfId="20" applyFont="1" applyAlignment="1">
      <alignment horizontal="centerContinuous"/>
    </xf>
    <xf numFmtId="0" fontId="1" fillId="4" borderId="0" xfId="20" applyFill="1" applyAlignment="1">
      <alignment horizontal="centerContinuous"/>
    </xf>
    <xf numFmtId="0" fontId="1" fillId="0" borderId="31" xfId="20" applyBorder="1" applyAlignment="1">
      <alignment horizontal="center"/>
    </xf>
    <xf numFmtId="0" fontId="1" fillId="0" borderId="3" xfId="20" applyBorder="1" applyAlignment="1">
      <alignment horizontal="center"/>
    </xf>
    <xf numFmtId="0" fontId="1" fillId="0" borderId="16" xfId="20" applyBorder="1" applyAlignment="1">
      <alignment horizontal="center"/>
    </xf>
    <xf numFmtId="0" fontId="1" fillId="0" borderId="32" xfId="20" applyBorder="1" applyAlignment="1">
      <alignment horizontal="center"/>
    </xf>
    <xf numFmtId="0" fontId="1" fillId="0" borderId="18" xfId="20" applyBorder="1" applyAlignment="1">
      <alignment horizontal="center"/>
    </xf>
    <xf numFmtId="0" fontId="1" fillId="0" borderId="0" xfId="20" applyBorder="1" applyAlignment="1">
      <alignment horizontal="center"/>
    </xf>
    <xf numFmtId="0" fontId="1" fillId="0" borderId="0" xfId="20" applyAlignment="1">
      <alignment horizontal="center"/>
    </xf>
    <xf numFmtId="0" fontId="1" fillId="0" borderId="0" xfId="20" applyBorder="1" applyAlignment="1">
      <alignment horizontal="centerContinuous"/>
    </xf>
    <xf numFmtId="2" fontId="1" fillId="0" borderId="3" xfId="20" applyNumberFormat="1" applyBorder="1" applyAlignment="1">
      <alignment horizontal="center"/>
    </xf>
    <xf numFmtId="1" fontId="1" fillId="0" borderId="3" xfId="20" applyNumberFormat="1" applyBorder="1" applyAlignment="1">
      <alignment horizontal="center"/>
    </xf>
    <xf numFmtId="2" fontId="1" fillId="0" borderId="32" xfId="20" applyNumberFormat="1" applyBorder="1" applyAlignment="1">
      <alignment horizontal="center"/>
    </xf>
    <xf numFmtId="2" fontId="1" fillId="0" borderId="0" xfId="20" applyNumberFormat="1" applyBorder="1" applyAlignment="1">
      <alignment horizontal="center"/>
    </xf>
    <xf numFmtId="3" fontId="1" fillId="0" borderId="32" xfId="20" applyNumberFormat="1" applyBorder="1" applyAlignment="1">
      <alignment horizontal="center"/>
    </xf>
    <xf numFmtId="1" fontId="1" fillId="0" borderId="32" xfId="20" applyNumberFormat="1" applyBorder="1" applyAlignment="1">
      <alignment horizontal="center"/>
    </xf>
    <xf numFmtId="1" fontId="1" fillId="0" borderId="0" xfId="20" applyNumberFormat="1" applyBorder="1" applyAlignment="1">
      <alignment horizontal="center"/>
    </xf>
    <xf numFmtId="0" fontId="114" fillId="0" borderId="3" xfId="20" applyFont="1" applyBorder="1" applyAlignment="1">
      <alignment horizontal="center"/>
    </xf>
    <xf numFmtId="9" fontId="1" fillId="0" borderId="0" xfId="21" applyAlignment="1">
      <alignment horizontal="center"/>
    </xf>
    <xf numFmtId="189" fontId="1" fillId="0" borderId="0" xfId="21" applyNumberFormat="1" applyAlignment="1">
      <alignment horizontal="center"/>
    </xf>
    <xf numFmtId="187" fontId="1" fillId="0" borderId="0" xfId="21" applyNumberFormat="1" applyAlignment="1">
      <alignment horizontal="center"/>
    </xf>
    <xf numFmtId="0" fontId="1" fillId="0" borderId="0" xfId="21" applyNumberFormat="1" applyAlignment="1">
      <alignment horizontal="center"/>
    </xf>
    <xf numFmtId="0" fontId="1" fillId="0" borderId="3" xfId="20" applyBorder="1"/>
    <xf numFmtId="0" fontId="1" fillId="0" borderId="3" xfId="20" applyBorder="1" applyAlignment="1">
      <alignment horizontal="centerContinuous"/>
    </xf>
    <xf numFmtId="0" fontId="1" fillId="0" borderId="3" xfId="20" applyFont="1" applyBorder="1" applyAlignment="1">
      <alignment horizontal="center"/>
    </xf>
    <xf numFmtId="6" fontId="1" fillId="0" borderId="3" xfId="20" applyNumberFormat="1" applyBorder="1" applyAlignment="1">
      <alignment horizontal="center"/>
    </xf>
    <xf numFmtId="5" fontId="1" fillId="0" borderId="3" xfId="4" applyNumberFormat="1" applyBorder="1" applyAlignment="1">
      <alignment horizontal="center"/>
    </xf>
    <xf numFmtId="217" fontId="1" fillId="0" borderId="3" xfId="20" applyNumberFormat="1" applyBorder="1" applyAlignment="1">
      <alignment horizontal="center"/>
    </xf>
    <xf numFmtId="217" fontId="21" fillId="0" borderId="3" xfId="20" applyNumberFormat="1" applyFont="1" applyBorder="1" applyAlignment="1">
      <alignment horizontal="center"/>
    </xf>
    <xf numFmtId="0" fontId="1" fillId="0" borderId="3" xfId="20" applyFont="1" applyBorder="1"/>
    <xf numFmtId="5" fontId="21" fillId="0" borderId="3" xfId="4" applyNumberFormat="1" applyFont="1" applyBorder="1" applyAlignment="1">
      <alignment horizontal="center"/>
    </xf>
    <xf numFmtId="0" fontId="102" fillId="0" borderId="3" xfId="20" applyFont="1" applyBorder="1"/>
    <xf numFmtId="6" fontId="102" fillId="0" borderId="3" xfId="20" applyNumberFormat="1" applyFont="1" applyBorder="1" applyAlignment="1">
      <alignment horizontal="center"/>
    </xf>
    <xf numFmtId="0" fontId="1" fillId="0" borderId="0" xfId="20" applyFont="1"/>
    <xf numFmtId="0" fontId="48" fillId="0" borderId="0" xfId="20" applyFont="1"/>
    <xf numFmtId="0" fontId="48" fillId="0" borderId="0" xfId="20" applyFont="1" applyAlignment="1">
      <alignment horizontal="center"/>
    </xf>
    <xf numFmtId="0" fontId="48" fillId="0" borderId="0" xfId="20" applyFont="1" applyAlignment="1">
      <alignment horizontal="left"/>
    </xf>
    <xf numFmtId="0" fontId="115" fillId="0" borderId="3" xfId="20" applyFont="1" applyBorder="1" applyAlignment="1">
      <alignment horizontal="centerContinuous"/>
    </xf>
    <xf numFmtId="0" fontId="111" fillId="0" borderId="3" xfId="20" applyFont="1" applyBorder="1" applyAlignment="1">
      <alignment horizontal="centerContinuous"/>
    </xf>
    <xf numFmtId="0" fontId="115" fillId="0" borderId="3" xfId="20" applyFont="1" applyBorder="1" applyAlignment="1">
      <alignment horizontal="center"/>
    </xf>
    <xf numFmtId="0" fontId="102" fillId="0" borderId="4" xfId="20" applyFont="1" applyBorder="1"/>
    <xf numFmtId="0" fontId="1" fillId="0" borderId="4" xfId="20" applyBorder="1"/>
    <xf numFmtId="0" fontId="1" fillId="0" borderId="3" xfId="20" applyBorder="1" applyAlignment="1">
      <alignment horizontal="right"/>
    </xf>
    <xf numFmtId="0" fontId="1" fillId="0" borderId="3" xfId="20" applyFont="1" applyBorder="1" applyAlignment="1">
      <alignment horizontal="right"/>
    </xf>
    <xf numFmtId="217" fontId="1" fillId="0" borderId="3" xfId="20" applyNumberFormat="1" applyBorder="1"/>
    <xf numFmtId="6" fontId="1" fillId="0" borderId="3" xfId="20" applyNumberFormat="1" applyBorder="1"/>
    <xf numFmtId="217" fontId="34" fillId="0" borderId="3" xfId="20" applyNumberFormat="1" applyFont="1" applyBorder="1"/>
    <xf numFmtId="6" fontId="1" fillId="0" borderId="0" xfId="20" applyNumberFormat="1"/>
    <xf numFmtId="6" fontId="1" fillId="0" borderId="3" xfId="20" applyNumberFormat="1" applyFont="1" applyBorder="1" applyAlignment="1">
      <alignment horizontal="right"/>
    </xf>
    <xf numFmtId="217" fontId="1" fillId="0" borderId="3" xfId="20" applyNumberFormat="1" applyFont="1" applyBorder="1" applyAlignment="1">
      <alignment horizontal="right"/>
    </xf>
    <xf numFmtId="217" fontId="1" fillId="0" borderId="3" xfId="20" applyNumberFormat="1" applyBorder="1" applyAlignment="1">
      <alignment horizontal="right"/>
    </xf>
    <xf numFmtId="6" fontId="1" fillId="0" borderId="3" xfId="20" applyNumberFormat="1" applyBorder="1" applyAlignment="1">
      <alignment horizontal="right"/>
    </xf>
    <xf numFmtId="6" fontId="102" fillId="0" borderId="3" xfId="20" applyNumberFormat="1" applyFont="1" applyBorder="1"/>
    <xf numFmtId="217" fontId="102" fillId="0" borderId="3" xfId="20" applyNumberFormat="1" applyFont="1" applyBorder="1"/>
    <xf numFmtId="6" fontId="102" fillId="0" borderId="3" xfId="20" applyNumberFormat="1" applyFont="1" applyBorder="1" applyAlignment="1">
      <alignment horizontal="right"/>
    </xf>
    <xf numFmtId="0" fontId="102" fillId="0" borderId="16" xfId="20" applyFont="1" applyBorder="1"/>
    <xf numFmtId="6" fontId="102" fillId="0" borderId="0" xfId="20" applyNumberFormat="1" applyFont="1" applyBorder="1"/>
    <xf numFmtId="0" fontId="1" fillId="0" borderId="16" xfId="20" applyBorder="1"/>
    <xf numFmtId="217" fontId="1" fillId="0" borderId="0" xfId="20" applyNumberFormat="1" applyBorder="1"/>
    <xf numFmtId="6" fontId="1" fillId="0" borderId="0" xfId="20" applyNumberFormat="1" applyBorder="1"/>
    <xf numFmtId="217" fontId="34" fillId="0" borderId="0" xfId="20" applyNumberFormat="1" applyFont="1" applyBorder="1" applyAlignment="1">
      <alignment horizontal="right"/>
    </xf>
    <xf numFmtId="0" fontId="1" fillId="0" borderId="0" xfId="20" applyBorder="1"/>
    <xf numFmtId="6" fontId="102" fillId="0" borderId="16" xfId="20" applyNumberFormat="1" applyFont="1" applyBorder="1"/>
    <xf numFmtId="217" fontId="1" fillId="0" borderId="3" xfId="20" applyNumberFormat="1" applyFont="1" applyBorder="1"/>
    <xf numFmtId="218" fontId="1" fillId="0" borderId="0" xfId="20" applyNumberFormat="1" applyFont="1" applyBorder="1"/>
    <xf numFmtId="217" fontId="1" fillId="0" borderId="3" xfId="20" quotePrefix="1" applyNumberFormat="1" applyBorder="1" applyAlignment="1">
      <alignment horizontal="right"/>
    </xf>
    <xf numFmtId="217" fontId="102" fillId="0" borderId="0" xfId="20" applyNumberFormat="1" applyFont="1" applyBorder="1"/>
    <xf numFmtId="0" fontId="102" fillId="0" borderId="3" xfId="20" applyNumberFormat="1" applyFont="1" applyBorder="1"/>
    <xf numFmtId="0" fontId="102" fillId="0" borderId="0" xfId="20" applyFont="1" applyBorder="1"/>
    <xf numFmtId="0" fontId="54" fillId="0" borderId="0" xfId="0" applyFont="1"/>
    <xf numFmtId="0" fontId="21" fillId="0" borderId="0" xfId="0" applyFont="1"/>
    <xf numFmtId="9" fontId="21" fillId="0" borderId="0" xfId="21" applyFont="1"/>
    <xf numFmtId="3" fontId="21" fillId="0" borderId="0" xfId="0" applyNumberFormat="1" applyFont="1"/>
    <xf numFmtId="170" fontId="21" fillId="0" borderId="0" xfId="0" applyNumberFormat="1" applyFont="1" applyProtection="1"/>
    <xf numFmtId="3" fontId="21" fillId="0" borderId="0" xfId="4" applyNumberFormat="1" applyFont="1"/>
    <xf numFmtId="3" fontId="21" fillId="0" borderId="0" xfId="0" applyNumberFormat="1" applyFont="1" applyProtection="1"/>
    <xf numFmtId="3" fontId="21" fillId="0" borderId="0" xfId="4" applyNumberFormat="1" applyFont="1" applyProtection="1"/>
    <xf numFmtId="3" fontId="21" fillId="0" borderId="0" xfId="0" applyNumberFormat="1" applyFont="1" applyAlignment="1">
      <alignment horizontal="right"/>
    </xf>
    <xf numFmtId="7" fontId="21" fillId="0" borderId="0" xfId="0" applyNumberFormat="1" applyFont="1" applyProtection="1"/>
    <xf numFmtId="3" fontId="111" fillId="0" borderId="0" xfId="0" applyNumberFormat="1" applyFont="1"/>
    <xf numFmtId="0" fontId="21" fillId="0" borderId="0" xfId="0" applyFont="1" applyAlignment="1">
      <alignment horizontal="right"/>
    </xf>
    <xf numFmtId="44" fontId="21" fillId="0" borderId="0" xfId="4" applyFont="1"/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38" fontId="109" fillId="0" borderId="0" xfId="3" applyNumberFormat="1" applyFont="1" applyFill="1" applyBorder="1" applyAlignment="1">
      <alignment horizontal="center"/>
    </xf>
    <xf numFmtId="166" fontId="109" fillId="8" borderId="0" xfId="3" applyNumberFormat="1" applyFont="1" applyFill="1" applyBorder="1"/>
    <xf numFmtId="43" fontId="109" fillId="8" borderId="9" xfId="3" applyNumberFormat="1" applyFont="1" applyFill="1" applyBorder="1"/>
    <xf numFmtId="43" fontId="116" fillId="8" borderId="9" xfId="3" applyNumberFormat="1" applyFont="1" applyFill="1" applyBorder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11" fillId="0" borderId="0" xfId="0" applyFont="1"/>
    <xf numFmtId="6" fontId="0" fillId="0" borderId="0" xfId="0" applyNumberFormat="1"/>
    <xf numFmtId="8" fontId="0" fillId="0" borderId="0" xfId="0" applyNumberFormat="1"/>
    <xf numFmtId="0" fontId="0" fillId="0" borderId="14" xfId="0" applyBorder="1"/>
    <xf numFmtId="0" fontId="115" fillId="0" borderId="0" xfId="0" applyFon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9" fontId="1" fillId="0" borderId="0" xfId="21" applyBorder="1" applyAlignment="1">
      <alignment horizontal="center"/>
    </xf>
    <xf numFmtId="9" fontId="1" fillId="0" borderId="0" xfId="21" applyBorder="1" applyAlignment="1">
      <alignment horizontal="right"/>
    </xf>
    <xf numFmtId="6" fontId="0" fillId="0" borderId="0" xfId="0" applyNumberFormat="1" applyBorder="1"/>
    <xf numFmtId="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102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164" fontId="1" fillId="0" borderId="0" xfId="21" applyNumberFormat="1" applyBorder="1" applyAlignment="1">
      <alignment horizontal="center"/>
    </xf>
    <xf numFmtId="164" fontId="1" fillId="0" borderId="0" xfId="21" applyNumberFormat="1" applyBorder="1" applyAlignment="1">
      <alignment horizontal="right"/>
    </xf>
    <xf numFmtId="164" fontId="0" fillId="0" borderId="0" xfId="0" applyNumberFormat="1" applyBorder="1"/>
    <xf numFmtId="8" fontId="0" fillId="0" borderId="0" xfId="0" applyNumberFormat="1" applyBorder="1"/>
    <xf numFmtId="0" fontId="0" fillId="0" borderId="15" xfId="0" applyBorder="1"/>
    <xf numFmtId="6" fontId="0" fillId="0" borderId="6" xfId="0" applyNumberForma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44" fontId="3" fillId="0" borderId="0" xfId="4" applyFont="1"/>
    <xf numFmtId="38" fontId="3" fillId="0" borderId="0" xfId="0" applyNumberFormat="1" applyFont="1" applyBorder="1"/>
    <xf numFmtId="165" fontId="3" fillId="0" borderId="4" xfId="4" applyNumberFormat="1" applyFont="1" applyBorder="1"/>
    <xf numFmtId="165" fontId="3" fillId="0" borderId="0" xfId="4" applyNumberFormat="1" applyFont="1"/>
    <xf numFmtId="165" fontId="3" fillId="8" borderId="4" xfId="4" applyNumberFormat="1" applyFont="1" applyFill="1" applyBorder="1"/>
    <xf numFmtId="165" fontId="3" fillId="0" borderId="0" xfId="4" applyNumberFormat="1" applyFont="1" applyBorder="1"/>
    <xf numFmtId="0" fontId="115" fillId="0" borderId="7" xfId="0" applyFont="1" applyBorder="1" applyAlignment="1">
      <alignment horizontal="center"/>
    </xf>
    <xf numFmtId="0" fontId="115" fillId="0" borderId="8" xfId="0" applyFon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37" fontId="50" fillId="0" borderId="0" xfId="0" applyNumberFormat="1" applyFont="1" applyBorder="1" applyAlignment="1">
      <alignment horizontal="center"/>
    </xf>
    <xf numFmtId="37" fontId="50" fillId="0" borderId="9" xfId="0" applyNumberFormat="1" applyFont="1" applyBorder="1" applyAlignment="1">
      <alignment horizontal="center"/>
    </xf>
    <xf numFmtId="10" fontId="50" fillId="0" borderId="0" xfId="21" applyNumberFormat="1" applyFont="1" applyBorder="1" applyAlignment="1">
      <alignment horizontal="center"/>
    </xf>
    <xf numFmtId="10" fontId="50" fillId="0" borderId="9" xfId="21" applyNumberFormat="1" applyFont="1" applyBorder="1" applyAlignment="1">
      <alignment horizontal="center"/>
    </xf>
    <xf numFmtId="164" fontId="50" fillId="0" borderId="0" xfId="21" applyNumberFormat="1" applyFont="1" applyBorder="1" applyAlignment="1">
      <alignment horizontal="center"/>
    </xf>
    <xf numFmtId="164" fontId="50" fillId="0" borderId="9" xfId="21" applyNumberFormat="1" applyFont="1" applyBorder="1" applyAlignment="1">
      <alignment horizontal="center"/>
    </xf>
    <xf numFmtId="6" fontId="50" fillId="0" borderId="0" xfId="0" applyNumberFormat="1" applyFont="1" applyBorder="1" applyAlignment="1">
      <alignment horizontal="center"/>
    </xf>
    <xf numFmtId="6" fontId="50" fillId="0" borderId="9" xfId="0" applyNumberFormat="1" applyFont="1" applyBorder="1" applyAlignment="1">
      <alignment horizontal="center"/>
    </xf>
    <xf numFmtId="0" fontId="0" fillId="0" borderId="6" xfId="0" applyBorder="1" applyAlignment="1">
      <alignment horizontal="right"/>
    </xf>
    <xf numFmtId="8" fontId="50" fillId="0" borderId="6" xfId="0" applyNumberFormat="1" applyFont="1" applyBorder="1" applyAlignment="1">
      <alignment horizontal="center"/>
    </xf>
    <xf numFmtId="8" fontId="50" fillId="0" borderId="13" xfId="0" applyNumberFormat="1" applyFont="1" applyBorder="1" applyAlignment="1">
      <alignment horizontal="center"/>
    </xf>
    <xf numFmtId="44" fontId="0" fillId="0" borderId="0" xfId="4" applyFont="1"/>
    <xf numFmtId="9" fontId="0" fillId="0" borderId="0" xfId="21" applyFont="1"/>
    <xf numFmtId="0" fontId="102" fillId="0" borderId="0" xfId="0" applyFont="1"/>
    <xf numFmtId="10" fontId="2" fillId="10" borderId="3" xfId="21" applyNumberFormat="1" applyFont="1" applyFill="1" applyBorder="1" applyAlignment="1">
      <alignment horizontal="center"/>
    </xf>
    <xf numFmtId="0" fontId="11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6" fontId="2" fillId="10" borderId="3" xfId="0" applyNumberFormat="1" applyFont="1" applyFill="1" applyBorder="1" applyAlignment="1">
      <alignment horizontal="center"/>
    </xf>
    <xf numFmtId="0" fontId="115" fillId="0" borderId="0" xfId="0" applyFont="1" applyAlignment="1">
      <alignment horizontal="center"/>
    </xf>
    <xf numFmtId="6" fontId="0" fillId="0" borderId="6" xfId="0" applyNumberFormat="1" applyBorder="1"/>
    <xf numFmtId="6" fontId="0" fillId="11" borderId="0" xfId="0" applyNumberFormat="1" applyFill="1"/>
    <xf numFmtId="6" fontId="3" fillId="0" borderId="0" xfId="0" applyNumberFormat="1" applyFont="1" applyBorder="1"/>
    <xf numFmtId="44" fontId="3" fillId="0" borderId="4" xfId="4" applyFont="1" applyBorder="1"/>
    <xf numFmtId="0" fontId="3" fillId="11" borderId="0" xfId="0" applyFont="1" applyFill="1" applyAlignment="1">
      <alignment horizontal="center"/>
    </xf>
    <xf numFmtId="0" fontId="118" fillId="0" borderId="0" xfId="0" applyFont="1"/>
    <xf numFmtId="0" fontId="0" fillId="0" borderId="0" xfId="0" applyAlignment="1"/>
    <xf numFmtId="0" fontId="3" fillId="0" borderId="0" xfId="0" applyFont="1" applyBorder="1" applyAlignment="1"/>
    <xf numFmtId="165" fontId="2" fillId="10" borderId="3" xfId="4" applyNumberFormat="1" applyFont="1" applyFill="1" applyBorder="1" applyAlignment="1">
      <alignment horizontal="center"/>
    </xf>
    <xf numFmtId="164" fontId="2" fillId="10" borderId="3" xfId="21" applyNumberFormat="1" applyFont="1" applyFill="1" applyBorder="1" applyAlignment="1"/>
    <xf numFmtId="164" fontId="2" fillId="10" borderId="3" xfId="0" applyNumberFormat="1" applyFont="1" applyFill="1" applyBorder="1"/>
    <xf numFmtId="6" fontId="2" fillId="0" borderId="0" xfId="0" applyNumberFormat="1" applyFont="1" applyFill="1" applyBorder="1" applyAlignment="1">
      <alignment horizontal="center"/>
    </xf>
    <xf numFmtId="0" fontId="21" fillId="0" borderId="0" xfId="0" applyFont="1" applyAlignment="1"/>
    <xf numFmtId="0" fontId="19" fillId="0" borderId="0" xfId="0" applyFont="1" applyAlignment="1">
      <alignment horizontal="center"/>
    </xf>
    <xf numFmtId="165" fontId="3" fillId="0" borderId="4" xfId="0" applyNumberFormat="1" applyFont="1" applyBorder="1"/>
    <xf numFmtId="0" fontId="3" fillId="0" borderId="0" xfId="0" applyFont="1" applyFill="1" applyAlignment="1">
      <alignment horizontal="center"/>
    </xf>
    <xf numFmtId="0" fontId="3" fillId="0" borderId="6" xfId="0" applyFont="1" applyBorder="1" applyAlignment="1">
      <alignment horizontal="left"/>
    </xf>
    <xf numFmtId="165" fontId="0" fillId="0" borderId="0" xfId="4" applyNumberFormat="1" applyFont="1"/>
    <xf numFmtId="10" fontId="21" fillId="0" borderId="0" xfId="21" applyNumberFormat="1" applyFont="1" applyFill="1" applyBorder="1" applyAlignment="1">
      <alignment horizontal="center"/>
    </xf>
    <xf numFmtId="10" fontId="21" fillId="0" borderId="9" xfId="21" applyNumberFormat="1" applyFont="1" applyFill="1" applyBorder="1" applyAlignment="1">
      <alignment horizontal="center"/>
    </xf>
    <xf numFmtId="37" fontId="21" fillId="0" borderId="0" xfId="0" applyNumberFormat="1" applyFont="1" applyBorder="1" applyAlignment="1">
      <alignment horizontal="center"/>
    </xf>
    <xf numFmtId="164" fontId="21" fillId="0" borderId="0" xfId="21" applyNumberFormat="1" applyFont="1" applyBorder="1" applyAlignment="1">
      <alignment horizontal="center"/>
    </xf>
    <xf numFmtId="37" fontId="21" fillId="0" borderId="9" xfId="0" applyNumberFormat="1" applyFont="1" applyBorder="1" applyAlignment="1">
      <alignment horizontal="center"/>
    </xf>
    <xf numFmtId="164" fontId="21" fillId="0" borderId="9" xfId="21" applyNumberFormat="1" applyFont="1" applyBorder="1" applyAlignment="1">
      <alignment horizontal="center"/>
    </xf>
    <xf numFmtId="165" fontId="0" fillId="0" borderId="0" xfId="0" applyNumberFormat="1"/>
    <xf numFmtId="0" fontId="119" fillId="0" borderId="0" xfId="0" applyFont="1"/>
    <xf numFmtId="44" fontId="3" fillId="0" borderId="0" xfId="4" applyFont="1" applyBorder="1"/>
    <xf numFmtId="165" fontId="3" fillId="0" borderId="0" xfId="0" applyNumberFormat="1" applyFont="1" applyBorder="1"/>
    <xf numFmtId="165" fontId="3" fillId="0" borderId="0" xfId="0" applyNumberFormat="1" applyFont="1" applyFill="1" applyBorder="1" applyAlignment="1">
      <alignment horizontal="center"/>
    </xf>
    <xf numFmtId="6" fontId="50" fillId="11" borderId="0" xfId="0" applyNumberFormat="1" applyFont="1" applyFill="1" applyBorder="1" applyAlignment="1">
      <alignment horizontal="center"/>
    </xf>
    <xf numFmtId="165" fontId="2" fillId="0" borderId="0" xfId="0" applyNumberFormat="1" applyFont="1"/>
    <xf numFmtId="6" fontId="21" fillId="0" borderId="6" xfId="0" applyNumberFormat="1" applyFont="1" applyBorder="1" applyAlignment="1">
      <alignment horizontal="center"/>
    </xf>
    <xf numFmtId="6" fontId="21" fillId="0" borderId="13" xfId="0" applyNumberFormat="1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165" fontId="3" fillId="0" borderId="21" xfId="0" applyNumberFormat="1" applyFont="1" applyBorder="1"/>
    <xf numFmtId="0" fontId="2" fillId="0" borderId="17" xfId="0" applyFont="1" applyBorder="1" applyAlignment="1">
      <alignment horizontal="left"/>
    </xf>
    <xf numFmtId="165" fontId="3" fillId="0" borderId="18" xfId="4" applyNumberFormat="1" applyFont="1" applyBorder="1"/>
    <xf numFmtId="0" fontId="19" fillId="11" borderId="0" xfId="0" applyFont="1" applyFill="1" applyAlignment="1">
      <alignment horizontal="center"/>
    </xf>
    <xf numFmtId="9" fontId="2" fillId="8" borderId="3" xfId="3" applyNumberFormat="1" applyFont="1" applyFill="1" applyBorder="1" applyAlignment="1">
      <alignment horizontal="right"/>
    </xf>
    <xf numFmtId="40" fontId="2" fillId="8" borderId="3" xfId="0" applyNumberFormat="1" applyFont="1" applyFill="1" applyBorder="1"/>
    <xf numFmtId="0" fontId="19" fillId="0" borderId="0" xfId="0" applyFont="1" applyFill="1" applyAlignment="1">
      <alignment horizontal="center"/>
    </xf>
    <xf numFmtId="164" fontId="0" fillId="0" borderId="0" xfId="21" applyNumberFormat="1" applyFont="1"/>
    <xf numFmtId="164" fontId="0" fillId="0" borderId="0" xfId="0" applyNumberFormat="1"/>
    <xf numFmtId="164" fontId="0" fillId="0" borderId="0" xfId="21" applyNumberFormat="1" applyFont="1" applyAlignment="1">
      <alignment horizontal="right"/>
    </xf>
    <xf numFmtId="22" fontId="0" fillId="0" borderId="0" xfId="0" applyNumberFormat="1" applyAlignment="1">
      <alignment horizontal="center"/>
    </xf>
    <xf numFmtId="165" fontId="3" fillId="8" borderId="0" xfId="4" applyNumberFormat="1" applyFont="1" applyFill="1"/>
    <xf numFmtId="0" fontId="0" fillId="8" borderId="3" xfId="0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115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Normal_ProjectBkdwn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Drop" dropLines="3" dropStyle="combo" dx="22" fmlaLink="$AC$13" fmlaRange="$AC$9:$AC$12" noThreeD="1" sel="1" val="0"/>
</file>

<file path=xl/ctrlProps/ctrlProp6.xml><?xml version="1.0" encoding="utf-8"?>
<formControlPr xmlns="http://schemas.microsoft.com/office/spreadsheetml/2009/9/main" objectType="Drop" dropLines="3" dropStyle="combo" dx="22" fmlaLink="$AD$14" fmlaRange="$AD$9:$AD$12" noThreeD="1" sel="1" val="0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38DFE507-E896-C0FD-F9AC-2B9684D47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180FD835-1B47-ADD4-6FD0-D45E94DF6D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33B7667-3DD9-CEEB-7924-F16547899D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7867C06D-EB76-46C9-647A-7E87301C7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200025</xdr:rowOff>
        </xdr:from>
        <xdr:to>
          <xdr:col>9</xdr:col>
          <xdr:colOff>0</xdr:colOff>
          <xdr:row>33</xdr:row>
          <xdr:rowOff>9525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66BC725D-B36E-7C1E-9B59-B5C8F94001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1209675</xdr:colOff>
          <xdr:row>29</xdr:row>
          <xdr:rowOff>0</xdr:rowOff>
        </xdr:from>
        <xdr:to>
          <xdr:col>8</xdr:col>
          <xdr:colOff>1181100</xdr:colOff>
          <xdr:row>30</xdr:row>
          <xdr:rowOff>19050</xdr:rowOff>
        </xdr:to>
        <xdr:sp macro="" textlink="">
          <xdr:nvSpPr>
            <xdr:cNvPr id="1240" name="Drop Down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961EDEC2-C9F7-C6FA-70C5-1D0387D287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B4468235-2B3C-BAB6-DE18-ABBFC4D393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ECT02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Development/Thor/feb00/5xLM02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UAE%20Optimal%20Cost%20Scenario%20version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orma"/>
      <sheetName val="Capital"/>
      <sheetName val="Operations"/>
      <sheetName val="Tax_Dep"/>
      <sheetName val="Book_Dep"/>
    </sheetNames>
    <sheetDataSet>
      <sheetData sheetId="0">
        <row r="5">
          <cell r="B5">
            <v>2500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 Forma"/>
      <sheetName val="Operations"/>
      <sheetName val="Perf. Summ. by Model"/>
      <sheetName val="Perf. Summ. by Amb. Temp."/>
      <sheetName val="Maintenance"/>
      <sheetName val="Capital Cost"/>
      <sheetName val="TechnologyVariance"/>
    </sheetNames>
    <sheetDataSet>
      <sheetData sheetId="0">
        <row r="1">
          <cell r="B1" t="str">
            <v>United American Energy</v>
          </cell>
        </row>
        <row r="2">
          <cell r="B2" t="str">
            <v>Lowell Power Expansion</v>
          </cell>
        </row>
        <row r="3">
          <cell r="B3" t="str">
            <v>PRELIMINARY ECONOMIC ANALYSIS</v>
          </cell>
        </row>
        <row r="15">
          <cell r="D15">
            <v>2450.1019199999996</v>
          </cell>
        </row>
      </sheetData>
      <sheetData sheetId="1"/>
      <sheetData sheetId="2"/>
      <sheetData sheetId="3"/>
      <sheetData sheetId="4">
        <row r="45">
          <cell r="E45">
            <v>31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Gas Curve"/>
      <sheetName val="Turbo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F16">
            <v>-6000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Relationship Id="rId4" Type="http://schemas.openxmlformats.org/officeDocument/2006/relationships/ctrlProp" Target="../ctrlProps/ctrlProp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161</v>
      </c>
      <c r="C2" s="5"/>
    </row>
    <row r="3" spans="1:18" s="46" customFormat="1" ht="15.75"/>
    <row r="4" spans="1:18" s="46" customFormat="1" ht="18.75">
      <c r="A4" s="470">
        <v>1</v>
      </c>
      <c r="B4" s="207" t="s">
        <v>393</v>
      </c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0"/>
    </row>
    <row r="5" spans="1:18" s="46" customFormat="1" ht="18.75">
      <c r="B5" s="207" t="s">
        <v>394</v>
      </c>
      <c r="C5" s="470"/>
      <c r="D5" s="470"/>
      <c r="E5" s="470"/>
      <c r="F5" s="470"/>
      <c r="G5" s="470"/>
      <c r="H5" s="470"/>
      <c r="I5" s="470"/>
      <c r="J5" s="470"/>
      <c r="K5" s="470"/>
      <c r="L5" s="470"/>
      <c r="M5" s="470"/>
      <c r="N5" s="470"/>
      <c r="O5" s="470"/>
      <c r="P5" s="470"/>
      <c r="Q5" s="470"/>
    </row>
    <row r="6" spans="1:18" s="46" customFormat="1" ht="15.75">
      <c r="A6" s="12">
        <v>2</v>
      </c>
      <c r="B6" s="53" t="s">
        <v>305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201</v>
      </c>
    </row>
    <row r="13" spans="1:18" s="46" customFormat="1" ht="15.75">
      <c r="A13" s="471"/>
      <c r="B13" s="12"/>
      <c r="C13" s="12"/>
      <c r="D13" s="12"/>
      <c r="E13" s="12"/>
      <c r="F13" s="12"/>
      <c r="G13" s="12"/>
      <c r="H13" s="12"/>
      <c r="I13" s="472" t="s">
        <v>202</v>
      </c>
      <c r="J13" s="12"/>
      <c r="K13" s="12"/>
      <c r="L13" s="12"/>
      <c r="M13" s="12"/>
      <c r="N13" s="12"/>
      <c r="O13" s="472"/>
      <c r="P13" s="12"/>
    </row>
    <row r="14" spans="1:18" s="46" customFormat="1" ht="15.75">
      <c r="A14" s="12">
        <v>1</v>
      </c>
      <c r="B14" s="12" t="s">
        <v>366</v>
      </c>
      <c r="C14" s="12"/>
      <c r="D14" s="12"/>
      <c r="E14" s="12"/>
      <c r="F14" s="12"/>
      <c r="G14" s="12"/>
      <c r="H14" s="12"/>
      <c r="I14" s="12" t="s">
        <v>203</v>
      </c>
      <c r="J14" s="12"/>
      <c r="K14" s="12"/>
      <c r="L14" s="12"/>
      <c r="M14" s="12"/>
      <c r="N14" s="12"/>
      <c r="O14" s="473"/>
      <c r="P14" s="12"/>
    </row>
    <row r="15" spans="1:18" s="46" customFormat="1" ht="15.75">
      <c r="A15" s="12"/>
      <c r="B15" s="12" t="s">
        <v>267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3"/>
      <c r="P15" s="12"/>
    </row>
    <row r="16" spans="1:18" s="46" customFormat="1" ht="15.75">
      <c r="A16" s="12">
        <v>2</v>
      </c>
      <c r="B16" s="12" t="s">
        <v>229</v>
      </c>
      <c r="C16" s="12"/>
      <c r="D16" s="12"/>
      <c r="E16" s="12"/>
      <c r="F16" s="12"/>
      <c r="G16" s="12"/>
      <c r="H16" s="12"/>
      <c r="I16" s="12" t="s">
        <v>203</v>
      </c>
      <c r="J16" s="12"/>
      <c r="K16" s="12"/>
      <c r="L16" s="12"/>
      <c r="M16" s="12"/>
      <c r="N16" s="12"/>
      <c r="O16" s="473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361</v>
      </c>
      <c r="J17" s="12"/>
      <c r="K17" s="12"/>
      <c r="L17" s="12"/>
      <c r="M17" s="12"/>
      <c r="N17" s="12"/>
      <c r="O17" s="473"/>
      <c r="P17" s="12"/>
    </row>
    <row r="18" spans="1:16" s="46" customFormat="1" ht="15.75">
      <c r="A18" s="12">
        <v>4</v>
      </c>
      <c r="B18" s="12" t="s">
        <v>253</v>
      </c>
      <c r="C18" s="12"/>
      <c r="D18" s="12"/>
      <c r="E18" s="12"/>
      <c r="F18" s="12"/>
      <c r="G18" s="12"/>
      <c r="H18" s="12"/>
      <c r="I18" s="12" t="s">
        <v>412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307</v>
      </c>
      <c r="C19" s="12"/>
      <c r="D19" s="12"/>
      <c r="E19" s="12"/>
      <c r="F19" s="12"/>
      <c r="G19" s="12"/>
      <c r="H19" s="12"/>
      <c r="I19" s="12" t="s">
        <v>277</v>
      </c>
      <c r="J19" s="12"/>
      <c r="K19" s="12"/>
      <c r="L19" s="12"/>
      <c r="M19" s="12"/>
      <c r="N19" s="12"/>
      <c r="O19" s="473"/>
      <c r="P19" s="12"/>
    </row>
    <row r="20" spans="1:16" s="46" customFormat="1" ht="15.75">
      <c r="A20" s="12">
        <v>6</v>
      </c>
      <c r="B20" s="12" t="s">
        <v>327</v>
      </c>
      <c r="C20" s="12"/>
      <c r="D20" s="12"/>
      <c r="E20" s="12"/>
      <c r="F20" s="12"/>
      <c r="G20" s="12"/>
      <c r="H20" s="12"/>
      <c r="I20" s="12" t="s">
        <v>328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359</v>
      </c>
      <c r="C21" s="12"/>
      <c r="D21" s="12"/>
      <c r="E21" s="12"/>
      <c r="F21" s="12"/>
      <c r="G21" s="12"/>
      <c r="H21" s="12"/>
      <c r="I21" s="12" t="s">
        <v>277</v>
      </c>
      <c r="J21" s="12"/>
      <c r="K21" s="12"/>
      <c r="L21" s="12"/>
      <c r="M21" s="12"/>
      <c r="N21" s="12"/>
      <c r="O21" s="473"/>
      <c r="P21" s="12"/>
    </row>
    <row r="22" spans="1:16" s="46" customFormat="1" ht="15.75">
      <c r="A22" s="12">
        <v>8</v>
      </c>
      <c r="B22" s="12" t="s">
        <v>362</v>
      </c>
      <c r="C22" s="12"/>
      <c r="D22" s="12"/>
      <c r="E22" s="12"/>
      <c r="F22" s="12"/>
      <c r="G22" s="12"/>
      <c r="H22" s="12"/>
      <c r="I22" s="12" t="s">
        <v>363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402</v>
      </c>
      <c r="C23" s="12"/>
      <c r="D23" s="12"/>
      <c r="E23" s="12"/>
      <c r="F23" s="12"/>
      <c r="G23" s="12"/>
      <c r="H23" s="12"/>
      <c r="I23" s="12" t="s">
        <v>277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270</v>
      </c>
    </row>
    <row r="28" spans="1:16" s="46" customFormat="1" ht="18.75">
      <c r="A28" s="281"/>
    </row>
    <row r="29" spans="1:16" s="46" customFormat="1" ht="15.75">
      <c r="A29" s="12"/>
      <c r="B29" s="474" t="s">
        <v>295</v>
      </c>
      <c r="C29" s="12"/>
      <c r="D29" s="12"/>
      <c r="E29" s="474" t="s">
        <v>294</v>
      </c>
      <c r="F29" s="474"/>
      <c r="G29" s="474"/>
      <c r="H29" s="474" t="s">
        <v>296</v>
      </c>
      <c r="I29" s="12"/>
      <c r="J29" s="12"/>
    </row>
    <row r="30" spans="1:16" s="46" customFormat="1" ht="15.75">
      <c r="A30" s="12"/>
      <c r="B30" s="12" t="s">
        <v>368</v>
      </c>
      <c r="C30" s="12"/>
      <c r="D30" s="12"/>
      <c r="E30" s="12" t="s">
        <v>279</v>
      </c>
      <c r="F30" s="12"/>
      <c r="G30" s="12"/>
      <c r="H30" s="12" t="s">
        <v>291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280</v>
      </c>
      <c r="F31" s="12"/>
      <c r="G31" s="12"/>
      <c r="H31" s="12" t="s">
        <v>292</v>
      </c>
      <c r="I31" s="12"/>
      <c r="J31" s="12"/>
    </row>
    <row r="32" spans="1:16" s="46" customFormat="1" ht="15.75">
      <c r="A32" s="12"/>
      <c r="B32" s="12" t="s">
        <v>369</v>
      </c>
      <c r="C32" s="12"/>
      <c r="D32" s="12"/>
      <c r="E32" s="12" t="s">
        <v>281</v>
      </c>
      <c r="F32" s="12"/>
      <c r="G32" s="12"/>
      <c r="H32" s="12" t="s">
        <v>293</v>
      </c>
      <c r="I32" s="12"/>
      <c r="J32" s="12"/>
    </row>
    <row r="33" spans="1:10" s="46" customFormat="1" ht="15.75">
      <c r="A33" s="12"/>
      <c r="B33" s="12" t="s">
        <v>275</v>
      </c>
      <c r="C33" s="12"/>
      <c r="D33" s="12"/>
      <c r="E33" s="12" t="s">
        <v>276</v>
      </c>
      <c r="F33" s="12"/>
      <c r="G33" s="12"/>
      <c r="H33" s="12" t="s">
        <v>288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277</v>
      </c>
      <c r="F34" s="12"/>
      <c r="G34" s="12"/>
      <c r="H34" s="12" t="s">
        <v>289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278</v>
      </c>
      <c r="F35" s="12"/>
      <c r="G35" s="12"/>
      <c r="H35" s="12" t="s">
        <v>290</v>
      </c>
      <c r="I35" s="12"/>
      <c r="J35" s="12"/>
    </row>
    <row r="36" spans="1:10" s="46" customFormat="1" ht="15.75">
      <c r="A36" s="12"/>
      <c r="B36" s="12" t="s">
        <v>273</v>
      </c>
      <c r="C36" s="12"/>
      <c r="D36" s="12"/>
      <c r="E36" s="12" t="s">
        <v>274</v>
      </c>
      <c r="F36" s="12"/>
      <c r="G36" s="12"/>
      <c r="H36" s="12" t="s">
        <v>287</v>
      </c>
      <c r="I36" s="12"/>
      <c r="J36" s="12"/>
    </row>
    <row r="37" spans="1:10" s="46" customFormat="1" ht="15.75">
      <c r="A37" s="12"/>
      <c r="B37" s="12" t="s">
        <v>327</v>
      </c>
      <c r="C37" s="12"/>
      <c r="D37" s="12"/>
      <c r="E37" s="12" t="s">
        <v>328</v>
      </c>
      <c r="F37" s="12"/>
      <c r="G37" s="12"/>
      <c r="H37" s="12" t="s">
        <v>325</v>
      </c>
      <c r="I37" s="12"/>
      <c r="J37" s="12"/>
    </row>
    <row r="38" spans="1:10" s="46" customFormat="1" ht="15.75">
      <c r="A38" s="12"/>
      <c r="B38" s="12" t="s">
        <v>271</v>
      </c>
      <c r="C38" s="12"/>
      <c r="D38" s="12"/>
      <c r="E38" s="12" t="s">
        <v>272</v>
      </c>
      <c r="F38" s="12"/>
      <c r="G38" s="12"/>
      <c r="H38" s="12" t="s">
        <v>326</v>
      </c>
      <c r="I38" s="12"/>
      <c r="J38" s="12"/>
    </row>
    <row r="39" spans="1:10" s="46" customFormat="1" ht="15.75">
      <c r="A39" s="12"/>
      <c r="B39" s="12" t="s">
        <v>407</v>
      </c>
      <c r="C39" s="12"/>
      <c r="D39" s="12"/>
      <c r="E39" s="12" t="s">
        <v>391</v>
      </c>
      <c r="F39" s="12"/>
      <c r="G39" s="12"/>
      <c r="H39" s="12" t="s">
        <v>392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416</v>
      </c>
      <c r="F40" s="12"/>
      <c r="G40" s="12"/>
      <c r="H40" s="12" t="s">
        <v>417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203</v>
      </c>
      <c r="F41" s="12"/>
      <c r="G41" s="12"/>
      <c r="H41" s="12" t="s">
        <v>286</v>
      </c>
      <c r="I41" s="12"/>
      <c r="J41" s="12"/>
    </row>
    <row r="42" spans="1:10" s="46" customFormat="1" ht="15.75">
      <c r="A42" s="12"/>
      <c r="B42" s="12" t="s">
        <v>364</v>
      </c>
      <c r="C42" s="12"/>
      <c r="D42" s="12"/>
      <c r="E42" s="12" t="s">
        <v>389</v>
      </c>
      <c r="F42" s="12"/>
      <c r="G42" s="12"/>
      <c r="H42" s="12" t="s">
        <v>390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363</v>
      </c>
      <c r="F43" s="12"/>
      <c r="G43" s="12"/>
      <c r="H43" s="12" t="s">
        <v>365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G100"/>
  <sheetViews>
    <sheetView tabSelected="1" topLeftCell="A47" zoomScale="75" zoomScaleNormal="75" workbookViewId="0">
      <selection activeCell="C74" sqref="C74"/>
    </sheetView>
  </sheetViews>
  <sheetFormatPr defaultRowHeight="12.75"/>
  <cols>
    <col min="1" max="1" width="45.5703125" style="12" customWidth="1"/>
    <col min="2" max="2" width="11.85546875" style="12" bestFit="1" customWidth="1"/>
    <col min="3" max="3" width="13.28515625" style="12" bestFit="1" customWidth="1"/>
    <col min="4" max="4" width="11.5703125" style="12" bestFit="1" customWidth="1"/>
    <col min="5" max="5" width="11.140625" style="12" bestFit="1" customWidth="1"/>
    <col min="6" max="8" width="11.5703125" style="12" bestFit="1" customWidth="1"/>
    <col min="9" max="9" width="11.140625" style="12" bestFit="1" customWidth="1"/>
    <col min="10" max="11" width="11.5703125" style="12" bestFit="1" customWidth="1"/>
    <col min="12" max="12" width="11.140625" style="12" bestFit="1" customWidth="1"/>
    <col min="13" max="13" width="10.7109375" style="12" bestFit="1" customWidth="1"/>
    <col min="14" max="16" width="11.140625" style="12" bestFit="1" customWidth="1"/>
    <col min="17" max="17" width="10.85546875" style="12" bestFit="1" customWidth="1"/>
    <col min="18" max="20" width="11.140625" style="12" bestFit="1" customWidth="1"/>
    <col min="21" max="21" width="10.85546875" style="12" bestFit="1" customWidth="1"/>
    <col min="22" max="22" width="11.5703125" style="12" bestFit="1" customWidth="1"/>
    <col min="23" max="23" width="11.140625" style="12" bestFit="1" customWidth="1"/>
    <col min="2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709</v>
      </c>
    </row>
    <row r="6" spans="1:33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3"/>
      <c r="Y6" s="213"/>
      <c r="Z6" s="213"/>
      <c r="AA6" s="213"/>
      <c r="AB6" s="213"/>
      <c r="AC6" s="213"/>
      <c r="AD6" s="213"/>
      <c r="AE6" s="213"/>
      <c r="AF6" s="213"/>
      <c r="AG6" s="213"/>
    </row>
    <row r="7" spans="1:33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659"/>
      <c r="Y8" s="659"/>
      <c r="Z8" s="659"/>
      <c r="AA8" s="659"/>
      <c r="AB8" s="659"/>
      <c r="AC8" s="659"/>
      <c r="AD8" s="659"/>
      <c r="AE8" s="659"/>
      <c r="AF8" s="659"/>
      <c r="AG8" s="659"/>
    </row>
    <row r="9" spans="1:33">
      <c r="A9" s="127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18.75">
      <c r="A10" s="86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>
      <c r="A11" s="45" t="s">
        <v>47</v>
      </c>
      <c r="B11" s="665">
        <v>0</v>
      </c>
      <c r="C11" s="65">
        <f>IS!C33</f>
        <v>3719.3333333333358</v>
      </c>
      <c r="D11" s="65">
        <f>IS!D33</f>
        <v>5730.899999999996</v>
      </c>
      <c r="E11" s="65">
        <f>IS!E33</f>
        <v>5708.4030000000021</v>
      </c>
      <c r="F11" s="65">
        <f>IS!F33</f>
        <v>5685.2922899999994</v>
      </c>
      <c r="G11" s="65">
        <f>IS!G33</f>
        <v>5661.5506826999972</v>
      </c>
      <c r="H11" s="65">
        <f>IS!H33</f>
        <v>5637.1604996609985</v>
      </c>
      <c r="I11" s="65">
        <f>IS!I33</f>
        <v>5612.103557060429</v>
      </c>
      <c r="J11" s="65">
        <f>IS!J33</f>
        <v>5586.3611510300361</v>
      </c>
      <c r="K11" s="65">
        <f>IS!K33</f>
        <v>5559.9140425638816</v>
      </c>
      <c r="L11" s="65">
        <f>IS!L33</f>
        <v>5532.742441983808</v>
      </c>
      <c r="M11" s="65">
        <f>IS!M33</f>
        <v>5504.8259929491851</v>
      </c>
      <c r="N11" s="65">
        <f>IS!N33</f>
        <v>5476.1437559976457</v>
      </c>
      <c r="O11" s="65">
        <f>IS!O33</f>
        <v>5446.6741916027568</v>
      </c>
      <c r="P11" s="65">
        <f>IS!P33</f>
        <v>5416.3951427345328</v>
      </c>
      <c r="Q11" s="65">
        <f>IS!Q33</f>
        <v>5385.2838169079296</v>
      </c>
      <c r="R11" s="65">
        <f>IS!R33</f>
        <v>5353.3167677043475</v>
      </c>
      <c r="S11" s="65">
        <f>IS!S33</f>
        <v>5320.4698757504539</v>
      </c>
      <c r="T11" s="65">
        <f>IS!T33</f>
        <v>5286.7183291382426</v>
      </c>
      <c r="U11" s="65">
        <f>IS!U33</f>
        <v>5252.0366032699676</v>
      </c>
      <c r="V11" s="65">
        <f>IS!V33</f>
        <v>5216.3984401107973</v>
      </c>
      <c r="W11" s="65">
        <f>IS!W33</f>
        <v>1041.2805218260546</v>
      </c>
      <c r="X11" s="666"/>
      <c r="Y11" s="666"/>
      <c r="Z11" s="666"/>
      <c r="AA11" s="666"/>
      <c r="AB11" s="666"/>
      <c r="AC11" s="666"/>
      <c r="AD11" s="666"/>
      <c r="AE11" s="666"/>
      <c r="AF11" s="666"/>
      <c r="AG11" s="666"/>
    </row>
    <row r="12" spans="1:33">
      <c r="A12" s="45" t="s">
        <v>699</v>
      </c>
      <c r="B12" s="670">
        <v>0</v>
      </c>
      <c r="C12" s="695">
        <f>IF(Assumptions!$AC$14="10-Yr. Debt",-'Debt Structs'!D35,IF(Assumptions!$AC$14="7-Yr. Debt",-'Debt Structs'!I16,IF(Assumptions!$AC$14="Lease",-'Debt Structs'!N16,0)))</f>
        <v>-2695.0000000000005</v>
      </c>
      <c r="D12" s="695">
        <f>IF(Assumptions!$AC$14="10-Yr. Debt",-'Debt Structs'!D36,IF(Assumptions!$AC$14="7-Yr. Debt",-'Debt Structs'!I17,IF(Assumptions!$AC$14="Lease",-'Debt Structs'!N17,0)))</f>
        <v>-2499.9426301497524</v>
      </c>
      <c r="E12" s="695">
        <f>IF(Assumptions!$AC$14="10-Yr. Debt",-'Debt Structs'!D37,IF(Assumptions!$AC$14="7-Yr. Debt",-'Debt Structs'!I18,IF(Assumptions!$AC$14="Lease",-'Debt Structs'!N18,0)))</f>
        <v>-2291.2312444099875</v>
      </c>
      <c r="F12" s="695">
        <f>IF(Assumptions!$AC$14="10-Yr. Debt",-'Debt Structs'!D38,IF(Assumptions!$AC$14="7-Yr. Debt",-'Debt Structs'!I19,IF(Assumptions!$AC$14="Lease",-'Debt Structs'!N19,0)))</f>
        <v>-2067.9100616684386</v>
      </c>
      <c r="G12" s="695">
        <f>IF(Assumptions!$AC$14="10-Yr. Debt",-'Debt Structs'!D39,IF(Assumptions!$AC$14="7-Yr. Debt",-'Debt Structs'!I20,IF(Assumptions!$AC$14="Lease",-'Debt Structs'!N20,0)))</f>
        <v>-1828.9563961349818</v>
      </c>
      <c r="H12" s="670">
        <f>IF(Assumptions!$AC$14="10-Yr. Debt",-'Debt Structs'!D40,IF(Assumptions!$AC$14="7-Yr. Debt",-'Debt Structs'!I21,0))</f>
        <v>-1573.2759740141826</v>
      </c>
      <c r="I12" s="670">
        <f>IF(Assumptions!$AC$14="10-Yr. Debt",-'Debt Structs'!D41,IF(Assumptions!$AC$14="7-Yr. Debt",-'Debt Structs'!I22,0))</f>
        <v>-1299.6979223449275</v>
      </c>
      <c r="J12" s="670">
        <f>IF(Assumptions!$AC$14="Lease",0,IF(Assumptions!$AC$14="7-Yr. Debt",0,-'Debt Structs'!D42))</f>
        <v>-1006.9694070588247</v>
      </c>
      <c r="K12" s="670">
        <f>IF(Assumptions!$AC$14="Lease",0,IF(Assumptions!$AC$14="7-Yr. Debt",0,-'Debt Structs'!D43))</f>
        <v>-693.74989570269452</v>
      </c>
      <c r="L12" s="670">
        <f>IF(Assumptions!$AC$14="Lease",0,IF(Assumptions!$AC$14="7-Yr. Debt",0,-'Debt Structs'!D44))</f>
        <v>-358.60501855163523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>
      <c r="A13" s="45" t="s">
        <v>701</v>
      </c>
      <c r="B13" s="719">
        <v>0</v>
      </c>
      <c r="C13" s="719">
        <v>0</v>
      </c>
      <c r="D13" s="719">
        <v>0</v>
      </c>
      <c r="E13" s="719">
        <v>0</v>
      </c>
      <c r="F13" s="719">
        <v>0</v>
      </c>
      <c r="G13" s="719">
        <v>0</v>
      </c>
      <c r="H13" s="670">
        <f>IF(Assumptions!AC14="Lease",-'Debt Structs'!D74,0)</f>
        <v>0</v>
      </c>
      <c r="I13" s="670">
        <f>IF(Assumptions!AC14="Lease",-'Debt Structs'!D75,0)</f>
        <v>0</v>
      </c>
      <c r="J13" s="670">
        <f>IF(Assumptions!AC14="Lease",-'Debt Structs'!D76,0)</f>
        <v>0</v>
      </c>
      <c r="K13" s="670">
        <f>IF(Assumptions!AC14="Lease",-'Debt Structs'!D77,0)</f>
        <v>0</v>
      </c>
      <c r="L13" s="670">
        <f>IF(Assumptions!AC14="Lease",-'Debt Structs'!D78,0)</f>
        <v>0</v>
      </c>
      <c r="M13" s="670">
        <f>IF(Assumptions!AC14="Lease",-'Debt Structs'!D79,0)</f>
        <v>0</v>
      </c>
      <c r="N13" s="670">
        <f>IF(Assumptions!AC14="Lease",-'Debt Structs'!D80,0)</f>
        <v>0</v>
      </c>
      <c r="O13" s="670">
        <f>IF(Assumptions!AC14="Lease",-'Debt Structs'!D81,0)</f>
        <v>0</v>
      </c>
      <c r="P13" s="670">
        <f>IF(Assumptions!AC14="Lease",-'Debt Structs'!D82,0)</f>
        <v>0</v>
      </c>
      <c r="Q13" s="670">
        <f>-IF(Assumptions!AC14="Lease",'Debt Structs'!D83,0)</f>
        <v>0</v>
      </c>
      <c r="R13" s="670">
        <f>IF(Assumptions!AC14="Lease",-'Debt Structs'!D84,0)</f>
        <v>0</v>
      </c>
      <c r="S13" s="670">
        <f>IF(Assumptions!AC14="Lease",-'Debt Structs'!D85,0)</f>
        <v>0</v>
      </c>
      <c r="T13" s="670">
        <f>IF(Assumptions!AC14="Lease",-'Debt Structs'!D86,0)</f>
        <v>0</v>
      </c>
      <c r="U13" s="670">
        <f>IF(Assumptions!AC14="Lease",-'Debt Structs'!D87,0)</f>
        <v>0</v>
      </c>
      <c r="V13" s="670">
        <f>IF(Assumptions!AC14="Lease",-'Debt Structs'!D88,0)</f>
        <v>0</v>
      </c>
      <c r="W13" s="719">
        <v>0</v>
      </c>
    </row>
    <row r="14" spans="1:33">
      <c r="A14" s="45" t="s">
        <v>697</v>
      </c>
      <c r="B14" s="696">
        <v>0</v>
      </c>
      <c r="C14" s="696">
        <v>0</v>
      </c>
      <c r="D14" s="696">
        <v>0</v>
      </c>
      <c r="E14" s="696">
        <v>0</v>
      </c>
      <c r="F14" s="696">
        <v>0</v>
      </c>
      <c r="G14" s="696">
        <v>0</v>
      </c>
      <c r="H14" s="696">
        <v>0</v>
      </c>
      <c r="I14" s="696">
        <v>0</v>
      </c>
      <c r="J14" s="667">
        <f>IF(Assumptions!AC14="7-Yr. Debt",-'Debt Structs'!J74,0)</f>
        <v>0</v>
      </c>
      <c r="K14" s="667">
        <f>IF(Assumptions!AC14="7-Yr. Debt",-'Debt Structs'!J75,0)</f>
        <v>0</v>
      </c>
      <c r="L14" s="667">
        <f>IF(Assumptions!AC14="7-Yr. Debt",-'Debt Structs'!J76,0)</f>
        <v>0</v>
      </c>
      <c r="M14" s="667">
        <f>IF(Assumptions!AC14="7-Yr. Debt",-'Debt Structs'!J77,0)</f>
        <v>0</v>
      </c>
      <c r="N14" s="667">
        <f>IF(Assumptions!AC14="7-Yr. Debt",-'Debt Structs'!J78,0)</f>
        <v>0</v>
      </c>
      <c r="O14" s="667">
        <f>IF(Assumptions!AC14="7-Yr. Debt",-'Debt Structs'!J79,0)</f>
        <v>0</v>
      </c>
      <c r="P14" s="667">
        <f>IF(Assumptions!AC14="7-Yr. Debt",-'Debt Structs'!J80,0)</f>
        <v>0</v>
      </c>
      <c r="Q14" s="667">
        <f>IF(Assumptions!AC14="7-Yr. Debt",-'Debt Structs'!J81,0)</f>
        <v>0</v>
      </c>
      <c r="R14" s="667">
        <f>IF(Assumptions!AC14="7-Yr. Debt",-'Debt Structs'!J82,0)</f>
        <v>0</v>
      </c>
      <c r="S14" s="667">
        <f>IF(Assumptions!AC14="7-Yr. Debt",-'Debt Structs'!J83,0)</f>
        <v>0</v>
      </c>
      <c r="T14" s="667">
        <f>IF(Assumptions!AC14="7-Yr. Debt",-'Debt Structs'!J84,0)</f>
        <v>0</v>
      </c>
      <c r="U14" s="667">
        <f>IF(Assumptions!AC14="7-Yr. Debt",-'Debt Structs'!J85,0)</f>
        <v>0</v>
      </c>
      <c r="V14" s="667">
        <f>IF(Assumptions!AC14="7-Yr. Debt",-'Debt Structs'!J86,0)</f>
        <v>0</v>
      </c>
      <c r="W14" s="696"/>
    </row>
    <row r="15" spans="1:33">
      <c r="A15" s="446" t="s">
        <v>348</v>
      </c>
      <c r="B15" s="723">
        <f>SUM(B11:B12)</f>
        <v>0</v>
      </c>
      <c r="C15" s="723">
        <f>SUM(C11:C14)</f>
        <v>1024.3333333333353</v>
      </c>
      <c r="D15" s="723">
        <f t="shared" ref="D15:W15" si="0">SUM(D11:D14)</f>
        <v>3230.9573698502436</v>
      </c>
      <c r="E15" s="723">
        <f t="shared" si="0"/>
        <v>3417.1717555900145</v>
      </c>
      <c r="F15" s="723">
        <f t="shared" si="0"/>
        <v>3617.3822283315608</v>
      </c>
      <c r="G15" s="723">
        <f t="shared" si="0"/>
        <v>3832.5942865650154</v>
      </c>
      <c r="H15" s="723">
        <f t="shared" si="0"/>
        <v>4063.8845256468157</v>
      </c>
      <c r="I15" s="723">
        <f t="shared" si="0"/>
        <v>4312.4056347155019</v>
      </c>
      <c r="J15" s="723">
        <f t="shared" si="0"/>
        <v>4579.3917439712113</v>
      </c>
      <c r="K15" s="723">
        <f t="shared" si="0"/>
        <v>4866.164146861187</v>
      </c>
      <c r="L15" s="723">
        <f t="shared" si="0"/>
        <v>5174.1374234321729</v>
      </c>
      <c r="M15" s="723">
        <f t="shared" si="0"/>
        <v>5504.8259929491851</v>
      </c>
      <c r="N15" s="723">
        <f t="shared" si="0"/>
        <v>5476.1437559976457</v>
      </c>
      <c r="O15" s="723">
        <f t="shared" si="0"/>
        <v>5446.6741916027568</v>
      </c>
      <c r="P15" s="723">
        <f t="shared" si="0"/>
        <v>5416.3951427345328</v>
      </c>
      <c r="Q15" s="723">
        <f t="shared" si="0"/>
        <v>5385.2838169079296</v>
      </c>
      <c r="R15" s="723">
        <f t="shared" si="0"/>
        <v>5353.3167677043475</v>
      </c>
      <c r="S15" s="723">
        <f t="shared" si="0"/>
        <v>5320.4698757504539</v>
      </c>
      <c r="T15" s="723">
        <f t="shared" si="0"/>
        <v>5286.7183291382426</v>
      </c>
      <c r="U15" s="723">
        <f t="shared" si="0"/>
        <v>5252.0366032699676</v>
      </c>
      <c r="V15" s="723">
        <f t="shared" si="0"/>
        <v>5216.3984401107973</v>
      </c>
      <c r="W15" s="723">
        <f t="shared" si="0"/>
        <v>1041.2805218260546</v>
      </c>
    </row>
    <row r="16" spans="1:33">
      <c r="A16" s="45"/>
    </row>
    <row r="17" spans="1:23">
      <c r="A17" s="45" t="s">
        <v>349</v>
      </c>
      <c r="B17" s="668">
        <v>0</v>
      </c>
      <c r="C17" s="668">
        <f>-Taxes!B24-Taxes!B41</f>
        <v>0</v>
      </c>
      <c r="D17" s="668">
        <f>-Taxes!C24-Taxes!C41</f>
        <v>0</v>
      </c>
      <c r="E17" s="668">
        <f>-Taxes!D24-Taxes!D41</f>
        <v>0</v>
      </c>
      <c r="F17" s="668">
        <f>-Taxes!E24-Taxes!E41</f>
        <v>0</v>
      </c>
      <c r="G17" s="668">
        <f>-Taxes!F24-Taxes!F41</f>
        <v>0</v>
      </c>
      <c r="H17" s="668">
        <f>-Taxes!G24-Taxes!G41</f>
        <v>0</v>
      </c>
      <c r="I17" s="668">
        <f>-Taxes!H24-Taxes!H41</f>
        <v>0</v>
      </c>
      <c r="J17" s="668">
        <f>-Taxes!I24-Taxes!I41</f>
        <v>0</v>
      </c>
      <c r="K17" s="668">
        <f>-Taxes!J24-Taxes!J41</f>
        <v>0</v>
      </c>
      <c r="L17" s="668">
        <f>-Taxes!K24-Taxes!K41</f>
        <v>0</v>
      </c>
      <c r="M17" s="668">
        <f>-Taxes!L24-Taxes!L41</f>
        <v>0</v>
      </c>
      <c r="N17" s="668">
        <f>-Taxes!M24-Taxes!M41</f>
        <v>0</v>
      </c>
      <c r="O17" s="668">
        <f>-Taxes!N24-Taxes!N41</f>
        <v>0</v>
      </c>
      <c r="P17" s="668">
        <f>-Taxes!O24-Taxes!O41</f>
        <v>0</v>
      </c>
      <c r="Q17" s="668">
        <f>-Taxes!P24-Taxes!P41</f>
        <v>0</v>
      </c>
      <c r="R17" s="668">
        <f>-Taxes!Q24-Taxes!Q41</f>
        <v>0</v>
      </c>
      <c r="S17" s="668">
        <f>-Taxes!R24-Taxes!R41</f>
        <v>0</v>
      </c>
      <c r="T17" s="668">
        <f>-Taxes!S24-Taxes!S41</f>
        <v>0</v>
      </c>
      <c r="U17" s="668">
        <f>-Taxes!T24-Taxes!T41</f>
        <v>0</v>
      </c>
      <c r="V17" s="668">
        <f>-Taxes!U24-Taxes!U41</f>
        <v>0</v>
      </c>
      <c r="W17" s="668">
        <f>-Taxes!V24-Taxes!V41</f>
        <v>0</v>
      </c>
    </row>
    <row r="18" spans="1:23">
      <c r="A18" s="45" t="s">
        <v>698</v>
      </c>
      <c r="B18" s="668">
        <v>0</v>
      </c>
      <c r="C18" s="670">
        <f>IF(Assumptions!$AC$14="10-Yr. Debt",-'Debt Structs'!E35,IF(Assumptions!$AC$14="7-Yr. Debt",-'Debt Structs'!J16,IF(Assumptions!$AC$14="Lease",-'Debt Structs'!O16,0)))</f>
        <v>-2786.5338550035399</v>
      </c>
      <c r="D18" s="670">
        <f>IF(Assumptions!$AC$14="10-Yr. Debt",-'Debt Structs'!E36,IF(Assumptions!$AC$14="7-Yr. Debt",-'Debt Structs'!J17,IF(Assumptions!$AC$14="Lease",-'Debt Structs'!O17,0)))</f>
        <v>-2981.5912248537879</v>
      </c>
      <c r="E18" s="670">
        <f>IF(Assumptions!$AC$14="10-Yr. Debt",-'Debt Structs'!E37,IF(Assumptions!$AC$14="7-Yr. Debt",-'Debt Structs'!J18,IF(Assumptions!$AC$14="Lease",-'Debt Structs'!O18,0)))</f>
        <v>-3190.3026105935528</v>
      </c>
      <c r="F18" s="670">
        <f>IF(Assumptions!$AC$14="10-Yr. Debt",-'Debt Structs'!E38,IF(Assumptions!$AC$14="7-Yr. Debt",-'Debt Structs'!J19,IF(Assumptions!$AC$14="Lease",-'Debt Structs'!O19,0)))</f>
        <v>-3413.6237933351017</v>
      </c>
      <c r="G18" s="670">
        <f>IF(Assumptions!$AC$14="10-Yr. Debt",-'Debt Structs'!E39,IF(Assumptions!$AC$14="7-Yr. Debt",-'Debt Structs'!J20,IF(Assumptions!$AC$14="Lease",-'Debt Structs'!O20,0)))</f>
        <v>-3652.5774588685586</v>
      </c>
      <c r="H18" s="670">
        <f>IF(Assumptions!$AC$14="10-Yr. Debt",-'Debt Structs'!E40,IF(Assumptions!$AC$14="7-Yr. Debt",-'Debt Structs'!J21,0))</f>
        <v>-3908.2578809893575</v>
      </c>
      <c r="I18" s="670">
        <f>IF(Assumptions!$AC$14="10-Yr. Debt",-'Debt Structs'!E41,IF(Assumptions!$AC$14="7-Yr. Debt",-'Debt Structs'!J22,0))</f>
        <v>-4181.8359326586124</v>
      </c>
      <c r="J18" s="670">
        <f>IF(Assumptions!$AC$14="Lease",0,IF(Assumptions!$AC$14="7-Yr. Debt",0,-'Debt Structs'!E42))</f>
        <v>-4474.5644479447155</v>
      </c>
      <c r="K18" s="670">
        <f>IF(Assumptions!$AC$14="Lease",0,IF(Assumptions!$AC$14="7-Yr. Debt",0,-'Debt Structs'!E43))</f>
        <v>-4787.7839593008457</v>
      </c>
      <c r="L18" s="670">
        <f>IF(Assumptions!$AC$14="Lease",0,IF(Assumptions!$AC$14="7-Yr. Debt",0,-'Debt Structs'!E44))</f>
        <v>-5122.9288364519052</v>
      </c>
    </row>
    <row r="19" spans="1:23">
      <c r="A19" s="45" t="s">
        <v>658</v>
      </c>
      <c r="B19" s="668">
        <v>0</v>
      </c>
      <c r="C19" s="668">
        <v>0</v>
      </c>
      <c r="D19" s="668">
        <v>0</v>
      </c>
      <c r="E19" s="668">
        <v>0</v>
      </c>
      <c r="F19" s="668">
        <v>0</v>
      </c>
      <c r="G19" s="668">
        <v>0</v>
      </c>
      <c r="H19" s="670">
        <f>IF(Assumptions!AC14="Lease",-'Debt Structs'!E74,0)</f>
        <v>0</v>
      </c>
      <c r="I19" s="670">
        <f>IF(Assumptions!AC14="Lease",-'Debt Structs'!E75,0)</f>
        <v>0</v>
      </c>
      <c r="J19" s="670">
        <f>IF(Assumptions!AC14="Lease",-'Debt Structs'!E76,0)</f>
        <v>0</v>
      </c>
      <c r="K19" s="670">
        <f>IF(Assumptions!AC14="Lease",-'Debt Structs'!E77,0)</f>
        <v>0</v>
      </c>
      <c r="L19" s="670">
        <f>IF(Assumptions!AC14="Lease",-'Debt Structs'!E78,0)</f>
        <v>0</v>
      </c>
      <c r="M19" s="668">
        <f>IF(Assumptions!AC14="Lease",-'Debt Structs'!E79,0)</f>
        <v>0</v>
      </c>
      <c r="N19" s="668">
        <f>IF(Assumptions!AC14="Lease",-'Debt Structs'!E80,0)</f>
        <v>0</v>
      </c>
      <c r="O19" s="668">
        <f>IF(Assumptions!AC14="Lease",-'Debt Structs'!E81,0)</f>
        <v>0</v>
      </c>
      <c r="P19" s="668">
        <f>IF(Assumptions!AC14="Lease",-'Debt Structs'!E82,0)</f>
        <v>0</v>
      </c>
      <c r="Q19" s="668">
        <f>IF(Assumptions!AC14="Lease",-'Debt Structs'!E83,0)</f>
        <v>0</v>
      </c>
      <c r="R19" s="668">
        <f>IF(Assumptions!AC14="Lease",-'Debt Structs'!E84,0)</f>
        <v>0</v>
      </c>
      <c r="S19" s="668">
        <f>IF(Assumptions!AC14="Lease",-'Debt Structs'!E85,0)</f>
        <v>0</v>
      </c>
      <c r="T19" s="668">
        <f>IF(Assumptions!AC14="Lease",-'Debt Structs'!E86,0)</f>
        <v>0</v>
      </c>
      <c r="U19" s="668">
        <f>IF(Assumptions!AC14="Lease",-'Debt Structs'!E87,0)</f>
        <v>0</v>
      </c>
      <c r="V19" s="668">
        <f>IF(Assumptions!AC14="Lease",-'Debt Structs'!E88,0)</f>
        <v>0</v>
      </c>
      <c r="W19" s="665">
        <v>0</v>
      </c>
    </row>
    <row r="20" spans="1:23">
      <c r="A20" s="45" t="s">
        <v>696</v>
      </c>
      <c r="B20" s="668">
        <v>0</v>
      </c>
      <c r="C20" s="668">
        <v>0</v>
      </c>
      <c r="D20" s="668">
        <v>0</v>
      </c>
      <c r="E20" s="668">
        <v>0</v>
      </c>
      <c r="F20" s="668">
        <v>0</v>
      </c>
      <c r="G20" s="668">
        <v>0</v>
      </c>
      <c r="H20" s="668">
        <v>0</v>
      </c>
      <c r="I20" s="668">
        <v>0</v>
      </c>
      <c r="J20" s="670">
        <f>IF(Assumptions!AC14="7-Yr. Debt",-'Debt Structs'!K74,0)</f>
        <v>0</v>
      </c>
      <c r="K20" s="670">
        <f>IF(Assumptions!AC14="7-Yr. Debt",-'Debt Structs'!K75,0)</f>
        <v>0</v>
      </c>
      <c r="L20" s="670">
        <f>IF(Assumptions!AC14="7-Yr. Debt",-'Debt Structs'!K76,0)</f>
        <v>0</v>
      </c>
      <c r="M20" s="668">
        <f>IF(Assumptions!AC14="7-Yr. Debt",-'Debt Structs'!K77,0)</f>
        <v>0</v>
      </c>
      <c r="N20" s="668">
        <f>IF(Assumptions!AC14="7-Yr. Debt",-'Debt Structs'!K78,0)</f>
        <v>0</v>
      </c>
      <c r="O20" s="668">
        <f>IF(Assumptions!AC14="7-Yr. Debt",-'Debt Structs'!K79,0)</f>
        <v>0</v>
      </c>
      <c r="P20" s="668">
        <f>IF(Assumptions!AC14="7-Yr. Debt",-'Debt Structs'!K80,0)</f>
        <v>0</v>
      </c>
      <c r="Q20" s="668">
        <f>IF(Assumptions!AC14="7-Yr. Debt",-'Debt Structs'!K81,0)</f>
        <v>0</v>
      </c>
      <c r="R20" s="668">
        <f>IF(Assumptions!AC14="7-Yr. Debt",-'Debt Structs'!K82,0)</f>
        <v>0</v>
      </c>
      <c r="S20" s="668">
        <f>IF(Assumptions!AC14="7-Yr. Debt",-'Debt Structs'!K83,0)</f>
        <v>0</v>
      </c>
      <c r="T20" s="668">
        <f>IF(Assumptions!AC14="7-Yr. Debt",-'Debt Structs'!K84,0)</f>
        <v>0</v>
      </c>
      <c r="U20" s="668">
        <f>IF(Assumptions!AC14="7-Yr. Debt",-'Debt Structs'!K85,0)</f>
        <v>0</v>
      </c>
      <c r="V20" s="668">
        <f>IF(Assumptions!AC14="7-Yr. Debt",-'Debt Structs'!K86,0)</f>
        <v>0</v>
      </c>
      <c r="W20" s="665"/>
    </row>
    <row r="21" spans="1:23">
      <c r="A21" s="45" t="s">
        <v>712</v>
      </c>
      <c r="B21" s="668">
        <v>0</v>
      </c>
      <c r="C21" s="738">
        <f>IF(Assumptions!J33="Yes",-'Debt Structs'!O27,0)</f>
        <v>0</v>
      </c>
      <c r="D21" s="738">
        <f>IF(Assumptions!J33="Yes",-'Debt Structs'!O28,0)</f>
        <v>0</v>
      </c>
      <c r="E21" s="738">
        <f>IF(Assumptions!J33="Yes",-'Debt Structs'!O29,0)</f>
        <v>0</v>
      </c>
      <c r="F21" s="738">
        <f>IF(Assumptions!J33="Yes",-'Debt Structs'!O30,0)</f>
        <v>0</v>
      </c>
      <c r="G21" s="738">
        <f>IF(Assumptions!J33="Yes",-'Debt Structs'!O31,0)</f>
        <v>0</v>
      </c>
      <c r="H21" s="668"/>
      <c r="I21" s="668"/>
      <c r="J21" s="670"/>
      <c r="K21" s="670"/>
      <c r="L21" s="670"/>
      <c r="M21" s="668"/>
      <c r="N21" s="668"/>
      <c r="O21" s="668"/>
      <c r="P21" s="668"/>
      <c r="Q21" s="668"/>
      <c r="R21" s="668"/>
      <c r="S21" s="668"/>
      <c r="T21" s="668"/>
      <c r="U21" s="668"/>
      <c r="V21" s="668"/>
      <c r="W21" s="665"/>
    </row>
    <row r="22" spans="1:23">
      <c r="A22" s="45" t="s">
        <v>654</v>
      </c>
      <c r="B22" s="668">
        <v>0</v>
      </c>
      <c r="C22" s="670">
        <f>IF(Assumptions!$AC$14="Lease",IS!C35,0)</f>
        <v>0</v>
      </c>
      <c r="D22" s="670">
        <f>IF(Assumptions!$AC$14="Lease",IS!D35,0)</f>
        <v>0</v>
      </c>
      <c r="E22" s="670">
        <f>IF(Assumptions!$AC$14="Lease",IS!E35,0)</f>
        <v>0</v>
      </c>
      <c r="F22" s="670">
        <f>IF(Assumptions!$AC$14="Lease",IS!F35,0)</f>
        <v>0</v>
      </c>
      <c r="G22" s="670">
        <f>IF(Assumptions!$AC$14="Lease",IS!G35,0)</f>
        <v>0</v>
      </c>
      <c r="H22" s="670">
        <v>0</v>
      </c>
      <c r="I22" s="670">
        <v>0</v>
      </c>
      <c r="J22" s="670">
        <v>0</v>
      </c>
      <c r="K22" s="670">
        <v>0</v>
      </c>
      <c r="L22" s="670">
        <v>0</v>
      </c>
    </row>
    <row r="23" spans="1:23">
      <c r="A23" s="45" t="s">
        <v>350</v>
      </c>
      <c r="B23" s="669">
        <v>0</v>
      </c>
      <c r="C23" s="669">
        <v>0</v>
      </c>
      <c r="D23" s="669">
        <v>0</v>
      </c>
      <c r="E23" s="669">
        <v>0</v>
      </c>
      <c r="F23" s="669">
        <v>0</v>
      </c>
      <c r="G23" s="669">
        <v>0</v>
      </c>
      <c r="H23" s="669">
        <v>0</v>
      </c>
      <c r="I23" s="669">
        <v>0</v>
      </c>
      <c r="J23" s="669">
        <v>0</v>
      </c>
      <c r="K23" s="669">
        <v>0</v>
      </c>
      <c r="L23" s="669">
        <v>0</v>
      </c>
      <c r="M23" s="669">
        <v>0</v>
      </c>
      <c r="N23" s="669">
        <v>0</v>
      </c>
      <c r="O23" s="669">
        <v>0</v>
      </c>
      <c r="P23" s="669">
        <v>0</v>
      </c>
      <c r="Q23" s="669">
        <v>0</v>
      </c>
      <c r="R23" s="669">
        <v>0</v>
      </c>
      <c r="S23" s="669">
        <v>0</v>
      </c>
      <c r="T23" s="669">
        <v>0</v>
      </c>
      <c r="U23" s="669">
        <v>0</v>
      </c>
      <c r="V23" s="669">
        <v>0</v>
      </c>
      <c r="W23" s="669">
        <v>0</v>
      </c>
    </row>
    <row r="24" spans="1:23">
      <c r="A24" s="446" t="s">
        <v>351</v>
      </c>
      <c r="B24" s="723">
        <f>B23+B18+B17+B15</f>
        <v>0</v>
      </c>
      <c r="C24" s="723">
        <f>C23+C22+C18+C17+C15+C21</f>
        <v>-1762.2005216702046</v>
      </c>
      <c r="D24" s="723">
        <f t="shared" ref="D24:W24" si="1">D23+D22+D18+D17+D15+D21</f>
        <v>249.36614499645566</v>
      </c>
      <c r="E24" s="723">
        <f t="shared" si="1"/>
        <v>226.86914499646173</v>
      </c>
      <c r="F24" s="723">
        <f t="shared" si="1"/>
        <v>203.75843499645907</v>
      </c>
      <c r="G24" s="723">
        <f t="shared" si="1"/>
        <v>180.01682769645686</v>
      </c>
      <c r="H24" s="723">
        <f t="shared" si="1"/>
        <v>155.6266446574582</v>
      </c>
      <c r="I24" s="723">
        <f t="shared" si="1"/>
        <v>130.56970205688958</v>
      </c>
      <c r="J24" s="723">
        <f t="shared" si="1"/>
        <v>104.82729602649579</v>
      </c>
      <c r="K24" s="723">
        <f t="shared" si="1"/>
        <v>78.380187560341255</v>
      </c>
      <c r="L24" s="723">
        <f t="shared" si="1"/>
        <v>51.208586980267683</v>
      </c>
      <c r="M24" s="723">
        <f t="shared" si="1"/>
        <v>5504.8259929491851</v>
      </c>
      <c r="N24" s="723">
        <f t="shared" si="1"/>
        <v>5476.1437559976457</v>
      </c>
      <c r="O24" s="723">
        <f t="shared" si="1"/>
        <v>5446.6741916027568</v>
      </c>
      <c r="P24" s="723">
        <f t="shared" si="1"/>
        <v>5416.3951427345328</v>
      </c>
      <c r="Q24" s="723">
        <f t="shared" si="1"/>
        <v>5385.2838169079296</v>
      </c>
      <c r="R24" s="723">
        <f t="shared" si="1"/>
        <v>5353.3167677043475</v>
      </c>
      <c r="S24" s="723">
        <f t="shared" si="1"/>
        <v>5320.4698757504539</v>
      </c>
      <c r="T24" s="723">
        <f t="shared" si="1"/>
        <v>5286.7183291382426</v>
      </c>
      <c r="U24" s="723">
        <f t="shared" si="1"/>
        <v>5252.0366032699676</v>
      </c>
      <c r="V24" s="723">
        <f t="shared" si="1"/>
        <v>5216.3984401107973</v>
      </c>
      <c r="W24" s="723">
        <f t="shared" si="1"/>
        <v>1041.2805218260546</v>
      </c>
    </row>
    <row r="25" spans="1:23">
      <c r="A25" s="333"/>
    </row>
    <row r="26" spans="1:23">
      <c r="A26" s="386" t="s">
        <v>683</v>
      </c>
      <c r="B26" s="517">
        <v>1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330"/>
    </row>
    <row r="27" spans="1:23">
      <c r="A27" s="726" t="s">
        <v>679</v>
      </c>
      <c r="B27" s="720">
        <f>B24*$B$26</f>
        <v>0</v>
      </c>
      <c r="C27" s="720">
        <f t="shared" ref="C27:W27" si="2">C24*$B$26</f>
        <v>-1762.2005216702046</v>
      </c>
      <c r="D27" s="720">
        <f t="shared" si="2"/>
        <v>249.36614499645566</v>
      </c>
      <c r="E27" s="720">
        <f t="shared" si="2"/>
        <v>226.86914499646173</v>
      </c>
      <c r="F27" s="720">
        <f t="shared" si="2"/>
        <v>203.75843499645907</v>
      </c>
      <c r="G27" s="720">
        <f t="shared" si="2"/>
        <v>180.01682769645686</v>
      </c>
      <c r="H27" s="720">
        <f t="shared" si="2"/>
        <v>155.6266446574582</v>
      </c>
      <c r="I27" s="720">
        <f t="shared" si="2"/>
        <v>130.56970205688958</v>
      </c>
      <c r="J27" s="720">
        <f t="shared" si="2"/>
        <v>104.82729602649579</v>
      </c>
      <c r="K27" s="720">
        <f t="shared" si="2"/>
        <v>78.380187560341255</v>
      </c>
      <c r="L27" s="720">
        <f t="shared" si="2"/>
        <v>51.208586980267683</v>
      </c>
      <c r="M27" s="720">
        <f t="shared" si="2"/>
        <v>5504.8259929491851</v>
      </c>
      <c r="N27" s="720">
        <f t="shared" si="2"/>
        <v>5476.1437559976457</v>
      </c>
      <c r="O27" s="720">
        <f t="shared" si="2"/>
        <v>5446.6741916027568</v>
      </c>
      <c r="P27" s="720">
        <f t="shared" si="2"/>
        <v>5416.3951427345328</v>
      </c>
      <c r="Q27" s="720">
        <f t="shared" si="2"/>
        <v>5385.2838169079296</v>
      </c>
      <c r="R27" s="720">
        <f t="shared" si="2"/>
        <v>5353.3167677043475</v>
      </c>
      <c r="S27" s="720">
        <f t="shared" si="2"/>
        <v>5320.4698757504539</v>
      </c>
      <c r="T27" s="720">
        <f t="shared" si="2"/>
        <v>5286.7183291382426</v>
      </c>
      <c r="U27" s="720">
        <f t="shared" si="2"/>
        <v>5252.0366032699676</v>
      </c>
      <c r="V27" s="720">
        <f t="shared" si="2"/>
        <v>5216.3984401107973</v>
      </c>
      <c r="W27" s="727">
        <f t="shared" si="2"/>
        <v>1041.2805218260546</v>
      </c>
    </row>
    <row r="28" spans="1:23">
      <c r="A28" s="728" t="s">
        <v>680</v>
      </c>
      <c r="B28" s="707">
        <f>B25*$B$26</f>
        <v>0</v>
      </c>
      <c r="C28" s="667">
        <f>C24*(1-$B$26)</f>
        <v>0</v>
      </c>
      <c r="D28" s="667">
        <f t="shared" ref="D28:W28" si="3">D24*(1-$B$26)</f>
        <v>0</v>
      </c>
      <c r="E28" s="667">
        <f t="shared" si="3"/>
        <v>0</v>
      </c>
      <c r="F28" s="667">
        <f t="shared" si="3"/>
        <v>0</v>
      </c>
      <c r="G28" s="667">
        <f t="shared" si="3"/>
        <v>0</v>
      </c>
      <c r="H28" s="667">
        <f t="shared" si="3"/>
        <v>0</v>
      </c>
      <c r="I28" s="667">
        <f t="shared" si="3"/>
        <v>0</v>
      </c>
      <c r="J28" s="667">
        <f t="shared" si="3"/>
        <v>0</v>
      </c>
      <c r="K28" s="667">
        <f t="shared" si="3"/>
        <v>0</v>
      </c>
      <c r="L28" s="667">
        <f t="shared" si="3"/>
        <v>0</v>
      </c>
      <c r="M28" s="667">
        <f t="shared" si="3"/>
        <v>0</v>
      </c>
      <c r="N28" s="667">
        <f t="shared" si="3"/>
        <v>0</v>
      </c>
      <c r="O28" s="667">
        <f t="shared" si="3"/>
        <v>0</v>
      </c>
      <c r="P28" s="667">
        <f t="shared" si="3"/>
        <v>0</v>
      </c>
      <c r="Q28" s="667">
        <f t="shared" si="3"/>
        <v>0</v>
      </c>
      <c r="R28" s="667">
        <f t="shared" si="3"/>
        <v>0</v>
      </c>
      <c r="S28" s="667">
        <f t="shared" si="3"/>
        <v>0</v>
      </c>
      <c r="T28" s="667">
        <f t="shared" si="3"/>
        <v>0</v>
      </c>
      <c r="U28" s="667">
        <f t="shared" si="3"/>
        <v>0</v>
      </c>
      <c r="V28" s="667">
        <f t="shared" si="3"/>
        <v>0</v>
      </c>
      <c r="W28" s="729">
        <f t="shared" si="3"/>
        <v>0</v>
      </c>
    </row>
    <row r="30" spans="1:23" ht="15.75">
      <c r="A30" s="730" t="s">
        <v>648</v>
      </c>
    </row>
    <row r="31" spans="1:23" ht="15.75">
      <c r="A31" s="733"/>
    </row>
    <row r="32" spans="1:23">
      <c r="A32" s="11" t="s">
        <v>653</v>
      </c>
      <c r="B32" s="732">
        <f>Assumptions!H54</f>
        <v>6</v>
      </c>
    </row>
    <row r="33" spans="1:23">
      <c r="A33" s="447"/>
    </row>
    <row r="34" spans="1:23">
      <c r="A34" s="229" t="s">
        <v>678</v>
      </c>
      <c r="C34" s="11">
        <v>1</v>
      </c>
      <c r="D34" s="11">
        <v>2</v>
      </c>
      <c r="E34" s="11">
        <v>3</v>
      </c>
      <c r="F34" s="11">
        <v>4</v>
      </c>
      <c r="G34" s="11">
        <v>5</v>
      </c>
      <c r="H34" s="11">
        <v>6</v>
      </c>
      <c r="I34" s="11">
        <v>7</v>
      </c>
      <c r="J34" s="11">
        <v>8</v>
      </c>
      <c r="K34" s="11">
        <v>9</v>
      </c>
      <c r="L34" s="11">
        <v>10</v>
      </c>
      <c r="M34" s="11">
        <v>11</v>
      </c>
      <c r="N34" s="11">
        <v>12</v>
      </c>
      <c r="O34" s="11">
        <v>13</v>
      </c>
      <c r="P34" s="11">
        <v>14</v>
      </c>
      <c r="Q34" s="11">
        <v>15</v>
      </c>
      <c r="R34" s="11">
        <v>16</v>
      </c>
      <c r="S34" s="11">
        <v>17</v>
      </c>
      <c r="T34" s="11">
        <v>18</v>
      </c>
      <c r="U34" s="11">
        <v>19</v>
      </c>
      <c r="V34" s="11">
        <v>20</v>
      </c>
      <c r="W34" s="11">
        <v>21</v>
      </c>
    </row>
    <row r="35" spans="1:23">
      <c r="A35" s="56" t="s">
        <v>354</v>
      </c>
      <c r="B35" s="668">
        <f>(-'Debt Structs'!E8)*B26</f>
        <v>-5500</v>
      </c>
      <c r="H35" s="708"/>
    </row>
    <row r="36" spans="1:23">
      <c r="A36" s="56" t="s">
        <v>353</v>
      </c>
      <c r="B36" s="36">
        <v>0</v>
      </c>
      <c r="C36" s="36">
        <f>C27</f>
        <v>-1762.2005216702046</v>
      </c>
      <c r="D36" s="36">
        <f>D27</f>
        <v>249.36614499645566</v>
      </c>
      <c r="E36" s="36">
        <f>E27</f>
        <v>226.86914499646173</v>
      </c>
      <c r="F36" s="36">
        <f>F27</f>
        <v>203.75843499645907</v>
      </c>
      <c r="G36" s="36">
        <f>G27</f>
        <v>180.01682769645686</v>
      </c>
      <c r="H36" s="36">
        <f t="shared" ref="H36:W36" si="4">H27</f>
        <v>155.6266446574582</v>
      </c>
      <c r="I36" s="36">
        <f t="shared" si="4"/>
        <v>130.56970205688958</v>
      </c>
      <c r="J36" s="36">
        <f t="shared" si="4"/>
        <v>104.82729602649579</v>
      </c>
      <c r="K36" s="36">
        <f t="shared" si="4"/>
        <v>78.380187560341255</v>
      </c>
      <c r="L36" s="36">
        <f t="shared" si="4"/>
        <v>51.208586980267683</v>
      </c>
      <c r="M36" s="36">
        <f t="shared" si="4"/>
        <v>5504.8259929491851</v>
      </c>
      <c r="N36" s="36">
        <f t="shared" si="4"/>
        <v>5476.1437559976457</v>
      </c>
      <c r="O36" s="36">
        <f t="shared" si="4"/>
        <v>5446.6741916027568</v>
      </c>
      <c r="P36" s="36">
        <f t="shared" si="4"/>
        <v>5416.3951427345328</v>
      </c>
      <c r="Q36" s="36">
        <f t="shared" si="4"/>
        <v>5385.2838169079296</v>
      </c>
      <c r="R36" s="36">
        <f t="shared" si="4"/>
        <v>5353.3167677043475</v>
      </c>
      <c r="S36" s="36">
        <f t="shared" si="4"/>
        <v>5320.4698757504539</v>
      </c>
      <c r="T36" s="36">
        <f t="shared" si="4"/>
        <v>5286.7183291382426</v>
      </c>
      <c r="U36" s="36">
        <f t="shared" si="4"/>
        <v>5252.0366032699676</v>
      </c>
      <c r="V36" s="36">
        <f t="shared" si="4"/>
        <v>5216.3984401107973</v>
      </c>
      <c r="W36" s="36">
        <f t="shared" si="4"/>
        <v>1041.2805218260546</v>
      </c>
    </row>
    <row r="37" spans="1:23">
      <c r="A37" s="56" t="s">
        <v>671</v>
      </c>
      <c r="B37" s="665">
        <v>0</v>
      </c>
      <c r="C37" s="665">
        <v>0</v>
      </c>
      <c r="D37" s="665">
        <v>0</v>
      </c>
      <c r="E37" s="665">
        <v>0</v>
      </c>
      <c r="F37" s="665">
        <v>0</v>
      </c>
      <c r="G37" s="668">
        <v>0</v>
      </c>
      <c r="H37" s="668">
        <v>0</v>
      </c>
      <c r="I37" s="668">
        <v>0</v>
      </c>
      <c r="J37" s="668">
        <v>0</v>
      </c>
      <c r="K37" s="668">
        <v>0</v>
      </c>
      <c r="L37" s="668">
        <v>0</v>
      </c>
      <c r="M37" s="668">
        <v>0</v>
      </c>
      <c r="N37" s="668">
        <v>0</v>
      </c>
      <c r="O37" s="668">
        <v>0</v>
      </c>
      <c r="P37" s="668">
        <v>0</v>
      </c>
      <c r="Q37" s="668">
        <v>0</v>
      </c>
      <c r="R37" s="668">
        <v>0</v>
      </c>
      <c r="S37" s="668">
        <v>0</v>
      </c>
      <c r="T37" s="668">
        <v>0</v>
      </c>
      <c r="U37" s="668">
        <v>0</v>
      </c>
      <c r="V37" s="668">
        <v>0</v>
      </c>
      <c r="W37" s="668">
        <v>0</v>
      </c>
    </row>
    <row r="38" spans="1:23">
      <c r="A38" s="56" t="s">
        <v>657</v>
      </c>
      <c r="B38" s="696">
        <v>0</v>
      </c>
      <c r="C38" s="696">
        <v>0</v>
      </c>
      <c r="D38" s="696">
        <v>0</v>
      </c>
      <c r="E38" s="696">
        <v>0</v>
      </c>
      <c r="F38" s="696">
        <v>0</v>
      </c>
      <c r="G38" s="696">
        <v>0</v>
      </c>
      <c r="H38" s="696">
        <v>0</v>
      </c>
      <c r="I38" s="696">
        <v>0</v>
      </c>
      <c r="J38" s="696">
        <v>0</v>
      </c>
      <c r="K38" s="696">
        <v>0</v>
      </c>
      <c r="L38" s="696">
        <v>0</v>
      </c>
      <c r="M38" s="696">
        <v>0</v>
      </c>
      <c r="N38" s="696">
        <v>0</v>
      </c>
      <c r="O38" s="696">
        <v>0</v>
      </c>
      <c r="P38" s="696">
        <v>0</v>
      </c>
      <c r="Q38" s="696">
        <v>0</v>
      </c>
      <c r="R38" s="696">
        <v>0</v>
      </c>
      <c r="S38" s="696">
        <v>0</v>
      </c>
      <c r="T38" s="696">
        <v>0</v>
      </c>
      <c r="U38" s="696">
        <v>0</v>
      </c>
      <c r="V38" s="696">
        <v>0</v>
      </c>
      <c r="W38" s="696">
        <v>0</v>
      </c>
    </row>
    <row r="39" spans="1:23">
      <c r="A39" s="62" t="s">
        <v>667</v>
      </c>
      <c r="B39" s="36">
        <f t="shared" ref="B39:G39" si="5">SUM(B35:B38)</f>
        <v>-5500</v>
      </c>
      <c r="C39" s="36">
        <f t="shared" si="5"/>
        <v>-1762.2005216702046</v>
      </c>
      <c r="D39" s="36">
        <f t="shared" si="5"/>
        <v>249.36614499645566</v>
      </c>
      <c r="E39" s="36">
        <f t="shared" si="5"/>
        <v>226.86914499646173</v>
      </c>
      <c r="F39" s="36">
        <f t="shared" si="5"/>
        <v>203.75843499645907</v>
      </c>
      <c r="G39" s="36">
        <f t="shared" si="5"/>
        <v>180.01682769645686</v>
      </c>
    </row>
    <row r="40" spans="1:23">
      <c r="A40" s="62" t="s">
        <v>668</v>
      </c>
      <c r="B40" s="36">
        <f>SUM(B35:B38)</f>
        <v>-5500</v>
      </c>
      <c r="C40" s="36">
        <f>SUM(C35:C38)</f>
        <v>-1762.2005216702046</v>
      </c>
      <c r="D40" s="36">
        <f>SUM(D35:D38)</f>
        <v>249.36614499645566</v>
      </c>
      <c r="E40" s="36">
        <f>SUM(E35:E38)</f>
        <v>226.86914499646173</v>
      </c>
      <c r="F40" s="36">
        <f>SUM(F35:F38)</f>
        <v>203.75843499645907</v>
      </c>
      <c r="G40" s="36">
        <f>G36+G38</f>
        <v>180.01682769645686</v>
      </c>
      <c r="H40" s="36">
        <f t="shared" ref="H40:W40" si="6">SUM(H35:H38)</f>
        <v>155.6266446574582</v>
      </c>
      <c r="I40" s="36">
        <f t="shared" si="6"/>
        <v>130.56970205688958</v>
      </c>
      <c r="J40" s="36">
        <f t="shared" si="6"/>
        <v>104.82729602649579</v>
      </c>
      <c r="K40" s="36">
        <f t="shared" si="6"/>
        <v>78.380187560341255</v>
      </c>
      <c r="L40" s="36">
        <f t="shared" si="6"/>
        <v>51.208586980267683</v>
      </c>
      <c r="M40" s="36">
        <f t="shared" si="6"/>
        <v>5504.8259929491851</v>
      </c>
      <c r="N40" s="36">
        <f t="shared" si="6"/>
        <v>5476.1437559976457</v>
      </c>
      <c r="O40" s="36">
        <f t="shared" si="6"/>
        <v>5446.6741916027568</v>
      </c>
      <c r="P40" s="36">
        <f t="shared" si="6"/>
        <v>5416.3951427345328</v>
      </c>
      <c r="Q40" s="36">
        <f t="shared" si="6"/>
        <v>5385.2838169079296</v>
      </c>
      <c r="R40" s="36">
        <f t="shared" si="6"/>
        <v>5353.3167677043475</v>
      </c>
      <c r="S40" s="36">
        <f t="shared" si="6"/>
        <v>5320.4698757504539</v>
      </c>
      <c r="T40" s="36">
        <f t="shared" si="6"/>
        <v>5286.7183291382426</v>
      </c>
      <c r="U40" s="36">
        <f t="shared" si="6"/>
        <v>5252.0366032699676</v>
      </c>
      <c r="V40" s="36">
        <f t="shared" si="6"/>
        <v>5216.3984401107973</v>
      </c>
      <c r="W40" s="36">
        <f t="shared" si="6"/>
        <v>1041.2805218260546</v>
      </c>
    </row>
    <row r="41" spans="1:23">
      <c r="A41" s="5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 spans="1:23">
      <c r="A42" s="62" t="s">
        <v>669</v>
      </c>
      <c r="B42" s="446" t="s">
        <v>1</v>
      </c>
      <c r="C42" s="703" t="e">
        <f>IRR(B39:G39)</f>
        <v>#NUM!</v>
      </c>
    </row>
    <row r="43" spans="1:23">
      <c r="A43" s="56"/>
      <c r="B43" s="11" t="s">
        <v>655</v>
      </c>
      <c r="C43" s="701">
        <f>NPV(0.15,B39:G39)</f>
        <v>-5642.2798066467294</v>
      </c>
    </row>
    <row r="44" spans="1:23">
      <c r="A44" s="62" t="s">
        <v>670</v>
      </c>
      <c r="B44" s="446" t="s">
        <v>1</v>
      </c>
      <c r="C44" s="702">
        <f>XIRR(B40:W40,B8:W8)</f>
        <v>0.1497587859630585</v>
      </c>
    </row>
    <row r="45" spans="1:23">
      <c r="A45" s="45"/>
      <c r="B45" s="11" t="s">
        <v>655</v>
      </c>
      <c r="C45" s="701">
        <f>NPV(0.15,B40:W40)</f>
        <v>393.93574372665341</v>
      </c>
    </row>
    <row r="46" spans="1:23">
      <c r="A46" s="45"/>
    </row>
    <row r="47" spans="1:23">
      <c r="A47" s="229" t="s">
        <v>681</v>
      </c>
    </row>
    <row r="48" spans="1:23">
      <c r="A48" s="56" t="s">
        <v>354</v>
      </c>
      <c r="B48" s="36">
        <f>(-'Debt Structs'!E8)*(1-'Cash Flows'!B26)</f>
        <v>0</v>
      </c>
    </row>
    <row r="49" spans="1:23">
      <c r="A49" s="56" t="s">
        <v>353</v>
      </c>
      <c r="B49" s="36">
        <f t="shared" ref="B49:Q50" si="7">B36</f>
        <v>0</v>
      </c>
      <c r="C49" s="36">
        <f>C28</f>
        <v>0</v>
      </c>
      <c r="D49" s="36">
        <f t="shared" ref="D49:W49" si="8">D28</f>
        <v>0</v>
      </c>
      <c r="E49" s="36">
        <f t="shared" si="8"/>
        <v>0</v>
      </c>
      <c r="F49" s="36">
        <f t="shared" si="8"/>
        <v>0</v>
      </c>
      <c r="G49" s="36">
        <f t="shared" si="8"/>
        <v>0</v>
      </c>
      <c r="H49" s="36">
        <f t="shared" si="8"/>
        <v>0</v>
      </c>
      <c r="I49" s="36">
        <f t="shared" si="8"/>
        <v>0</v>
      </c>
      <c r="J49" s="36">
        <f t="shared" si="8"/>
        <v>0</v>
      </c>
      <c r="K49" s="36">
        <f t="shared" si="8"/>
        <v>0</v>
      </c>
      <c r="L49" s="36">
        <f t="shared" si="8"/>
        <v>0</v>
      </c>
      <c r="M49" s="36">
        <f t="shared" si="8"/>
        <v>0</v>
      </c>
      <c r="N49" s="36">
        <f t="shared" si="8"/>
        <v>0</v>
      </c>
      <c r="O49" s="36">
        <f t="shared" si="8"/>
        <v>0</v>
      </c>
      <c r="P49" s="36">
        <f t="shared" si="8"/>
        <v>0</v>
      </c>
      <c r="Q49" s="36">
        <f t="shared" si="8"/>
        <v>0</v>
      </c>
      <c r="R49" s="36">
        <f t="shared" si="8"/>
        <v>0</v>
      </c>
      <c r="S49" s="36">
        <f t="shared" si="8"/>
        <v>0</v>
      </c>
      <c r="T49" s="36">
        <f t="shared" si="8"/>
        <v>0</v>
      </c>
      <c r="U49" s="36">
        <f t="shared" si="8"/>
        <v>0</v>
      </c>
      <c r="V49" s="36">
        <f t="shared" si="8"/>
        <v>0</v>
      </c>
      <c r="W49" s="36">
        <f t="shared" si="8"/>
        <v>0</v>
      </c>
    </row>
    <row r="50" spans="1:23">
      <c r="A50" s="56" t="s">
        <v>671</v>
      </c>
      <c r="B50" s="36">
        <f t="shared" si="7"/>
        <v>0</v>
      </c>
      <c r="C50" s="36">
        <f t="shared" si="7"/>
        <v>0</v>
      </c>
      <c r="D50" s="36">
        <f t="shared" si="7"/>
        <v>0</v>
      </c>
      <c r="E50" s="36">
        <f t="shared" si="7"/>
        <v>0</v>
      </c>
      <c r="F50" s="36">
        <f t="shared" si="7"/>
        <v>0</v>
      </c>
      <c r="G50" s="36">
        <f t="shared" si="7"/>
        <v>0</v>
      </c>
      <c r="H50" s="36">
        <f t="shared" si="7"/>
        <v>0</v>
      </c>
      <c r="I50" s="36">
        <f t="shared" si="7"/>
        <v>0</v>
      </c>
      <c r="J50" s="36">
        <f t="shared" si="7"/>
        <v>0</v>
      </c>
      <c r="K50" s="36">
        <f t="shared" si="7"/>
        <v>0</v>
      </c>
      <c r="L50" s="36">
        <f t="shared" si="7"/>
        <v>0</v>
      </c>
      <c r="M50" s="36">
        <f t="shared" si="7"/>
        <v>0</v>
      </c>
      <c r="N50" s="36">
        <f t="shared" si="7"/>
        <v>0</v>
      </c>
      <c r="O50" s="36">
        <f t="shared" si="7"/>
        <v>0</v>
      </c>
      <c r="P50" s="36">
        <f t="shared" si="7"/>
        <v>0</v>
      </c>
      <c r="Q50" s="36">
        <f t="shared" si="7"/>
        <v>0</v>
      </c>
      <c r="R50" s="36">
        <f t="shared" ref="R50:W50" si="9">R37</f>
        <v>0</v>
      </c>
      <c r="S50" s="36">
        <f t="shared" si="9"/>
        <v>0</v>
      </c>
      <c r="T50" s="36">
        <f t="shared" si="9"/>
        <v>0</v>
      </c>
      <c r="U50" s="36">
        <f t="shared" si="9"/>
        <v>0</v>
      </c>
      <c r="V50" s="36">
        <f t="shared" si="9"/>
        <v>0</v>
      </c>
      <c r="W50" s="36">
        <f t="shared" si="9"/>
        <v>0</v>
      </c>
    </row>
    <row r="51" spans="1:23">
      <c r="A51" s="56" t="s">
        <v>659</v>
      </c>
      <c r="B51" s="707">
        <f>B38</f>
        <v>0</v>
      </c>
      <c r="C51" s="707">
        <f t="shared" ref="C51:W51" si="10">C38</f>
        <v>0</v>
      </c>
      <c r="D51" s="707">
        <f t="shared" si="10"/>
        <v>0</v>
      </c>
      <c r="E51" s="707">
        <f t="shared" si="10"/>
        <v>0</v>
      </c>
      <c r="F51" s="707">
        <f t="shared" si="10"/>
        <v>0</v>
      </c>
      <c r="G51" s="707">
        <f t="shared" si="10"/>
        <v>0</v>
      </c>
      <c r="H51" s="707">
        <f t="shared" si="10"/>
        <v>0</v>
      </c>
      <c r="I51" s="707">
        <f t="shared" si="10"/>
        <v>0</v>
      </c>
      <c r="J51" s="707">
        <f t="shared" si="10"/>
        <v>0</v>
      </c>
      <c r="K51" s="707">
        <f t="shared" si="10"/>
        <v>0</v>
      </c>
      <c r="L51" s="707">
        <f t="shared" si="10"/>
        <v>0</v>
      </c>
      <c r="M51" s="707">
        <f t="shared" si="10"/>
        <v>0</v>
      </c>
      <c r="N51" s="707">
        <f t="shared" si="10"/>
        <v>0</v>
      </c>
      <c r="O51" s="707">
        <f t="shared" si="10"/>
        <v>0</v>
      </c>
      <c r="P51" s="707">
        <f t="shared" si="10"/>
        <v>0</v>
      </c>
      <c r="Q51" s="707">
        <f t="shared" si="10"/>
        <v>0</v>
      </c>
      <c r="R51" s="707">
        <f t="shared" si="10"/>
        <v>0</v>
      </c>
      <c r="S51" s="707">
        <f t="shared" si="10"/>
        <v>0</v>
      </c>
      <c r="T51" s="707">
        <f t="shared" si="10"/>
        <v>0</v>
      </c>
      <c r="U51" s="707">
        <f t="shared" si="10"/>
        <v>0</v>
      </c>
      <c r="V51" s="707">
        <f t="shared" si="10"/>
        <v>0</v>
      </c>
      <c r="W51" s="707">
        <f t="shared" si="10"/>
        <v>0</v>
      </c>
    </row>
    <row r="52" spans="1:23">
      <c r="A52" s="62" t="s">
        <v>667</v>
      </c>
      <c r="B52" s="36">
        <f t="shared" ref="B52:G52" si="11">SUM(B48:B51)</f>
        <v>0</v>
      </c>
      <c r="C52" s="36">
        <f t="shared" si="11"/>
        <v>0</v>
      </c>
      <c r="D52" s="36">
        <f t="shared" si="11"/>
        <v>0</v>
      </c>
      <c r="E52" s="36">
        <f t="shared" si="11"/>
        <v>0</v>
      </c>
      <c r="F52" s="36">
        <f t="shared" si="11"/>
        <v>0</v>
      </c>
      <c r="G52" s="36">
        <f t="shared" si="11"/>
        <v>0</v>
      </c>
    </row>
    <row r="53" spans="1:23">
      <c r="A53" s="62" t="s">
        <v>668</v>
      </c>
      <c r="B53" s="36">
        <f>SUM(B48:B51)</f>
        <v>0</v>
      </c>
      <c r="C53" s="36">
        <f t="shared" ref="C53:W53" si="12">SUM(C48:C51)</f>
        <v>0</v>
      </c>
      <c r="D53" s="36">
        <f t="shared" si="12"/>
        <v>0</v>
      </c>
      <c r="E53" s="36">
        <f t="shared" si="12"/>
        <v>0</v>
      </c>
      <c r="F53" s="36">
        <f t="shared" si="12"/>
        <v>0</v>
      </c>
      <c r="G53" s="36">
        <f t="shared" si="12"/>
        <v>0</v>
      </c>
      <c r="H53" s="36">
        <f t="shared" si="12"/>
        <v>0</v>
      </c>
      <c r="I53" s="36">
        <f t="shared" si="12"/>
        <v>0</v>
      </c>
      <c r="J53" s="36">
        <f t="shared" si="12"/>
        <v>0</v>
      </c>
      <c r="K53" s="36">
        <f t="shared" si="12"/>
        <v>0</v>
      </c>
      <c r="L53" s="36">
        <f t="shared" si="12"/>
        <v>0</v>
      </c>
      <c r="M53" s="36">
        <f t="shared" si="12"/>
        <v>0</v>
      </c>
      <c r="N53" s="36">
        <f t="shared" si="12"/>
        <v>0</v>
      </c>
      <c r="O53" s="36">
        <f t="shared" si="12"/>
        <v>0</v>
      </c>
      <c r="P53" s="36">
        <f t="shared" si="12"/>
        <v>0</v>
      </c>
      <c r="Q53" s="36">
        <f t="shared" si="12"/>
        <v>0</v>
      </c>
      <c r="R53" s="36">
        <f t="shared" si="12"/>
        <v>0</v>
      </c>
      <c r="S53" s="36">
        <f t="shared" si="12"/>
        <v>0</v>
      </c>
      <c r="T53" s="36">
        <f t="shared" si="12"/>
        <v>0</v>
      </c>
      <c r="U53" s="36">
        <f t="shared" si="12"/>
        <v>0</v>
      </c>
      <c r="V53" s="36">
        <f t="shared" si="12"/>
        <v>0</v>
      </c>
      <c r="W53" s="36">
        <f t="shared" si="12"/>
        <v>0</v>
      </c>
    </row>
    <row r="54" spans="1:23">
      <c r="A54" s="45"/>
    </row>
    <row r="55" spans="1:23">
      <c r="A55" s="62" t="s">
        <v>669</v>
      </c>
      <c r="B55" s="446" t="s">
        <v>1</v>
      </c>
      <c r="C55" s="703" t="e">
        <f>IRR(B52:G52)</f>
        <v>#NUM!</v>
      </c>
    </row>
    <row r="56" spans="1:23">
      <c r="A56" s="56"/>
      <c r="B56" s="11" t="s">
        <v>655</v>
      </c>
      <c r="C56" s="701">
        <f>NPV(0.15,B52:G52)</f>
        <v>0</v>
      </c>
    </row>
    <row r="57" spans="1:23">
      <c r="A57" s="62" t="s">
        <v>670</v>
      </c>
      <c r="B57" s="446" t="s">
        <v>1</v>
      </c>
      <c r="C57" s="702" t="e">
        <f>XIRR(B53:W53,B8:W8)</f>
        <v>#NUM!</v>
      </c>
    </row>
    <row r="58" spans="1:23">
      <c r="A58" s="45"/>
      <c r="B58" s="11" t="s">
        <v>655</v>
      </c>
      <c r="C58" s="701">
        <f>NPV(0.15,B53:W53)</f>
        <v>0</v>
      </c>
    </row>
    <row r="59" spans="1:23" s="42" customFormat="1" ht="13.5" thickBot="1">
      <c r="A59" s="709"/>
    </row>
    <row r="60" spans="1:23" s="13" customFormat="1">
      <c r="A60" s="56"/>
    </row>
    <row r="61" spans="1:23" ht="15.75">
      <c r="A61" s="730" t="s">
        <v>719</v>
      </c>
    </row>
    <row r="62" spans="1:23" ht="15.75">
      <c r="A62" s="706"/>
    </row>
    <row r="63" spans="1:23" ht="15" customHeight="1">
      <c r="A63" s="11" t="s">
        <v>683</v>
      </c>
      <c r="B63" s="731">
        <v>1</v>
      </c>
    </row>
    <row r="64" spans="1:23">
      <c r="A64" s="11" t="s">
        <v>653</v>
      </c>
      <c r="B64" s="732">
        <f>Assumptions!H54</f>
        <v>6</v>
      </c>
    </row>
    <row r="65" spans="1:23">
      <c r="A65" s="11"/>
    </row>
    <row r="66" spans="1:23">
      <c r="A66" s="229" t="s">
        <v>678</v>
      </c>
      <c r="C66" s="11">
        <v>1</v>
      </c>
      <c r="D66" s="11">
        <v>2</v>
      </c>
      <c r="E66" s="11">
        <v>3</v>
      </c>
      <c r="F66" s="11">
        <v>4</v>
      </c>
      <c r="G66" s="1">
        <v>5</v>
      </c>
      <c r="H66" s="1">
        <v>6</v>
      </c>
      <c r="I66" s="1">
        <v>7</v>
      </c>
      <c r="J66" s="1">
        <v>8</v>
      </c>
      <c r="K66" s="1">
        <v>9</v>
      </c>
      <c r="L66" s="1">
        <v>10</v>
      </c>
      <c r="M66" s="11">
        <v>11</v>
      </c>
      <c r="N66" s="11">
        <v>12</v>
      </c>
      <c r="O66" s="11">
        <v>13</v>
      </c>
      <c r="P66" s="11">
        <v>14</v>
      </c>
      <c r="Q66" s="11">
        <v>15</v>
      </c>
      <c r="R66" s="11">
        <v>16</v>
      </c>
      <c r="S66" s="11">
        <v>17</v>
      </c>
      <c r="T66" s="11">
        <v>18</v>
      </c>
      <c r="U66" s="11">
        <v>19</v>
      </c>
      <c r="V66" s="11">
        <v>20</v>
      </c>
      <c r="W66" s="11">
        <v>21</v>
      </c>
    </row>
    <row r="67" spans="1:23">
      <c r="A67" s="56" t="s">
        <v>354</v>
      </c>
      <c r="B67" s="668">
        <f>-'Debt Structs'!D64*B63</f>
        <v>-16500</v>
      </c>
      <c r="W67" s="13"/>
    </row>
    <row r="68" spans="1:23">
      <c r="A68" s="56" t="s">
        <v>353</v>
      </c>
      <c r="B68" s="36">
        <f>B27</f>
        <v>0</v>
      </c>
      <c r="C68" s="36">
        <f t="shared" ref="C68:V68" si="13">C27</f>
        <v>-1762.2005216702046</v>
      </c>
      <c r="D68" s="36">
        <f t="shared" si="13"/>
        <v>249.36614499645566</v>
      </c>
      <c r="E68" s="36">
        <f t="shared" si="13"/>
        <v>226.86914499646173</v>
      </c>
      <c r="F68" s="36">
        <f t="shared" si="13"/>
        <v>203.75843499645907</v>
      </c>
      <c r="G68" s="36">
        <f t="shared" si="13"/>
        <v>180.01682769645686</v>
      </c>
      <c r="H68" s="36">
        <f t="shared" si="13"/>
        <v>155.6266446574582</v>
      </c>
      <c r="I68" s="36">
        <f t="shared" si="13"/>
        <v>130.56970205688958</v>
      </c>
      <c r="J68" s="36">
        <f t="shared" si="13"/>
        <v>104.82729602649579</v>
      </c>
      <c r="K68" s="36">
        <f t="shared" si="13"/>
        <v>78.380187560341255</v>
      </c>
      <c r="L68" s="36">
        <f t="shared" si="13"/>
        <v>51.208586980267683</v>
      </c>
      <c r="M68" s="36">
        <f t="shared" si="13"/>
        <v>5504.8259929491851</v>
      </c>
      <c r="N68" s="36">
        <f t="shared" si="13"/>
        <v>5476.1437559976457</v>
      </c>
      <c r="O68" s="36">
        <f t="shared" si="13"/>
        <v>5446.6741916027568</v>
      </c>
      <c r="P68" s="36">
        <f t="shared" si="13"/>
        <v>5416.3951427345328</v>
      </c>
      <c r="Q68" s="36">
        <f t="shared" si="13"/>
        <v>5385.2838169079296</v>
      </c>
      <c r="R68" s="36">
        <f t="shared" si="13"/>
        <v>5353.3167677043475</v>
      </c>
      <c r="S68" s="36">
        <f t="shared" si="13"/>
        <v>5320.4698757504539</v>
      </c>
      <c r="T68" s="36">
        <f t="shared" si="13"/>
        <v>5286.7183291382426</v>
      </c>
      <c r="U68" s="36">
        <f t="shared" si="13"/>
        <v>5252.0366032699676</v>
      </c>
      <c r="V68" s="36">
        <f t="shared" si="13"/>
        <v>5216.3984401107973</v>
      </c>
      <c r="W68" s="36">
        <f>W27</f>
        <v>1041.2805218260546</v>
      </c>
    </row>
    <row r="69" spans="1:23">
      <c r="A69" s="56" t="s">
        <v>716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>
        <f>Assumptions!C61*Assumptions!H24</f>
        <v>22000</v>
      </c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</row>
    <row r="70" spans="1:23">
      <c r="A70" s="56" t="s">
        <v>650</v>
      </c>
      <c r="B70" s="696">
        <v>0</v>
      </c>
      <c r="C70" s="696">
        <v>0</v>
      </c>
      <c r="D70" s="696">
        <v>0</v>
      </c>
      <c r="E70" s="696">
        <v>0</v>
      </c>
      <c r="F70" s="696">
        <v>0</v>
      </c>
      <c r="G70" s="696">
        <v>0</v>
      </c>
      <c r="H70" s="696">
        <v>0</v>
      </c>
      <c r="I70" s="667">
        <v>0</v>
      </c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</row>
    <row r="71" spans="1:23">
      <c r="A71" s="62" t="s">
        <v>718</v>
      </c>
      <c r="B71" s="36">
        <f t="shared" ref="B71:I71" si="14">SUM(B67:B70)</f>
        <v>-16500</v>
      </c>
      <c r="C71" s="36">
        <f t="shared" si="14"/>
        <v>-1762.2005216702046</v>
      </c>
      <c r="D71" s="36">
        <f t="shared" si="14"/>
        <v>249.36614499645566</v>
      </c>
      <c r="E71" s="36">
        <f t="shared" si="14"/>
        <v>226.86914499646173</v>
      </c>
      <c r="F71" s="36">
        <f t="shared" si="14"/>
        <v>203.75843499645907</v>
      </c>
      <c r="G71" s="36">
        <f t="shared" si="14"/>
        <v>180.01682769645686</v>
      </c>
      <c r="H71" s="36">
        <f t="shared" si="14"/>
        <v>155.6266446574582</v>
      </c>
      <c r="I71" s="36">
        <f t="shared" si="14"/>
        <v>130.56970205688958</v>
      </c>
      <c r="J71" s="36">
        <f>SUM(J67:J70)</f>
        <v>104.82729602649579</v>
      </c>
      <c r="K71" s="36">
        <f>SUM(K67:K70)</f>
        <v>78.380187560341255</v>
      </c>
      <c r="L71" s="36">
        <f>SUM(L67:L70)</f>
        <v>22051.208586980269</v>
      </c>
    </row>
    <row r="72" spans="1:23">
      <c r="A72" s="62" t="s">
        <v>668</v>
      </c>
      <c r="B72" s="36">
        <f>SUM(B67:B70)</f>
        <v>-16500</v>
      </c>
      <c r="C72" s="36">
        <f t="shared" ref="C72:V72" si="15">SUM(C67:C70)</f>
        <v>-1762.2005216702046</v>
      </c>
      <c r="D72" s="36">
        <f t="shared" si="15"/>
        <v>249.36614499645566</v>
      </c>
      <c r="E72" s="36">
        <f t="shared" si="15"/>
        <v>226.86914499646173</v>
      </c>
      <c r="F72" s="36">
        <f t="shared" si="15"/>
        <v>203.75843499645907</v>
      </c>
      <c r="G72" s="36">
        <f t="shared" si="15"/>
        <v>180.01682769645686</v>
      </c>
      <c r="H72" s="36">
        <f t="shared" si="15"/>
        <v>155.6266446574582</v>
      </c>
      <c r="I72" s="36">
        <f t="shared" si="15"/>
        <v>130.56970205688958</v>
      </c>
      <c r="J72" s="36">
        <f t="shared" si="15"/>
        <v>104.82729602649579</v>
      </c>
      <c r="K72" s="36">
        <f t="shared" si="15"/>
        <v>78.380187560341255</v>
      </c>
      <c r="L72" s="36">
        <f t="shared" si="15"/>
        <v>22051.208586980269</v>
      </c>
      <c r="M72" s="36">
        <f t="shared" si="15"/>
        <v>5504.8259929491851</v>
      </c>
      <c r="N72" s="36">
        <f t="shared" si="15"/>
        <v>5476.1437559976457</v>
      </c>
      <c r="O72" s="36">
        <f t="shared" si="15"/>
        <v>5446.6741916027568</v>
      </c>
      <c r="P72" s="36">
        <f t="shared" si="15"/>
        <v>5416.3951427345328</v>
      </c>
      <c r="Q72" s="36">
        <f t="shared" si="15"/>
        <v>5385.2838169079296</v>
      </c>
      <c r="R72" s="36">
        <f t="shared" si="15"/>
        <v>5353.3167677043475</v>
      </c>
      <c r="S72" s="36">
        <f t="shared" si="15"/>
        <v>5320.4698757504539</v>
      </c>
      <c r="T72" s="36">
        <f t="shared" si="15"/>
        <v>5286.7183291382426</v>
      </c>
      <c r="U72" s="36">
        <f t="shared" si="15"/>
        <v>5252.0366032699676</v>
      </c>
      <c r="V72" s="36">
        <f t="shared" si="15"/>
        <v>5216.3984401107973</v>
      </c>
      <c r="W72" s="36">
        <f>SUM(W67:W70)</f>
        <v>1041.2805218260546</v>
      </c>
    </row>
    <row r="73" spans="1:23">
      <c r="A73" s="56"/>
      <c r="B73" s="36"/>
      <c r="C73" s="36"/>
      <c r="D73" s="36"/>
      <c r="E73" s="36"/>
      <c r="F73" s="36"/>
      <c r="G73" s="36"/>
      <c r="H73" s="36"/>
      <c r="I73" s="36"/>
      <c r="W73" s="13"/>
    </row>
    <row r="74" spans="1:23">
      <c r="A74" s="62" t="s">
        <v>717</v>
      </c>
      <c r="B74" s="446" t="s">
        <v>1</v>
      </c>
      <c r="C74" s="688">
        <f>XIRR(B71:L71,B8:L8)</f>
        <v>2.4729797244071965E-2</v>
      </c>
      <c r="W74" s="13"/>
    </row>
    <row r="75" spans="1:23">
      <c r="A75" s="13"/>
      <c r="B75" s="11" t="s">
        <v>655</v>
      </c>
      <c r="C75" s="691">
        <f>NPV(0.15,B71:L71)</f>
        <v>-10317.377228529551</v>
      </c>
      <c r="W75" s="13"/>
    </row>
    <row r="76" spans="1:23">
      <c r="A76" s="43" t="s">
        <v>670</v>
      </c>
      <c r="B76" s="446" t="s">
        <v>1</v>
      </c>
      <c r="C76" s="702">
        <f>XIRR(B72:V72,B8:V8)</f>
        <v>0.11289317011833189</v>
      </c>
      <c r="W76" s="13"/>
    </row>
    <row r="77" spans="1:23">
      <c r="A77" s="13"/>
      <c r="B77" s="11" t="s">
        <v>655</v>
      </c>
      <c r="C77" s="691">
        <f>NPV(0.15,B72:V72)</f>
        <v>-4490.6385212682262</v>
      </c>
      <c r="W77" s="13"/>
    </row>
    <row r="78" spans="1:23">
      <c r="A78" s="13"/>
      <c r="B78" s="11"/>
      <c r="C78" s="704"/>
      <c r="W78" s="13"/>
    </row>
    <row r="79" spans="1:23">
      <c r="A79" s="13"/>
      <c r="B79" s="11"/>
      <c r="C79" s="704"/>
      <c r="W79" s="13"/>
    </row>
    <row r="80" spans="1:23">
      <c r="A80" s="229" t="s">
        <v>681</v>
      </c>
      <c r="B80" s="11"/>
      <c r="C80" s="704"/>
      <c r="W80" s="13"/>
    </row>
    <row r="81" spans="1:23">
      <c r="A81" s="56" t="s">
        <v>354</v>
      </c>
      <c r="B81" s="668">
        <f>-'Debt Structs'!D64*(1-B63)</f>
        <v>0</v>
      </c>
      <c r="C81" s="704"/>
      <c r="W81" s="13"/>
    </row>
    <row r="82" spans="1:23">
      <c r="A82" s="56" t="s">
        <v>353</v>
      </c>
      <c r="B82" s="665">
        <v>0</v>
      </c>
      <c r="C82" s="721">
        <f>C28</f>
        <v>0</v>
      </c>
      <c r="D82" s="721">
        <f t="shared" ref="D82:V82" si="16">D28</f>
        <v>0</v>
      </c>
      <c r="E82" s="721">
        <f t="shared" si="16"/>
        <v>0</v>
      </c>
      <c r="F82" s="721">
        <f t="shared" si="16"/>
        <v>0</v>
      </c>
      <c r="G82" s="721">
        <f t="shared" si="16"/>
        <v>0</v>
      </c>
      <c r="H82" s="721">
        <f t="shared" si="16"/>
        <v>0</v>
      </c>
      <c r="I82" s="721">
        <f t="shared" si="16"/>
        <v>0</v>
      </c>
      <c r="J82" s="721">
        <f t="shared" si="16"/>
        <v>0</v>
      </c>
      <c r="K82" s="721">
        <f t="shared" si="16"/>
        <v>0</v>
      </c>
      <c r="L82" s="721">
        <f t="shared" si="16"/>
        <v>0</v>
      </c>
      <c r="M82" s="721">
        <f t="shared" si="16"/>
        <v>0</v>
      </c>
      <c r="N82" s="721">
        <f t="shared" si="16"/>
        <v>0</v>
      </c>
      <c r="O82" s="721">
        <f t="shared" si="16"/>
        <v>0</v>
      </c>
      <c r="P82" s="721">
        <f t="shared" si="16"/>
        <v>0</v>
      </c>
      <c r="Q82" s="721">
        <f t="shared" si="16"/>
        <v>0</v>
      </c>
      <c r="R82" s="721">
        <f t="shared" si="16"/>
        <v>0</v>
      </c>
      <c r="S82" s="721">
        <f t="shared" si="16"/>
        <v>0</v>
      </c>
      <c r="T82" s="721">
        <f t="shared" si="16"/>
        <v>0</v>
      </c>
      <c r="U82" s="721">
        <f t="shared" si="16"/>
        <v>0</v>
      </c>
      <c r="V82" s="721">
        <f t="shared" si="16"/>
        <v>0</v>
      </c>
      <c r="W82" s="721">
        <f>W28</f>
        <v>0</v>
      </c>
    </row>
    <row r="83" spans="1:23">
      <c r="A83" s="56" t="s">
        <v>666</v>
      </c>
      <c r="B83" s="665">
        <v>0</v>
      </c>
      <c r="C83" s="665">
        <v>0</v>
      </c>
      <c r="D83" s="665">
        <v>0</v>
      </c>
      <c r="E83" s="665">
        <v>0</v>
      </c>
      <c r="F83" s="665">
        <v>0</v>
      </c>
      <c r="G83" s="665">
        <v>0</v>
      </c>
      <c r="H83" s="665">
        <v>0</v>
      </c>
      <c r="I83" s="665">
        <v>0</v>
      </c>
      <c r="J83" s="665">
        <v>0</v>
      </c>
      <c r="K83" s="665">
        <v>0</v>
      </c>
      <c r="L83" s="665">
        <v>0</v>
      </c>
      <c r="M83" s="665">
        <v>0</v>
      </c>
      <c r="N83" s="665">
        <v>0</v>
      </c>
      <c r="O83" s="665">
        <v>0</v>
      </c>
      <c r="P83" s="665">
        <v>0</v>
      </c>
      <c r="Q83" s="665">
        <v>0</v>
      </c>
      <c r="R83" s="665">
        <v>0</v>
      </c>
      <c r="S83" s="665">
        <v>0</v>
      </c>
      <c r="T83" s="665">
        <v>0</v>
      </c>
      <c r="U83" s="665">
        <v>0</v>
      </c>
      <c r="V83" s="665">
        <v>0</v>
      </c>
      <c r="W83" s="665">
        <v>0</v>
      </c>
    </row>
    <row r="84" spans="1:23">
      <c r="A84" s="56" t="s">
        <v>657</v>
      </c>
      <c r="B84" s="696">
        <v>0</v>
      </c>
      <c r="C84" s="696">
        <v>0</v>
      </c>
      <c r="D84" s="696">
        <v>0</v>
      </c>
      <c r="E84" s="696">
        <v>0</v>
      </c>
      <c r="F84" s="696">
        <v>0</v>
      </c>
      <c r="G84" s="696">
        <v>0</v>
      </c>
      <c r="H84" s="696">
        <v>0</v>
      </c>
      <c r="I84" s="696">
        <v>0</v>
      </c>
      <c r="J84" s="696">
        <v>0</v>
      </c>
      <c r="K84" s="696">
        <v>0</v>
      </c>
      <c r="L84" s="696">
        <v>0</v>
      </c>
      <c r="M84" s="696">
        <v>0</v>
      </c>
      <c r="N84" s="696">
        <v>0</v>
      </c>
      <c r="O84" s="696">
        <v>0</v>
      </c>
      <c r="P84" s="696">
        <v>0</v>
      </c>
      <c r="Q84" s="696">
        <v>0</v>
      </c>
      <c r="R84" s="696">
        <v>0</v>
      </c>
      <c r="S84" s="696">
        <v>0</v>
      </c>
      <c r="T84" s="696">
        <v>0</v>
      </c>
      <c r="U84" s="696">
        <v>0</v>
      </c>
      <c r="V84" s="696">
        <v>0</v>
      </c>
      <c r="W84" s="696">
        <v>0</v>
      </c>
    </row>
    <row r="85" spans="1:23">
      <c r="A85" s="62" t="s">
        <v>677</v>
      </c>
      <c r="B85" s="36">
        <f t="shared" ref="B85:I85" si="17">SUM(B81:B84)</f>
        <v>0</v>
      </c>
      <c r="C85" s="36">
        <f t="shared" si="17"/>
        <v>0</v>
      </c>
      <c r="D85" s="36">
        <f t="shared" si="17"/>
        <v>0</v>
      </c>
      <c r="E85" s="36">
        <f t="shared" si="17"/>
        <v>0</v>
      </c>
      <c r="F85" s="36">
        <f t="shared" si="17"/>
        <v>0</v>
      </c>
      <c r="G85" s="36">
        <f t="shared" si="17"/>
        <v>0</v>
      </c>
      <c r="H85" s="36">
        <f t="shared" si="17"/>
        <v>0</v>
      </c>
      <c r="I85" s="36">
        <f t="shared" si="17"/>
        <v>0</v>
      </c>
      <c r="J85" s="36">
        <f>SUM(J81:J84)</f>
        <v>0</v>
      </c>
      <c r="K85" s="36">
        <f>SUM(K81:K84)</f>
        <v>0</v>
      </c>
      <c r="L85" s="36">
        <f>SUM(L81:L84)</f>
        <v>0</v>
      </c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</row>
    <row r="86" spans="1:23">
      <c r="A86" s="62" t="s">
        <v>668</v>
      </c>
      <c r="B86" s="36">
        <f>SUM(B81:B84)</f>
        <v>0</v>
      </c>
      <c r="C86" s="36">
        <f t="shared" ref="C86:V86" si="18">SUM(C81:C84)</f>
        <v>0</v>
      </c>
      <c r="D86" s="36">
        <f t="shared" si="18"/>
        <v>0</v>
      </c>
      <c r="E86" s="36">
        <f t="shared" si="18"/>
        <v>0</v>
      </c>
      <c r="F86" s="36">
        <f t="shared" si="18"/>
        <v>0</v>
      </c>
      <c r="G86" s="36">
        <f t="shared" si="18"/>
        <v>0</v>
      </c>
      <c r="H86" s="36">
        <f t="shared" si="18"/>
        <v>0</v>
      </c>
      <c r="I86" s="36">
        <f t="shared" si="18"/>
        <v>0</v>
      </c>
      <c r="J86" s="36">
        <f t="shared" si="18"/>
        <v>0</v>
      </c>
      <c r="K86" s="36">
        <f t="shared" si="18"/>
        <v>0</v>
      </c>
      <c r="L86" s="36">
        <f t="shared" si="18"/>
        <v>0</v>
      </c>
      <c r="M86" s="36">
        <f t="shared" si="18"/>
        <v>0</v>
      </c>
      <c r="N86" s="36">
        <f t="shared" si="18"/>
        <v>0</v>
      </c>
      <c r="O86" s="36">
        <f t="shared" si="18"/>
        <v>0</v>
      </c>
      <c r="P86" s="36">
        <f t="shared" si="18"/>
        <v>0</v>
      </c>
      <c r="Q86" s="36">
        <f t="shared" si="18"/>
        <v>0</v>
      </c>
      <c r="R86" s="36">
        <f t="shared" si="18"/>
        <v>0</v>
      </c>
      <c r="S86" s="36">
        <f t="shared" si="18"/>
        <v>0</v>
      </c>
      <c r="T86" s="36">
        <f t="shared" si="18"/>
        <v>0</v>
      </c>
      <c r="U86" s="36">
        <f t="shared" si="18"/>
        <v>0</v>
      </c>
      <c r="V86" s="36">
        <f t="shared" si="18"/>
        <v>0</v>
      </c>
      <c r="W86" s="36">
        <f>SUM(W81:W84)</f>
        <v>0</v>
      </c>
    </row>
    <row r="87" spans="1:23" hidden="1">
      <c r="A87" s="629" t="s">
        <v>649</v>
      </c>
    </row>
    <row r="88" spans="1:23" hidden="1">
      <c r="A88" s="43" t="s">
        <v>647</v>
      </c>
    </row>
    <row r="89" spans="1:23" hidden="1">
      <c r="A89" s="56" t="s">
        <v>354</v>
      </c>
      <c r="B89" s="668">
        <f>-'Debt Structs'!D8</f>
        <v>-16500</v>
      </c>
      <c r="M89" s="697" t="s">
        <v>663</v>
      </c>
    </row>
    <row r="90" spans="1:23" hidden="1">
      <c r="A90" s="56" t="s">
        <v>353</v>
      </c>
      <c r="B90" s="36">
        <f>B27</f>
        <v>0</v>
      </c>
      <c r="C90" s="36">
        <f t="shared" ref="C90:W90" si="19">C27</f>
        <v>-1762.2005216702046</v>
      </c>
      <c r="D90" s="36">
        <f t="shared" si="19"/>
        <v>249.36614499645566</v>
      </c>
      <c r="E90" s="36">
        <f t="shared" si="19"/>
        <v>226.86914499646173</v>
      </c>
      <c r="F90" s="36">
        <f t="shared" si="19"/>
        <v>203.75843499645907</v>
      </c>
      <c r="G90" s="36">
        <f t="shared" si="19"/>
        <v>180.01682769645686</v>
      </c>
      <c r="H90" s="36">
        <f t="shared" si="19"/>
        <v>155.6266446574582</v>
      </c>
      <c r="I90" s="36">
        <f t="shared" si="19"/>
        <v>130.56970205688958</v>
      </c>
      <c r="J90" s="36">
        <f t="shared" si="19"/>
        <v>104.82729602649579</v>
      </c>
      <c r="K90" s="36">
        <f t="shared" si="19"/>
        <v>78.380187560341255</v>
      </c>
      <c r="L90" s="36">
        <f t="shared" si="19"/>
        <v>51.208586980267683</v>
      </c>
      <c r="M90" s="36">
        <f t="shared" si="19"/>
        <v>5504.8259929491851</v>
      </c>
      <c r="N90" s="36">
        <f t="shared" si="19"/>
        <v>5476.1437559976457</v>
      </c>
      <c r="O90" s="36">
        <f t="shared" si="19"/>
        <v>5446.6741916027568</v>
      </c>
      <c r="P90" s="36">
        <f t="shared" si="19"/>
        <v>5416.3951427345328</v>
      </c>
      <c r="Q90" s="36">
        <f t="shared" si="19"/>
        <v>5385.2838169079296</v>
      </c>
      <c r="R90" s="36">
        <f t="shared" si="19"/>
        <v>5353.3167677043475</v>
      </c>
      <c r="S90" s="36">
        <f t="shared" si="19"/>
        <v>5320.4698757504539</v>
      </c>
      <c r="T90" s="36">
        <f t="shared" si="19"/>
        <v>5286.7183291382426</v>
      </c>
      <c r="U90" s="36">
        <f t="shared" si="19"/>
        <v>5252.0366032699676</v>
      </c>
      <c r="V90" s="36">
        <f t="shared" si="19"/>
        <v>5216.3984401107973</v>
      </c>
      <c r="W90" s="36">
        <f t="shared" si="19"/>
        <v>1041.2805218260546</v>
      </c>
    </row>
    <row r="91" spans="1:23" hidden="1">
      <c r="A91" s="700" t="s">
        <v>664</v>
      </c>
      <c r="B91" s="665">
        <v>0</v>
      </c>
      <c r="C91" s="665">
        <v>0</v>
      </c>
      <c r="D91" s="665">
        <v>0</v>
      </c>
      <c r="E91" s="665">
        <v>0</v>
      </c>
      <c r="F91" s="665">
        <v>0</v>
      </c>
      <c r="G91" s="665">
        <v>0</v>
      </c>
      <c r="H91" s="665">
        <v>0</v>
      </c>
      <c r="I91" s="665">
        <v>0</v>
      </c>
      <c r="J91" s="665">
        <v>0</v>
      </c>
      <c r="K91" s="665">
        <v>0</v>
      </c>
      <c r="L91" s="668">
        <f>'Debt Structs'!G25</f>
        <v>0</v>
      </c>
    </row>
    <row r="92" spans="1:23" hidden="1">
      <c r="A92" s="56" t="s">
        <v>665</v>
      </c>
      <c r="B92" s="696">
        <v>0</v>
      </c>
      <c r="C92" s="696">
        <v>0</v>
      </c>
      <c r="D92" s="696">
        <v>0</v>
      </c>
      <c r="E92" s="696">
        <v>0</v>
      </c>
      <c r="F92" s="696">
        <v>0</v>
      </c>
      <c r="G92" s="696">
        <v>0</v>
      </c>
      <c r="H92" s="696">
        <v>0</v>
      </c>
      <c r="I92" s="696">
        <v>0</v>
      </c>
      <c r="J92" s="696">
        <v>0</v>
      </c>
      <c r="K92" s="696">
        <v>0</v>
      </c>
      <c r="L92" s="696">
        <v>0</v>
      </c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</row>
    <row r="93" spans="1:23" hidden="1">
      <c r="A93" s="56" t="s">
        <v>352</v>
      </c>
      <c r="B93" s="36">
        <f t="shared" ref="B93:L93" si="20">SUM(B89:B91)</f>
        <v>-16500</v>
      </c>
      <c r="C93" s="36">
        <f t="shared" si="20"/>
        <v>-1762.2005216702046</v>
      </c>
      <c r="D93" s="36">
        <f t="shared" si="20"/>
        <v>249.36614499645566</v>
      </c>
      <c r="E93" s="36">
        <f t="shared" si="20"/>
        <v>226.86914499646173</v>
      </c>
      <c r="F93" s="36">
        <f t="shared" si="20"/>
        <v>203.75843499645907</v>
      </c>
      <c r="G93" s="36">
        <f t="shared" si="20"/>
        <v>180.01682769645686</v>
      </c>
      <c r="H93" s="36">
        <f t="shared" si="20"/>
        <v>155.6266446574582</v>
      </c>
      <c r="I93" s="36">
        <f t="shared" si="20"/>
        <v>130.56970205688958</v>
      </c>
      <c r="J93" s="36">
        <f t="shared" si="20"/>
        <v>104.82729602649579</v>
      </c>
      <c r="K93" s="36">
        <f t="shared" si="20"/>
        <v>78.380187560341255</v>
      </c>
      <c r="L93" s="36">
        <f t="shared" si="20"/>
        <v>51.208586980267683</v>
      </c>
    </row>
    <row r="94" spans="1:23" hidden="1">
      <c r="A94" s="13"/>
      <c r="B94" s="446" t="s">
        <v>1</v>
      </c>
      <c r="C94" s="452">
        <f>XIRR(B93:L93,B8:L8)</f>
        <v>-0.3293058163486422</v>
      </c>
    </row>
    <row r="95" spans="1:23" hidden="1">
      <c r="A95" s="56"/>
      <c r="B95" s="11" t="s">
        <v>655</v>
      </c>
      <c r="C95" s="691">
        <f>NPV(0.15,B93:L93)</f>
        <v>-15046.128128252203</v>
      </c>
    </row>
    <row r="96" spans="1:23">
      <c r="A96" s="43"/>
    </row>
    <row r="97" spans="1:3">
      <c r="A97" s="62" t="s">
        <v>672</v>
      </c>
      <c r="B97" s="446" t="s">
        <v>1</v>
      </c>
      <c r="C97" s="688" t="e">
        <f>XIRR(B85:I85,B8:I8)</f>
        <v>#NUM!</v>
      </c>
    </row>
    <row r="98" spans="1:3">
      <c r="A98" s="13"/>
      <c r="B98" s="11" t="s">
        <v>655</v>
      </c>
      <c r="C98" s="691">
        <f>NPV(0.15,B85:I85)</f>
        <v>0</v>
      </c>
    </row>
    <row r="99" spans="1:3">
      <c r="A99" s="43" t="s">
        <v>670</v>
      </c>
      <c r="B99" s="446" t="s">
        <v>1</v>
      </c>
      <c r="C99" s="702" t="e">
        <f>XIRR(B86:W86,B8:W8)</f>
        <v>#NUM!</v>
      </c>
    </row>
    <row r="100" spans="1:3">
      <c r="A100" s="13"/>
      <c r="B100" s="11" t="s">
        <v>655</v>
      </c>
      <c r="C100" s="691">
        <f>NPV(0.15,B86:V86)</f>
        <v>0</v>
      </c>
    </row>
  </sheetData>
  <pageMargins left="0.75" right="0.75" top="1" bottom="1" header="0.5" footer="0.5"/>
  <pageSetup scale="41" orientation="landscape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zoomScale="75" zoomScaleNormal="75" workbookViewId="0">
      <selection activeCell="G10" sqref="G10"/>
    </sheetView>
  </sheetViews>
  <sheetFormatPr defaultRowHeight="12.75"/>
  <cols>
    <col min="2" max="2" width="34.42578125" customWidth="1"/>
    <col min="3" max="3" width="18.28515625" customWidth="1"/>
    <col min="4" max="4" width="20.5703125" customWidth="1"/>
    <col min="5" max="5" width="12.140625" customWidth="1"/>
    <col min="6" max="6" width="11.28515625" customWidth="1"/>
    <col min="7" max="7" width="12.42578125" customWidth="1"/>
    <col min="8" max="8" width="12.5703125" customWidth="1"/>
    <col min="9" max="9" width="12.140625" customWidth="1"/>
  </cols>
  <sheetData>
    <row r="2" spans="2:11" ht="15" customHeight="1"/>
    <row r="3" spans="2:11" ht="18" customHeight="1">
      <c r="B3" s="689" t="s">
        <v>682</v>
      </c>
    </row>
    <row r="4" spans="2:11" ht="18" customHeight="1">
      <c r="B4" s="737">
        <f ca="1">NOW()</f>
        <v>36637.487621296299</v>
      </c>
    </row>
    <row r="5" spans="2:11">
      <c r="C5" s="692" t="s">
        <v>653</v>
      </c>
      <c r="D5" s="692" t="s">
        <v>660</v>
      </c>
      <c r="E5" s="692" t="s">
        <v>1</v>
      </c>
      <c r="F5" s="531"/>
      <c r="G5" s="531"/>
      <c r="H5" s="534"/>
      <c r="I5" s="534"/>
      <c r="J5" s="534"/>
      <c r="K5" s="534"/>
    </row>
    <row r="7" spans="2:11">
      <c r="B7" s="531" t="s">
        <v>674</v>
      </c>
      <c r="C7" s="685">
        <v>4.5</v>
      </c>
      <c r="D7" s="710">
        <v>5920.9085652267322</v>
      </c>
      <c r="E7" s="734">
        <v>0.50935357148700811</v>
      </c>
      <c r="F7" s="686"/>
      <c r="G7" s="686"/>
    </row>
    <row r="8" spans="2:11">
      <c r="B8" s="531"/>
      <c r="C8" s="685">
        <v>5</v>
      </c>
      <c r="D8" s="710">
        <v>7738.317058649568</v>
      </c>
      <c r="E8" s="734">
        <v>0.60756071918156973</v>
      </c>
      <c r="F8" s="686"/>
      <c r="G8" s="686"/>
    </row>
    <row r="9" spans="2:11">
      <c r="C9" s="685">
        <v>5.5</v>
      </c>
      <c r="D9" s="710">
        <v>9555.7255520724048</v>
      </c>
      <c r="E9" s="734">
        <v>0.7026310961257809</v>
      </c>
      <c r="F9" s="686"/>
      <c r="G9" s="686"/>
    </row>
    <row r="10" spans="2:11">
      <c r="C10" s="685">
        <v>6</v>
      </c>
      <c r="D10" s="710">
        <v>11373.134045495239</v>
      </c>
      <c r="E10" s="734">
        <v>0.79527823256698249</v>
      </c>
      <c r="F10" s="686"/>
      <c r="G10" s="686"/>
    </row>
    <row r="11" spans="2:11">
      <c r="B11" s="687"/>
      <c r="C11" s="685">
        <v>6.5</v>
      </c>
      <c r="D11" s="710">
        <v>13190.542538918075</v>
      </c>
      <c r="E11" s="734">
        <v>0.8860089720247023</v>
      </c>
      <c r="F11" s="686"/>
      <c r="G11" s="686"/>
    </row>
    <row r="12" spans="2:11">
      <c r="B12" s="687"/>
      <c r="C12" s="685"/>
      <c r="D12" s="717"/>
      <c r="E12" s="735"/>
    </row>
    <row r="13" spans="2:11">
      <c r="B13" s="531" t="s">
        <v>710</v>
      </c>
      <c r="C13" s="685">
        <v>4.5</v>
      </c>
      <c r="D13" s="710">
        <v>6754.9594566981195</v>
      </c>
      <c r="E13" s="734">
        <v>0.41522758603096011</v>
      </c>
    </row>
    <row r="14" spans="2:11">
      <c r="B14" s="531" t="s">
        <v>705</v>
      </c>
      <c r="C14" s="685">
        <v>5</v>
      </c>
      <c r="D14" s="710">
        <v>9596.2895025903599</v>
      </c>
      <c r="E14" s="734">
        <v>0.49286507964134219</v>
      </c>
    </row>
    <row r="15" spans="2:11">
      <c r="B15" s="687"/>
      <c r="C15" s="685">
        <v>5.5</v>
      </c>
      <c r="D15" s="710">
        <v>12114.460062162034</v>
      </c>
      <c r="E15" s="734">
        <v>0.56040144562721239</v>
      </c>
    </row>
    <row r="16" spans="2:11">
      <c r="B16" s="687"/>
      <c r="C16" s="685">
        <v>6</v>
      </c>
      <c r="D16" s="710">
        <v>14436.028784828113</v>
      </c>
      <c r="E16" s="734">
        <v>0.62100772261619575</v>
      </c>
    </row>
    <row r="17" spans="2:7">
      <c r="B17" s="687"/>
      <c r="C17" s="685">
        <v>6.5</v>
      </c>
      <c r="D17" s="710">
        <v>16643.34564200493</v>
      </c>
      <c r="E17" s="734">
        <v>0.67614148259162909</v>
      </c>
    </row>
    <row r="18" spans="2:7">
      <c r="B18" s="687"/>
      <c r="C18" s="685"/>
    </row>
    <row r="19" spans="2:7">
      <c r="B19" s="687"/>
      <c r="C19" s="685"/>
    </row>
    <row r="20" spans="2:7">
      <c r="B20" s="531" t="s">
        <v>707</v>
      </c>
      <c r="C20" s="685">
        <v>4.5</v>
      </c>
      <c r="D20" s="710">
        <v>-17330.527017196553</v>
      </c>
      <c r="E20" s="736" t="s">
        <v>704</v>
      </c>
      <c r="F20" s="686"/>
      <c r="G20" s="686"/>
    </row>
    <row r="21" spans="2:7">
      <c r="B21" s="531"/>
      <c r="C21" s="685">
        <v>5</v>
      </c>
      <c r="D21" s="710">
        <v>-15033.431033376197</v>
      </c>
      <c r="E21" s="734">
        <v>-0.31256057508289825</v>
      </c>
      <c r="F21" s="686"/>
      <c r="G21" s="686"/>
    </row>
    <row r="22" spans="2:7">
      <c r="B22" s="534"/>
      <c r="C22" s="685">
        <v>5.5</v>
      </c>
      <c r="D22" s="710">
        <v>-12736.335049555841</v>
      </c>
      <c r="E22" s="734">
        <v>-0.17729751206934449</v>
      </c>
      <c r="F22" s="686"/>
      <c r="G22" s="686"/>
    </row>
    <row r="23" spans="2:7">
      <c r="C23" s="685">
        <v>6</v>
      </c>
      <c r="D23" s="710">
        <v>-10449.617108630026</v>
      </c>
      <c r="E23" s="734">
        <v>-9.575383365154265E-2</v>
      </c>
      <c r="F23" s="686"/>
      <c r="G23" s="686"/>
    </row>
    <row r="24" spans="2:7">
      <c r="C24" s="685">
        <v>6.5</v>
      </c>
      <c r="D24" s="710">
        <v>-8906.356120124372</v>
      </c>
      <c r="E24" s="734">
        <v>-6.7386624217033397E-2</v>
      </c>
    </row>
    <row r="25" spans="2:7">
      <c r="D25" s="710"/>
      <c r="E25" s="735"/>
    </row>
    <row r="26" spans="2:7">
      <c r="B26" s="531" t="s">
        <v>711</v>
      </c>
      <c r="C26" s="685">
        <v>4.5</v>
      </c>
      <c r="D26" s="710">
        <v>-13521.366385458292</v>
      </c>
      <c r="E26" s="734">
        <v>2.4662908911705021E-2</v>
      </c>
    </row>
    <row r="27" spans="2:7">
      <c r="B27" s="531" t="s">
        <v>706</v>
      </c>
      <c r="C27" s="685">
        <v>5</v>
      </c>
      <c r="D27" s="710">
        <v>-10682.154232316134</v>
      </c>
      <c r="E27" s="734">
        <v>4.3767842650413516E-2</v>
      </c>
    </row>
    <row r="28" spans="2:7">
      <c r="C28" s="685">
        <v>5.5</v>
      </c>
      <c r="D28" s="710">
        <v>-8166.1015654945486</v>
      </c>
      <c r="E28" s="734">
        <v>6.4381232857704182E-2</v>
      </c>
    </row>
    <row r="29" spans="2:7">
      <c r="B29" s="534"/>
      <c r="C29" s="685">
        <v>6</v>
      </c>
      <c r="D29" s="710">
        <v>-5846.6507355785443</v>
      </c>
      <c r="E29" s="734">
        <v>8.5016396641731273E-2</v>
      </c>
    </row>
    <row r="30" spans="2:7">
      <c r="C30" s="685">
        <v>6.5</v>
      </c>
      <c r="D30" s="710">
        <v>-3641.451771151806</v>
      </c>
      <c r="E30" s="734">
        <v>0.10518903136253357</v>
      </c>
    </row>
    <row r="32" spans="2:7">
      <c r="B32" s="698" t="s">
        <v>661</v>
      </c>
    </row>
    <row r="33" spans="2:2">
      <c r="B33" s="699" t="s">
        <v>673</v>
      </c>
    </row>
    <row r="34" spans="2:2">
      <c r="B34" s="705" t="s">
        <v>676</v>
      </c>
    </row>
    <row r="35" spans="2:2">
      <c r="B35" s="690"/>
    </row>
    <row r="36" spans="2:2">
      <c r="B36" s="698" t="s">
        <v>662</v>
      </c>
    </row>
    <row r="37" spans="2:2">
      <c r="B37" t="s">
        <v>675</v>
      </c>
    </row>
  </sheetData>
  <pageMargins left="0.75" right="0.75" top="1" bottom="1" header="0.5" footer="0.5"/>
  <pageSetup scale="70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39"/>
  <sheetViews>
    <sheetView topLeftCell="B1" zoomScale="75" zoomScaleNormal="75" workbookViewId="0">
      <selection activeCell="D32" sqref="D32"/>
    </sheetView>
  </sheetViews>
  <sheetFormatPr defaultRowHeight="12.75"/>
  <cols>
    <col min="1" max="1" width="4" customWidth="1"/>
    <col min="2" max="2" width="29.140625" customWidth="1"/>
    <col min="3" max="3" width="1.28515625" customWidth="1"/>
    <col min="4" max="4" width="12.28515625" bestFit="1" customWidth="1"/>
    <col min="5" max="5" width="12.5703125" customWidth="1"/>
    <col min="6" max="6" width="12.28515625" bestFit="1" customWidth="1"/>
    <col min="7" max="7" width="14" customWidth="1"/>
    <col min="8" max="8" width="13.42578125" customWidth="1"/>
    <col min="9" max="9" width="13.85546875" customWidth="1"/>
    <col min="10" max="10" width="12.140625" customWidth="1"/>
    <col min="11" max="11" width="11" customWidth="1"/>
    <col min="12" max="13" width="10.85546875" customWidth="1"/>
    <col min="14" max="14" width="11.7109375" customWidth="1"/>
    <col min="15" max="15" width="12" customWidth="1"/>
    <col min="16" max="16" width="11.42578125" customWidth="1"/>
    <col min="17" max="17" width="11.5703125" customWidth="1"/>
    <col min="18" max="18" width="12.140625" customWidth="1"/>
  </cols>
  <sheetData>
    <row r="2" spans="2:9" ht="15.75">
      <c r="B2" s="689" t="s">
        <v>684</v>
      </c>
    </row>
    <row r="3" spans="2:9" ht="16.5" thickBot="1">
      <c r="B3" s="689" t="s">
        <v>685</v>
      </c>
    </row>
    <row r="4" spans="2:9">
      <c r="D4" s="643"/>
      <c r="E4" s="410"/>
      <c r="F4" s="671" t="s">
        <v>621</v>
      </c>
      <c r="G4" s="671" t="s">
        <v>703</v>
      </c>
      <c r="H4" s="671" t="s">
        <v>702</v>
      </c>
      <c r="I4" s="672" t="s">
        <v>708</v>
      </c>
    </row>
    <row r="5" spans="2:9">
      <c r="D5" s="520"/>
      <c r="E5" s="650" t="s">
        <v>622</v>
      </c>
      <c r="F5" s="645">
        <f>'Debt Structs'!E3</f>
        <v>55000</v>
      </c>
      <c r="G5" s="645">
        <f>'Debt Structs'!D3</f>
        <v>55000</v>
      </c>
      <c r="H5" s="645">
        <f>'Debt Structs'!E3</f>
        <v>55000</v>
      </c>
      <c r="I5" s="673">
        <f>H5</f>
        <v>55000</v>
      </c>
    </row>
    <row r="6" spans="2:9">
      <c r="D6" s="520"/>
      <c r="E6" s="650" t="s">
        <v>623</v>
      </c>
      <c r="F6" s="713">
        <f>'Debt Structs'!E4</f>
        <v>5</v>
      </c>
      <c r="G6" s="713">
        <f>'Debt Structs'!D4</f>
        <v>10</v>
      </c>
      <c r="H6" s="713">
        <v>13</v>
      </c>
      <c r="I6" s="715">
        <v>15</v>
      </c>
    </row>
    <row r="7" spans="2:9">
      <c r="D7" s="520"/>
      <c r="E7" s="650" t="s">
        <v>624</v>
      </c>
      <c r="F7" s="711">
        <f>'Debt Structs'!E5</f>
        <v>0.08</v>
      </c>
      <c r="G7" s="711">
        <v>9.5000000000000001E-2</v>
      </c>
      <c r="H7" s="711">
        <v>8.7499999999999994E-2</v>
      </c>
      <c r="I7" s="712">
        <v>8.7499999999999994E-2</v>
      </c>
    </row>
    <row r="8" spans="2:9">
      <c r="D8" s="520"/>
      <c r="E8" s="650" t="s">
        <v>625</v>
      </c>
      <c r="F8" s="713">
        <f>'Debt Structs'!E6</f>
        <v>0</v>
      </c>
      <c r="G8" s="713">
        <f>'Debt Structs'!D6</f>
        <v>10</v>
      </c>
      <c r="H8" s="713">
        <v>13</v>
      </c>
      <c r="I8" s="715">
        <v>15</v>
      </c>
    </row>
    <row r="9" spans="2:9">
      <c r="D9" s="520"/>
      <c r="E9" s="650" t="s">
        <v>626</v>
      </c>
      <c r="F9" s="714">
        <f>'Debt Structs'!E7</f>
        <v>0.1</v>
      </c>
      <c r="G9" s="714">
        <f>'Debt Structs'!D7</f>
        <v>0.3</v>
      </c>
      <c r="H9" s="714">
        <v>0.3</v>
      </c>
      <c r="I9" s="716">
        <v>0.3</v>
      </c>
    </row>
    <row r="10" spans="2:9">
      <c r="D10" s="520"/>
      <c r="E10" s="650" t="s">
        <v>627</v>
      </c>
      <c r="F10" s="645">
        <f>+F5*F9</f>
        <v>5500</v>
      </c>
      <c r="G10" s="645">
        <f>+G5*G9</f>
        <v>16500</v>
      </c>
      <c r="H10" s="645">
        <f>+H5*H9</f>
        <v>16500</v>
      </c>
      <c r="I10" s="673">
        <f>+I5*I9</f>
        <v>16500</v>
      </c>
    </row>
    <row r="11" spans="2:9" ht="13.5" thickBot="1">
      <c r="D11" s="657"/>
      <c r="E11" s="682" t="s">
        <v>628</v>
      </c>
      <c r="F11" s="724">
        <v>30000</v>
      </c>
      <c r="G11" s="724">
        <f>'Debt Structs'!D9</f>
        <v>0</v>
      </c>
      <c r="H11" s="724">
        <f>'Debt Structs'!E9</f>
        <v>0</v>
      </c>
      <c r="I11" s="725">
        <v>0</v>
      </c>
    </row>
    <row r="14" spans="2:9">
      <c r="B14" s="531" t="s">
        <v>690</v>
      </c>
      <c r="D14" s="687">
        <v>2001</v>
      </c>
      <c r="E14" s="687">
        <v>2002</v>
      </c>
      <c r="F14" s="687">
        <v>2003</v>
      </c>
      <c r="G14" s="687">
        <v>2004</v>
      </c>
      <c r="H14" s="687">
        <v>2005</v>
      </c>
    </row>
    <row r="15" spans="2:9">
      <c r="B15" t="s">
        <v>686</v>
      </c>
      <c r="D15" s="710">
        <f>F5-F10</f>
        <v>49500</v>
      </c>
      <c r="E15" s="710">
        <f>D15</f>
        <v>49500</v>
      </c>
      <c r="F15" s="710">
        <f>E15</f>
        <v>49500</v>
      </c>
      <c r="G15" s="710">
        <f>F15</f>
        <v>49500</v>
      </c>
      <c r="H15" s="710">
        <f>G15</f>
        <v>49500</v>
      </c>
    </row>
    <row r="16" spans="2:9">
      <c r="B16" t="s">
        <v>687</v>
      </c>
      <c r="D16" s="710">
        <f>D17+D18</f>
        <v>3960</v>
      </c>
      <c r="E16" s="710">
        <f>E17+E18</f>
        <v>3960</v>
      </c>
      <c r="F16" s="710">
        <f>F17+F18</f>
        <v>3960</v>
      </c>
      <c r="G16" s="710">
        <f>G17+G18</f>
        <v>3960</v>
      </c>
      <c r="H16" s="710">
        <f>H17+H18</f>
        <v>3960</v>
      </c>
    </row>
    <row r="17" spans="2:23">
      <c r="B17" t="s">
        <v>688</v>
      </c>
      <c r="D17" s="710">
        <f>$D$15*$F$7</f>
        <v>3960</v>
      </c>
      <c r="E17" s="710">
        <f>$D$15*$F$7</f>
        <v>3960</v>
      </c>
      <c r="F17" s="710">
        <f>$D$15*$F$7</f>
        <v>3960</v>
      </c>
      <c r="G17" s="710">
        <f>$D$15*$F$7</f>
        <v>3960</v>
      </c>
      <c r="H17" s="710">
        <f>$D$15*$F$7</f>
        <v>3960</v>
      </c>
    </row>
    <row r="18" spans="2:23">
      <c r="B18" t="s">
        <v>689</v>
      </c>
      <c r="D18" s="685">
        <v>0</v>
      </c>
      <c r="E18" s="685">
        <v>0</v>
      </c>
      <c r="F18" s="685">
        <v>0</v>
      </c>
      <c r="G18" s="685">
        <v>0</v>
      </c>
      <c r="H18" s="685">
        <v>0</v>
      </c>
    </row>
    <row r="21" spans="2:23">
      <c r="B21" s="531" t="s">
        <v>692</v>
      </c>
      <c r="D21" s="687">
        <v>2001</v>
      </c>
      <c r="E21" s="687">
        <v>2002</v>
      </c>
      <c r="F21" s="687">
        <v>2003</v>
      </c>
      <c r="G21" s="687">
        <v>2004</v>
      </c>
      <c r="H21" s="687">
        <v>2005</v>
      </c>
      <c r="I21" s="687">
        <v>2006</v>
      </c>
      <c r="J21" s="687">
        <v>2007</v>
      </c>
    </row>
    <row r="22" spans="2:23">
      <c r="B22" t="s">
        <v>686</v>
      </c>
      <c r="D22" s="641">
        <f>G5-G10</f>
        <v>38500</v>
      </c>
      <c r="E22" s="641">
        <f t="shared" ref="E22:J22" si="0">D22-D25</f>
        <v>35713.466144996462</v>
      </c>
      <c r="F22" s="641">
        <f t="shared" si="0"/>
        <v>32731.874920142676</v>
      </c>
      <c r="G22" s="641">
        <f t="shared" si="0"/>
        <v>29541.572309549123</v>
      </c>
      <c r="H22" s="641">
        <f t="shared" si="0"/>
        <v>26127.948516214023</v>
      </c>
      <c r="I22" s="641">
        <f t="shared" si="0"/>
        <v>22475.371057345463</v>
      </c>
      <c r="J22" s="641">
        <f t="shared" si="0"/>
        <v>18567.113176356106</v>
      </c>
    </row>
    <row r="23" spans="2:23">
      <c r="B23" t="s">
        <v>687</v>
      </c>
      <c r="D23" s="641">
        <f>D24+D25</f>
        <v>6444.0338550035394</v>
      </c>
      <c r="E23" s="641">
        <f t="shared" ref="E23:J23" si="1">E24+E25</f>
        <v>6374.3705086284517</v>
      </c>
      <c r="F23" s="641">
        <f t="shared" si="1"/>
        <v>6299.8307280071076</v>
      </c>
      <c r="G23" s="641">
        <f t="shared" si="1"/>
        <v>6220.0731627422683</v>
      </c>
      <c r="H23" s="641">
        <f t="shared" si="1"/>
        <v>6134.7325679088908</v>
      </c>
      <c r="I23" s="641">
        <f t="shared" si="1"/>
        <v>6043.4181314371763</v>
      </c>
      <c r="J23" s="641">
        <f t="shared" si="1"/>
        <v>5945.711684412443</v>
      </c>
    </row>
    <row r="24" spans="2:23">
      <c r="B24" t="s">
        <v>688</v>
      </c>
      <c r="D24" s="641">
        <f t="shared" ref="D24:J24" si="2">D22*$G$7</f>
        <v>3657.5</v>
      </c>
      <c r="E24" s="641">
        <f t="shared" si="2"/>
        <v>3392.7792837746638</v>
      </c>
      <c r="F24" s="641">
        <f t="shared" si="2"/>
        <v>3109.5281174135544</v>
      </c>
      <c r="G24" s="641">
        <f t="shared" si="2"/>
        <v>2806.4493694071666</v>
      </c>
      <c r="H24" s="641">
        <f t="shared" si="2"/>
        <v>2482.1551090403323</v>
      </c>
      <c r="I24" s="641">
        <f t="shared" si="2"/>
        <v>2135.1602504478192</v>
      </c>
      <c r="J24" s="641">
        <f t="shared" si="2"/>
        <v>1763.8757517538302</v>
      </c>
    </row>
    <row r="25" spans="2:23">
      <c r="B25" t="s">
        <v>689</v>
      </c>
      <c r="D25" s="641">
        <f>'Debt Structs'!J16</f>
        <v>2786.5338550035399</v>
      </c>
      <c r="E25" s="641">
        <f>'Debt Structs'!J17</f>
        <v>2981.5912248537879</v>
      </c>
      <c r="F25" s="641">
        <f>'Debt Structs'!J18</f>
        <v>3190.3026105935528</v>
      </c>
      <c r="G25" s="641">
        <f>'Debt Structs'!J19</f>
        <v>3413.6237933351017</v>
      </c>
      <c r="H25" s="641">
        <f>'Debt Structs'!J20</f>
        <v>3652.5774588685586</v>
      </c>
      <c r="I25" s="641">
        <f>'Debt Structs'!J21</f>
        <v>3908.2578809893575</v>
      </c>
      <c r="J25" s="641">
        <f>'Debt Structs'!J22</f>
        <v>4181.8359326586124</v>
      </c>
    </row>
    <row r="28" spans="2:23">
      <c r="B28" s="531" t="s">
        <v>693</v>
      </c>
      <c r="D28" s="718">
        <v>2008</v>
      </c>
      <c r="E28" s="687">
        <f>D28+1</f>
        <v>2009</v>
      </c>
      <c r="F28" s="687">
        <f>E28+1</f>
        <v>2010</v>
      </c>
      <c r="G28" s="687">
        <f t="shared" ref="G28:P28" si="3">F28+1</f>
        <v>2011</v>
      </c>
      <c r="H28" s="687">
        <f t="shared" si="3"/>
        <v>2012</v>
      </c>
      <c r="I28" s="687">
        <f t="shared" si="3"/>
        <v>2013</v>
      </c>
      <c r="J28" s="687">
        <f t="shared" si="3"/>
        <v>2014</v>
      </c>
      <c r="K28" s="687">
        <f t="shared" si="3"/>
        <v>2015</v>
      </c>
      <c r="L28" s="687">
        <f t="shared" si="3"/>
        <v>2016</v>
      </c>
      <c r="M28" s="687">
        <f t="shared" si="3"/>
        <v>2017</v>
      </c>
      <c r="N28" s="687">
        <f t="shared" si="3"/>
        <v>2018</v>
      </c>
      <c r="O28" s="687">
        <f t="shared" si="3"/>
        <v>2019</v>
      </c>
      <c r="P28" s="687">
        <f t="shared" si="3"/>
        <v>2020</v>
      </c>
      <c r="Q28" s="687"/>
      <c r="R28" s="687"/>
      <c r="S28" s="687"/>
      <c r="T28" s="687"/>
      <c r="U28" s="687"/>
      <c r="V28" s="687"/>
      <c r="W28" s="687"/>
    </row>
    <row r="29" spans="2:23">
      <c r="B29" t="s">
        <v>686</v>
      </c>
      <c r="D29" s="641">
        <f>G5-G10</f>
        <v>38500</v>
      </c>
      <c r="E29" s="641">
        <f>'Debt Structs'!H75</f>
        <v>36877.145787217669</v>
      </c>
      <c r="F29" s="641">
        <f>'Debt Structs'!H76</f>
        <v>35100.120424221015</v>
      </c>
      <c r="G29" s="641">
        <f>'Debt Structs'!H77</f>
        <v>33154.277651739678</v>
      </c>
      <c r="H29" s="641">
        <f>'Debt Structs'!H78</f>
        <v>31023.579815872614</v>
      </c>
      <c r="I29" s="641">
        <f>'Debt Structs'!H79</f>
        <v>28690.465685598181</v>
      </c>
      <c r="J29" s="641">
        <f>'Debt Structs'!H80</f>
        <v>26135.705712947674</v>
      </c>
      <c r="K29" s="641">
        <f>'Debt Structs'!H81</f>
        <v>23338.243542895372</v>
      </c>
      <c r="L29" s="641">
        <f>'Debt Structs'!H82</f>
        <v>20275.0224666881</v>
      </c>
      <c r="M29" s="641">
        <f>'Debt Structs'!H83</f>
        <v>16920.795388241138</v>
      </c>
      <c r="N29" s="641">
        <f>'Debt Structs'!H84</f>
        <v>13247.916737341715</v>
      </c>
      <c r="O29" s="641">
        <f>'Debt Structs'!H85</f>
        <v>9226.1146146068459</v>
      </c>
      <c r="P29" s="641">
        <f>'Debt Structs'!H86</f>
        <v>4822.2412902121641</v>
      </c>
    </row>
    <row r="30" spans="2:23">
      <c r="B30" t="s">
        <v>687</v>
      </c>
      <c r="D30" s="641">
        <f>'Debt Structs'!I74</f>
        <v>5280.3542127823321</v>
      </c>
      <c r="E30" s="641">
        <f>D30</f>
        <v>5280.3542127823321</v>
      </c>
      <c r="F30" s="641">
        <f t="shared" ref="F30:P30" si="4">E30</f>
        <v>5280.3542127823321</v>
      </c>
      <c r="G30" s="641">
        <f t="shared" si="4"/>
        <v>5280.3542127823321</v>
      </c>
      <c r="H30" s="641">
        <f t="shared" si="4"/>
        <v>5280.3542127823321</v>
      </c>
      <c r="I30" s="641">
        <f t="shared" si="4"/>
        <v>5280.3542127823321</v>
      </c>
      <c r="J30" s="641">
        <f t="shared" si="4"/>
        <v>5280.3542127823321</v>
      </c>
      <c r="K30" s="641">
        <f t="shared" si="4"/>
        <v>5280.3542127823321</v>
      </c>
      <c r="L30" s="641">
        <f t="shared" si="4"/>
        <v>5280.3542127823321</v>
      </c>
      <c r="M30" s="641">
        <f t="shared" si="4"/>
        <v>5280.3542127823321</v>
      </c>
      <c r="N30" s="641">
        <f t="shared" si="4"/>
        <v>5280.3542127823321</v>
      </c>
      <c r="O30" s="641">
        <f t="shared" si="4"/>
        <v>5280.3542127823321</v>
      </c>
      <c r="P30" s="641">
        <f t="shared" si="4"/>
        <v>5280.3542127823321</v>
      </c>
    </row>
    <row r="31" spans="2:23">
      <c r="B31" t="s">
        <v>688</v>
      </c>
      <c r="D31" s="641">
        <f>'Debt Structs'!J74</f>
        <v>3657.5</v>
      </c>
      <c r="E31" s="641">
        <f>'Debt Structs'!J75</f>
        <v>3503.3288497856784</v>
      </c>
      <c r="F31" s="641">
        <f>'Debt Structs'!J76</f>
        <v>3334.5114403009966</v>
      </c>
      <c r="G31" s="641">
        <f>'Debt Structs'!J77</f>
        <v>3149.6563769152694</v>
      </c>
      <c r="H31" s="641">
        <f>'Debt Structs'!J78</f>
        <v>2947.2400825078985</v>
      </c>
      <c r="I31" s="641">
        <f>'Debt Structs'!J79</f>
        <v>2725.5942401318271</v>
      </c>
      <c r="J31" s="641">
        <f>'Debt Structs'!J80</f>
        <v>2482.8920427300291</v>
      </c>
      <c r="K31" s="641">
        <f>'Debt Structs'!J81</f>
        <v>2217.1331365750602</v>
      </c>
      <c r="L31" s="641">
        <f>'Debt Structs'!J82</f>
        <v>1926.1271343353696</v>
      </c>
      <c r="M31" s="641">
        <f>'Debt Structs'!J83</f>
        <v>1607.4755618829081</v>
      </c>
      <c r="N31" s="641">
        <f>'Debt Structs'!J84</f>
        <v>1258.552090047463</v>
      </c>
      <c r="O31" s="641">
        <f>'Debt Structs'!J85</f>
        <v>876.48088838765034</v>
      </c>
      <c r="P31" s="641">
        <f>'Debt Structs'!J86</f>
        <v>458.1129225701556</v>
      </c>
    </row>
    <row r="32" spans="2:23">
      <c r="B32" t="s">
        <v>689</v>
      </c>
      <c r="D32" s="641">
        <f>'Debt Structs'!K74</f>
        <v>1622.8542127823321</v>
      </c>
      <c r="E32" s="641">
        <f>'Debt Structs'!K75</f>
        <v>1777.0253629966537</v>
      </c>
      <c r="F32" s="641">
        <f>'Debt Structs'!K76</f>
        <v>1945.8427724813355</v>
      </c>
      <c r="G32" s="641">
        <f>'Debt Structs'!K77</f>
        <v>2130.6978358670626</v>
      </c>
      <c r="H32" s="641">
        <f>'Debt Structs'!K78</f>
        <v>2333.1141302744336</v>
      </c>
      <c r="I32" s="641">
        <f>'Debt Structs'!K79</f>
        <v>2554.759972650505</v>
      </c>
      <c r="J32" s="641">
        <f>'Debt Structs'!K80</f>
        <v>2797.462170052303</v>
      </c>
      <c r="K32" s="641">
        <f>'Debt Structs'!K81</f>
        <v>3063.2210762072718</v>
      </c>
      <c r="L32" s="641">
        <f>'Debt Structs'!K82</f>
        <v>3354.2270784469624</v>
      </c>
      <c r="M32" s="641">
        <f>'Debt Structs'!K83</f>
        <v>3672.878650899424</v>
      </c>
      <c r="N32" s="641">
        <f>'Debt Structs'!K84</f>
        <v>4021.802122734869</v>
      </c>
      <c r="O32" s="641">
        <f>'Debt Structs'!K85</f>
        <v>4403.8733243946817</v>
      </c>
      <c r="P32" s="641">
        <f>'Debt Structs'!K86</f>
        <v>4822.2412902121769</v>
      </c>
    </row>
    <row r="35" spans="2:18">
      <c r="B35" s="531" t="s">
        <v>694</v>
      </c>
      <c r="D35" s="718">
        <v>2006</v>
      </c>
      <c r="E35" s="687">
        <f>D35+1</f>
        <v>2007</v>
      </c>
      <c r="F35" s="687">
        <f t="shared" ref="F35:R35" si="5">E35+1</f>
        <v>2008</v>
      </c>
      <c r="G35" s="687">
        <f t="shared" si="5"/>
        <v>2009</v>
      </c>
      <c r="H35" s="687">
        <f t="shared" si="5"/>
        <v>2010</v>
      </c>
      <c r="I35" s="687">
        <f t="shared" si="5"/>
        <v>2011</v>
      </c>
      <c r="J35" s="687">
        <f t="shared" si="5"/>
        <v>2012</v>
      </c>
      <c r="K35" s="687">
        <f t="shared" si="5"/>
        <v>2013</v>
      </c>
      <c r="L35" s="687">
        <f t="shared" si="5"/>
        <v>2014</v>
      </c>
      <c r="M35" s="687">
        <f t="shared" si="5"/>
        <v>2015</v>
      </c>
      <c r="N35" s="687">
        <f t="shared" si="5"/>
        <v>2016</v>
      </c>
      <c r="O35" s="687">
        <f t="shared" si="5"/>
        <v>2017</v>
      </c>
      <c r="P35" s="687">
        <f t="shared" si="5"/>
        <v>2018</v>
      </c>
      <c r="Q35" s="687">
        <f t="shared" si="5"/>
        <v>2019</v>
      </c>
      <c r="R35" s="687">
        <f t="shared" si="5"/>
        <v>2020</v>
      </c>
    </row>
    <row r="36" spans="2:18">
      <c r="B36" t="s">
        <v>686</v>
      </c>
      <c r="D36" s="717">
        <f>D15-F11</f>
        <v>19500</v>
      </c>
      <c r="E36" s="717">
        <f>D36-D39</f>
        <v>18210.405138848168</v>
      </c>
      <c r="F36" s="717">
        <f t="shared" ref="F36:R36" si="6">E36-E39</f>
        <v>16807.97072734555</v>
      </c>
      <c r="G36" s="717">
        <f t="shared" si="6"/>
        <v>15282.823304836453</v>
      </c>
      <c r="H36" s="717">
        <f t="shared" si="6"/>
        <v>13624.22548285781</v>
      </c>
      <c r="I36" s="717">
        <f t="shared" si="6"/>
        <v>11820.500351456034</v>
      </c>
      <c r="J36" s="717">
        <f t="shared" si="6"/>
        <v>9858.9492710566046</v>
      </c>
      <c r="K36" s="717">
        <f t="shared" si="6"/>
        <v>7725.7624711222243</v>
      </c>
      <c r="L36" s="717">
        <f t="shared" si="6"/>
        <v>5405.9218261935857</v>
      </c>
      <c r="M36" s="717">
        <f t="shared" si="6"/>
        <v>2883.0951248336914</v>
      </c>
      <c r="N36" s="717">
        <f t="shared" si="6"/>
        <v>139.52108710480616</v>
      </c>
      <c r="O36" s="717">
        <f t="shared" si="6"/>
        <v>-2844.1156789253569</v>
      </c>
      <c r="P36" s="717">
        <f t="shared" si="6"/>
        <v>-6088.8206619831581</v>
      </c>
      <c r="Q36" s="717">
        <f t="shared" si="6"/>
        <v>-9617.4373310585179</v>
      </c>
      <c r="R36" s="717">
        <f t="shared" si="6"/>
        <v>-13454.807958677971</v>
      </c>
    </row>
    <row r="37" spans="2:18">
      <c r="B37" t="s">
        <v>687</v>
      </c>
      <c r="D37" s="641">
        <f>'Debt Structs'!C74</f>
        <v>4538.29035632056</v>
      </c>
      <c r="E37" s="641">
        <f>D37</f>
        <v>4538.29035632056</v>
      </c>
      <c r="F37" s="641">
        <f t="shared" ref="F37:R37" si="7">E37</f>
        <v>4538.29035632056</v>
      </c>
      <c r="G37" s="641">
        <f t="shared" si="7"/>
        <v>4538.29035632056</v>
      </c>
      <c r="H37" s="641">
        <f t="shared" si="7"/>
        <v>4538.29035632056</v>
      </c>
      <c r="I37" s="641">
        <f t="shared" si="7"/>
        <v>4538.29035632056</v>
      </c>
      <c r="J37" s="641">
        <f t="shared" si="7"/>
        <v>4538.29035632056</v>
      </c>
      <c r="K37" s="641">
        <f t="shared" si="7"/>
        <v>4538.29035632056</v>
      </c>
      <c r="L37" s="641">
        <f t="shared" si="7"/>
        <v>4538.29035632056</v>
      </c>
      <c r="M37" s="641">
        <f t="shared" si="7"/>
        <v>4538.29035632056</v>
      </c>
      <c r="N37" s="641">
        <f t="shared" si="7"/>
        <v>4538.29035632056</v>
      </c>
      <c r="O37" s="641">
        <f t="shared" si="7"/>
        <v>4538.29035632056</v>
      </c>
      <c r="P37" s="641">
        <f t="shared" si="7"/>
        <v>4538.29035632056</v>
      </c>
      <c r="Q37" s="641">
        <f t="shared" si="7"/>
        <v>4538.29035632056</v>
      </c>
      <c r="R37" s="641">
        <f t="shared" si="7"/>
        <v>4538.29035632056</v>
      </c>
    </row>
    <row r="38" spans="2:18">
      <c r="B38" t="s">
        <v>688</v>
      </c>
      <c r="D38" s="641">
        <f>'Debt Structs'!D74</f>
        <v>3248.6954951687271</v>
      </c>
      <c r="E38" s="641">
        <f>'Debt Structs'!D75</f>
        <v>3135.8559448179417</v>
      </c>
      <c r="F38" s="641">
        <f>'Debt Structs'!D76</f>
        <v>3013.1429338114626</v>
      </c>
      <c r="G38" s="641">
        <f>'Debt Structs'!D77</f>
        <v>2879.6925343419166</v>
      </c>
      <c r="H38" s="641">
        <f>'Debt Structs'!D78</f>
        <v>2734.5652249187851</v>
      </c>
      <c r="I38" s="641">
        <f>'Debt Structs'!D79</f>
        <v>2576.7392759211298</v>
      </c>
      <c r="J38" s="641">
        <f>'Debt Structs'!D80</f>
        <v>2405.1035563861797</v>
      </c>
      <c r="K38" s="641">
        <f>'Debt Structs'!D81</f>
        <v>2218.4497113919215</v>
      </c>
      <c r="L38" s="641">
        <f>'Debt Structs'!D82</f>
        <v>2015.4636549606655</v>
      </c>
      <c r="M38" s="641">
        <f>'Debt Structs'!D83</f>
        <v>1794.7163185916747</v>
      </c>
      <c r="N38" s="641">
        <f>'Debt Structs'!D84</f>
        <v>1554.6535902903972</v>
      </c>
      <c r="O38" s="641">
        <f>'Debt Structs'!D85</f>
        <v>1293.5853732627581</v>
      </c>
      <c r="P38" s="641">
        <f>'Debt Structs'!D86</f>
        <v>1009.6736872452004</v>
      </c>
      <c r="Q38" s="641">
        <f>'Debt Structs'!D87</f>
        <v>700.91972870110646</v>
      </c>
      <c r="R38" s="641">
        <f>'Debt Structs'!D88</f>
        <v>365.14979878440431</v>
      </c>
    </row>
    <row r="39" spans="2:18">
      <c r="B39" t="s">
        <v>689</v>
      </c>
      <c r="D39" s="641">
        <f>D37-D38</f>
        <v>1289.5948611518329</v>
      </c>
      <c r="E39" s="641">
        <f t="shared" ref="E39:R39" si="8">E37-E38</f>
        <v>1402.4344115026183</v>
      </c>
      <c r="F39" s="641">
        <f t="shared" si="8"/>
        <v>1525.1474225090974</v>
      </c>
      <c r="G39" s="641">
        <f t="shared" si="8"/>
        <v>1658.5978219786434</v>
      </c>
      <c r="H39" s="641">
        <f t="shared" si="8"/>
        <v>1803.7251314017749</v>
      </c>
      <c r="I39" s="641">
        <f t="shared" si="8"/>
        <v>1961.5510803994302</v>
      </c>
      <c r="J39" s="641">
        <f t="shared" si="8"/>
        <v>2133.1867999343804</v>
      </c>
      <c r="K39" s="641">
        <f t="shared" si="8"/>
        <v>2319.8406449286385</v>
      </c>
      <c r="L39" s="641">
        <f t="shared" si="8"/>
        <v>2522.8267013598943</v>
      </c>
      <c r="M39" s="641">
        <f t="shared" si="8"/>
        <v>2743.5740377288853</v>
      </c>
      <c r="N39" s="641">
        <f t="shared" si="8"/>
        <v>2983.636766030163</v>
      </c>
      <c r="O39" s="641">
        <f t="shared" si="8"/>
        <v>3244.7049830578017</v>
      </c>
      <c r="P39" s="641">
        <f t="shared" si="8"/>
        <v>3528.6166690753598</v>
      </c>
      <c r="Q39" s="641">
        <f t="shared" si="8"/>
        <v>3837.3706276194534</v>
      </c>
      <c r="R39" s="641">
        <f t="shared" si="8"/>
        <v>4173.1405575361559</v>
      </c>
    </row>
  </sheetData>
  <pageMargins left="0.75" right="0.75" top="1" bottom="1" header="0.5" footer="0.5"/>
  <pageSetup scale="46"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9"/>
  <sheetViews>
    <sheetView zoomScale="85" workbookViewId="0">
      <selection activeCell="C35" sqref="C35"/>
    </sheetView>
  </sheetViews>
  <sheetFormatPr defaultRowHeight="12.75"/>
  <cols>
    <col min="1" max="1" width="11" customWidth="1"/>
    <col min="2" max="2" width="9.42578125" bestFit="1" customWidth="1"/>
    <col min="3" max="3" width="11.28515625" bestFit="1" customWidth="1"/>
    <col min="4" max="5" width="9.42578125" bestFit="1" customWidth="1"/>
    <col min="6" max="6" width="13" customWidth="1"/>
    <col min="8" max="8" width="11.5703125" bestFit="1" customWidth="1"/>
    <col min="10" max="10" width="11.5703125" bestFit="1" customWidth="1"/>
    <col min="11" max="11" width="9.28515625" customWidth="1"/>
    <col min="12" max="13" width="9.42578125" bestFit="1" customWidth="1"/>
    <col min="14" max="14" width="10.85546875" bestFit="1" customWidth="1"/>
  </cols>
  <sheetData>
    <row r="1" spans="1:18" ht="13.5" thickBot="1"/>
    <row r="2" spans="1:18">
      <c r="B2" s="643"/>
      <c r="C2" s="410"/>
      <c r="D2" s="671" t="s">
        <v>315</v>
      </c>
      <c r="E2" s="672" t="s">
        <v>621</v>
      </c>
      <c r="N2" s="638"/>
    </row>
    <row r="3" spans="1:18">
      <c r="B3" s="520"/>
      <c r="C3" s="650" t="s">
        <v>622</v>
      </c>
      <c r="D3" s="645">
        <f>Assumptions!C61</f>
        <v>55000</v>
      </c>
      <c r="E3" s="673">
        <f>Assumptions!C61</f>
        <v>55000</v>
      </c>
      <c r="N3" s="638"/>
    </row>
    <row r="4" spans="1:18">
      <c r="B4" s="520"/>
      <c r="C4" s="650" t="s">
        <v>623</v>
      </c>
      <c r="D4" s="674">
        <v>10</v>
      </c>
      <c r="E4" s="675">
        <v>5</v>
      </c>
    </row>
    <row r="5" spans="1:18">
      <c r="B5" s="520"/>
      <c r="C5" s="650" t="s">
        <v>624</v>
      </c>
      <c r="D5" s="676">
        <v>7.0000000000000007E-2</v>
      </c>
      <c r="E5" s="677">
        <v>0.08</v>
      </c>
    </row>
    <row r="6" spans="1:18">
      <c r="B6" s="520"/>
      <c r="C6" s="650" t="s">
        <v>625</v>
      </c>
      <c r="D6" s="674">
        <v>10</v>
      </c>
      <c r="E6" s="675">
        <v>0</v>
      </c>
    </row>
    <row r="7" spans="1:18">
      <c r="B7" s="520"/>
      <c r="C7" s="650" t="s">
        <v>626</v>
      </c>
      <c r="D7" s="678">
        <v>0.3</v>
      </c>
      <c r="E7" s="679">
        <v>0.1</v>
      </c>
    </row>
    <row r="8" spans="1:18">
      <c r="B8" s="520"/>
      <c r="C8" s="650" t="s">
        <v>627</v>
      </c>
      <c r="D8" s="645">
        <f>+D3*D7</f>
        <v>16500</v>
      </c>
      <c r="E8" s="673">
        <f>+E3*E7</f>
        <v>5500</v>
      </c>
    </row>
    <row r="9" spans="1:18">
      <c r="B9" s="520"/>
      <c r="C9" s="650" t="s">
        <v>628</v>
      </c>
      <c r="D9" s="680">
        <v>0</v>
      </c>
      <c r="E9" s="681">
        <v>0</v>
      </c>
    </row>
    <row r="10" spans="1:18">
      <c r="B10" s="520"/>
      <c r="C10" s="650" t="s">
        <v>629</v>
      </c>
      <c r="D10" s="674">
        <v>2</v>
      </c>
      <c r="E10" s="675">
        <v>2</v>
      </c>
    </row>
    <row r="11" spans="1:18">
      <c r="B11" s="520"/>
      <c r="C11" s="650" t="s">
        <v>630</v>
      </c>
      <c r="D11" s="674">
        <v>92</v>
      </c>
      <c r="E11" s="675">
        <v>92</v>
      </c>
    </row>
    <row r="12" spans="1:18" ht="13.5" thickBot="1">
      <c r="B12" s="657"/>
      <c r="C12" s="682" t="s">
        <v>631</v>
      </c>
      <c r="D12" s="683">
        <v>6.5</v>
      </c>
      <c r="E12" s="684">
        <v>4.25</v>
      </c>
    </row>
    <row r="13" spans="1:18">
      <c r="Q13" t="s">
        <v>632</v>
      </c>
      <c r="R13" t="s">
        <v>633</v>
      </c>
    </row>
    <row r="14" spans="1:18">
      <c r="B14" s="741" t="s">
        <v>691</v>
      </c>
      <c r="C14" s="741"/>
      <c r="D14" s="741"/>
      <c r="E14" s="741"/>
      <c r="G14" s="741" t="s">
        <v>652</v>
      </c>
      <c r="H14" s="741"/>
      <c r="I14" s="741"/>
      <c r="J14" s="741"/>
      <c r="L14" s="741" t="s">
        <v>634</v>
      </c>
      <c r="M14" s="741"/>
      <c r="N14" s="741"/>
      <c r="O14" s="741"/>
      <c r="Q14" t="s">
        <v>635</v>
      </c>
      <c r="R14" t="s">
        <v>635</v>
      </c>
    </row>
    <row r="15" spans="1:18">
      <c r="B15" s="535" t="s">
        <v>636</v>
      </c>
      <c r="C15" s="535" t="s">
        <v>637</v>
      </c>
      <c r="D15" s="535" t="s">
        <v>638</v>
      </c>
      <c r="E15" s="535" t="s">
        <v>639</v>
      </c>
      <c r="F15" s="640"/>
      <c r="G15" s="535" t="s">
        <v>636</v>
      </c>
      <c r="H15" s="535" t="s">
        <v>637</v>
      </c>
      <c r="I15" s="535" t="s">
        <v>638</v>
      </c>
      <c r="J15" s="535" t="s">
        <v>639</v>
      </c>
      <c r="K15" s="640"/>
      <c r="L15" s="535" t="s">
        <v>636</v>
      </c>
      <c r="M15" s="535" t="s">
        <v>637</v>
      </c>
      <c r="N15" s="535" t="s">
        <v>638</v>
      </c>
      <c r="O15" s="535" t="s">
        <v>639</v>
      </c>
    </row>
    <row r="16" spans="1:18">
      <c r="A16">
        <v>1</v>
      </c>
      <c r="B16" s="641">
        <f>+D3-D8</f>
        <v>38500</v>
      </c>
      <c r="C16" s="638">
        <f t="shared" ref="C16:C27" si="0">-PMT($D$5,$D$6,$D$3-$D$8)</f>
        <v>5481.5338550035403</v>
      </c>
      <c r="D16" s="638">
        <f t="shared" ref="D16:D27" si="1">+B16*$D$5</f>
        <v>2695.0000000000005</v>
      </c>
      <c r="E16" s="641">
        <f>+C16-D16</f>
        <v>2786.5338550035399</v>
      </c>
      <c r="F16">
        <v>1</v>
      </c>
      <c r="G16" s="641">
        <f>+D3-D8</f>
        <v>38500</v>
      </c>
      <c r="H16" s="638">
        <f>+I16+J16</f>
        <v>5481.5338550035403</v>
      </c>
      <c r="I16" s="638">
        <f t="shared" ref="I16:I22" si="2">+G16*$D$5</f>
        <v>2695.0000000000005</v>
      </c>
      <c r="J16" s="641">
        <f>+E16</f>
        <v>2786.5338550035399</v>
      </c>
      <c r="K16">
        <v>1</v>
      </c>
      <c r="L16" s="641">
        <f>+$E$3-$E$8</f>
        <v>49500</v>
      </c>
      <c r="M16" s="641">
        <f>+N16+O16</f>
        <v>3960</v>
      </c>
      <c r="N16" s="638">
        <f>+L16*$E$5</f>
        <v>3960</v>
      </c>
      <c r="O16" s="638">
        <v>0</v>
      </c>
      <c r="Q16" s="641">
        <f>+H16-M16</f>
        <v>1521.5338550035403</v>
      </c>
      <c r="R16" s="639">
        <f>+((Q16*1000)/(+$D$11*1000))/12</f>
        <v>1.3782009556191488</v>
      </c>
    </row>
    <row r="17" spans="1:18">
      <c r="A17">
        <f t="shared" ref="A17:A27" si="3">+A16+1</f>
        <v>2</v>
      </c>
      <c r="B17" s="641">
        <f>+B16-E16</f>
        <v>35713.466144996462</v>
      </c>
      <c r="C17" s="638">
        <f t="shared" si="0"/>
        <v>5481.5338550035403</v>
      </c>
      <c r="D17" s="638">
        <f t="shared" si="1"/>
        <v>2499.9426301497524</v>
      </c>
      <c r="E17" s="641">
        <f t="shared" ref="E17:E27" si="4">+C17-D17</f>
        <v>2981.5912248537879</v>
      </c>
      <c r="F17">
        <v>2</v>
      </c>
      <c r="G17" s="641">
        <f t="shared" ref="G17:G22" si="5">+G16-J16</f>
        <v>35713.466144996462</v>
      </c>
      <c r="H17" s="638">
        <f t="shared" ref="H17:H22" si="6">+I17+J17</f>
        <v>5481.5338550035403</v>
      </c>
      <c r="I17" s="638">
        <f t="shared" si="2"/>
        <v>2499.9426301497524</v>
      </c>
      <c r="J17" s="641">
        <f t="shared" ref="J17:J22" si="7">+E17</f>
        <v>2981.5912248537879</v>
      </c>
      <c r="K17">
        <v>2</v>
      </c>
      <c r="L17" s="641">
        <f>+L16-O16</f>
        <v>49500</v>
      </c>
      <c r="M17" s="641">
        <f>+N17+O17</f>
        <v>3960</v>
      </c>
      <c r="N17" s="638">
        <f>+L17*$E$5</f>
        <v>3960</v>
      </c>
      <c r="O17" s="638">
        <v>0</v>
      </c>
    </row>
    <row r="18" spans="1:18">
      <c r="A18">
        <f t="shared" si="3"/>
        <v>3</v>
      </c>
      <c r="B18" s="641">
        <f>+B17-E17</f>
        <v>32731.874920142676</v>
      </c>
      <c r="C18" s="638">
        <f t="shared" si="0"/>
        <v>5481.5338550035403</v>
      </c>
      <c r="D18" s="638">
        <f t="shared" si="1"/>
        <v>2291.2312444099875</v>
      </c>
      <c r="E18" s="641">
        <f t="shared" si="4"/>
        <v>3190.3026105935528</v>
      </c>
      <c r="F18">
        <v>3</v>
      </c>
      <c r="G18" s="641">
        <f t="shared" si="5"/>
        <v>32731.874920142676</v>
      </c>
      <c r="H18" s="638">
        <f t="shared" si="6"/>
        <v>5481.5338550035403</v>
      </c>
      <c r="I18" s="638">
        <f t="shared" si="2"/>
        <v>2291.2312444099875</v>
      </c>
      <c r="J18" s="641">
        <f t="shared" si="7"/>
        <v>3190.3026105935528</v>
      </c>
      <c r="K18">
        <v>3</v>
      </c>
      <c r="L18" s="641">
        <f>+L17-O17</f>
        <v>49500</v>
      </c>
      <c r="M18" s="641">
        <f>+N18+O18</f>
        <v>3960</v>
      </c>
      <c r="N18" s="638">
        <f>+L18*$E$5</f>
        <v>3960</v>
      </c>
      <c r="O18" s="638">
        <v>0</v>
      </c>
      <c r="Q18" s="638">
        <v>42000</v>
      </c>
    </row>
    <row r="19" spans="1:18">
      <c r="A19">
        <f t="shared" si="3"/>
        <v>4</v>
      </c>
      <c r="B19" s="641">
        <f t="shared" ref="B19:B27" si="8">+B18-E18</f>
        <v>29541.572309549123</v>
      </c>
      <c r="C19" s="638">
        <f t="shared" si="0"/>
        <v>5481.5338550035403</v>
      </c>
      <c r="D19" s="638">
        <f t="shared" si="1"/>
        <v>2067.9100616684386</v>
      </c>
      <c r="E19" s="641">
        <f t="shared" si="4"/>
        <v>3413.6237933351017</v>
      </c>
      <c r="F19">
        <v>4</v>
      </c>
      <c r="G19" s="641">
        <f t="shared" si="5"/>
        <v>29541.572309549123</v>
      </c>
      <c r="H19" s="638">
        <f t="shared" si="6"/>
        <v>5481.5338550035403</v>
      </c>
      <c r="I19" s="638">
        <f t="shared" si="2"/>
        <v>2067.9100616684386</v>
      </c>
      <c r="J19" s="641">
        <f t="shared" si="7"/>
        <v>3413.6237933351017</v>
      </c>
      <c r="K19">
        <v>4</v>
      </c>
      <c r="L19" s="641">
        <f>+L18-O18</f>
        <v>49500</v>
      </c>
      <c r="M19" s="641">
        <f>+N19+O19</f>
        <v>3960</v>
      </c>
      <c r="N19" s="638">
        <f>+L19*$E$5</f>
        <v>3960</v>
      </c>
      <c r="O19" s="638">
        <v>0</v>
      </c>
      <c r="Q19">
        <v>0.15</v>
      </c>
    </row>
    <row r="20" spans="1:18">
      <c r="A20">
        <f t="shared" si="3"/>
        <v>5</v>
      </c>
      <c r="B20" s="641">
        <f t="shared" si="8"/>
        <v>26127.948516214023</v>
      </c>
      <c r="C20" s="638">
        <f t="shared" si="0"/>
        <v>5481.5338550035403</v>
      </c>
      <c r="D20" s="638">
        <f t="shared" si="1"/>
        <v>1828.9563961349818</v>
      </c>
      <c r="E20" s="641">
        <f t="shared" si="4"/>
        <v>3652.5774588685586</v>
      </c>
      <c r="F20">
        <v>5</v>
      </c>
      <c r="G20" s="641">
        <f t="shared" si="5"/>
        <v>26127.948516214023</v>
      </c>
      <c r="H20" s="638">
        <f t="shared" si="6"/>
        <v>5481.5338550035403</v>
      </c>
      <c r="I20" s="638">
        <f t="shared" si="2"/>
        <v>1828.9563961349818</v>
      </c>
      <c r="J20" s="641">
        <f t="shared" si="7"/>
        <v>3652.5774588685586</v>
      </c>
      <c r="K20">
        <v>5</v>
      </c>
      <c r="L20" s="641">
        <f>+L19-O19</f>
        <v>49500</v>
      </c>
      <c r="M20" s="641">
        <f>+N20+O20</f>
        <v>3960</v>
      </c>
      <c r="N20" s="638">
        <f>+L20*$E$5</f>
        <v>3960</v>
      </c>
      <c r="O20" s="638">
        <v>0</v>
      </c>
      <c r="Q20" s="638">
        <f>+Q18*Q19</f>
        <v>6300</v>
      </c>
      <c r="R20" s="639">
        <f>+((Q20*1000)/(+$D$11*1000))/12</f>
        <v>5.7065217391304346</v>
      </c>
    </row>
    <row r="21" spans="1:18">
      <c r="A21">
        <f t="shared" si="3"/>
        <v>6</v>
      </c>
      <c r="B21" s="641">
        <f t="shared" si="8"/>
        <v>22475.371057345463</v>
      </c>
      <c r="C21" s="638">
        <f t="shared" si="0"/>
        <v>5481.5338550035403</v>
      </c>
      <c r="D21" s="638">
        <f t="shared" si="1"/>
        <v>1573.2759740141826</v>
      </c>
      <c r="E21" s="641">
        <f t="shared" si="4"/>
        <v>3908.2578809893575</v>
      </c>
      <c r="F21">
        <v>6</v>
      </c>
      <c r="G21" s="641">
        <f t="shared" si="5"/>
        <v>22475.371057345463</v>
      </c>
      <c r="H21" s="638">
        <f t="shared" si="6"/>
        <v>5481.5338550035403</v>
      </c>
      <c r="I21" s="638">
        <f t="shared" si="2"/>
        <v>1573.2759740141826</v>
      </c>
      <c r="J21" s="641">
        <f t="shared" si="7"/>
        <v>3908.2578809893575</v>
      </c>
    </row>
    <row r="22" spans="1:18">
      <c r="A22">
        <f t="shared" si="3"/>
        <v>7</v>
      </c>
      <c r="B22" s="641">
        <f t="shared" si="8"/>
        <v>18567.113176356106</v>
      </c>
      <c r="C22" s="638">
        <f t="shared" si="0"/>
        <v>5481.5338550035403</v>
      </c>
      <c r="D22" s="638">
        <f t="shared" si="1"/>
        <v>1299.6979223449275</v>
      </c>
      <c r="E22" s="641">
        <f t="shared" si="4"/>
        <v>4181.8359326586124</v>
      </c>
      <c r="F22">
        <v>7</v>
      </c>
      <c r="G22" s="641">
        <f t="shared" si="5"/>
        <v>18567.113176356106</v>
      </c>
      <c r="H22" s="638">
        <f t="shared" si="6"/>
        <v>5481.5338550035394</v>
      </c>
      <c r="I22" s="638">
        <f t="shared" si="2"/>
        <v>1299.6979223449275</v>
      </c>
      <c r="J22" s="641">
        <f t="shared" si="7"/>
        <v>4181.8359326586124</v>
      </c>
      <c r="R22" s="642">
        <f>+R20+R16</f>
        <v>7.0847226947495834</v>
      </c>
    </row>
    <row r="23" spans="1:18">
      <c r="A23">
        <f t="shared" si="3"/>
        <v>8</v>
      </c>
      <c r="B23" s="641">
        <f t="shared" si="8"/>
        <v>14385.277243697494</v>
      </c>
      <c r="C23" s="638">
        <f t="shared" si="0"/>
        <v>5481.5338550035403</v>
      </c>
      <c r="D23" s="638">
        <f t="shared" si="1"/>
        <v>1006.9694070588247</v>
      </c>
      <c r="E23" s="641">
        <f t="shared" si="4"/>
        <v>4474.5644479447155</v>
      </c>
      <c r="G23" s="641"/>
      <c r="H23" s="638"/>
      <c r="I23" s="638"/>
      <c r="J23" s="641"/>
    </row>
    <row r="24" spans="1:18">
      <c r="A24">
        <f t="shared" si="3"/>
        <v>9</v>
      </c>
      <c r="B24" s="641">
        <f t="shared" si="8"/>
        <v>9910.7127957527773</v>
      </c>
      <c r="C24" s="638">
        <f t="shared" si="0"/>
        <v>5481.5338550035403</v>
      </c>
      <c r="D24" s="638">
        <f t="shared" si="1"/>
        <v>693.74989570269452</v>
      </c>
      <c r="E24" s="641">
        <f t="shared" si="4"/>
        <v>4787.7839593008457</v>
      </c>
      <c r="G24" s="641"/>
      <c r="H24" s="638"/>
      <c r="I24" s="638"/>
      <c r="J24" s="641"/>
    </row>
    <row r="25" spans="1:18">
      <c r="A25">
        <f t="shared" si="3"/>
        <v>10</v>
      </c>
      <c r="B25" s="641">
        <f t="shared" si="8"/>
        <v>5122.9288364519316</v>
      </c>
      <c r="C25" s="638">
        <f t="shared" si="0"/>
        <v>5481.5338550035403</v>
      </c>
      <c r="D25" s="638">
        <f t="shared" si="1"/>
        <v>358.60501855163523</v>
      </c>
      <c r="E25" s="641">
        <f t="shared" si="4"/>
        <v>5122.9288364519052</v>
      </c>
      <c r="G25" s="641"/>
      <c r="H25" s="638"/>
      <c r="I25" s="638"/>
      <c r="J25" s="641"/>
      <c r="K25" s="741" t="s">
        <v>713</v>
      </c>
      <c r="L25" s="741"/>
      <c r="M25" s="741"/>
      <c r="N25" s="741"/>
      <c r="O25" s="741"/>
    </row>
    <row r="26" spans="1:18">
      <c r="A26">
        <f t="shared" si="3"/>
        <v>11</v>
      </c>
      <c r="B26" s="641">
        <f t="shared" si="8"/>
        <v>2.6375346351414919E-11</v>
      </c>
      <c r="C26" s="638">
        <f t="shared" si="0"/>
        <v>5481.5338550035403</v>
      </c>
      <c r="D26" s="638">
        <f t="shared" si="1"/>
        <v>1.8462742445990445E-12</v>
      </c>
      <c r="E26" s="641">
        <f t="shared" si="4"/>
        <v>5481.5338550035385</v>
      </c>
      <c r="K26" s="640"/>
      <c r="L26" s="535" t="s">
        <v>636</v>
      </c>
      <c r="M26" s="535" t="s">
        <v>637</v>
      </c>
      <c r="N26" s="535" t="s">
        <v>638</v>
      </c>
      <c r="O26" s="535" t="s">
        <v>639</v>
      </c>
    </row>
    <row r="27" spans="1:18">
      <c r="A27">
        <f t="shared" si="3"/>
        <v>12</v>
      </c>
      <c r="B27" s="641">
        <f t="shared" si="8"/>
        <v>-5481.5338550035121</v>
      </c>
      <c r="C27" s="638">
        <f t="shared" si="0"/>
        <v>5481.5338550035403</v>
      </c>
      <c r="D27" s="638">
        <f t="shared" si="1"/>
        <v>-383.70736985024587</v>
      </c>
      <c r="E27" s="641">
        <f t="shared" si="4"/>
        <v>5865.2412248537858</v>
      </c>
      <c r="K27">
        <v>1</v>
      </c>
      <c r="L27" s="641">
        <f>+$E$3-$E$8</f>
        <v>49500</v>
      </c>
      <c r="M27" s="641">
        <f>+N27+O27</f>
        <v>6746.5338550035394</v>
      </c>
      <c r="N27" s="638">
        <f>+L27*$E$5</f>
        <v>3960</v>
      </c>
      <c r="O27" s="638">
        <f>J16</f>
        <v>2786.5338550035399</v>
      </c>
    </row>
    <row r="28" spans="1:18">
      <c r="B28" s="641"/>
      <c r="C28" s="638"/>
      <c r="D28" s="638"/>
      <c r="E28" s="641"/>
      <c r="K28">
        <v>2</v>
      </c>
      <c r="L28" s="641">
        <f>+L27-O27</f>
        <v>46713.466144996462</v>
      </c>
      <c r="M28" s="641">
        <f>+N28+O28</f>
        <v>6718.6685164535047</v>
      </c>
      <c r="N28" s="638">
        <f>+L28*$E$5</f>
        <v>3737.0772915997172</v>
      </c>
      <c r="O28" s="638">
        <f>J17</f>
        <v>2981.5912248537879</v>
      </c>
    </row>
    <row r="29" spans="1:18">
      <c r="B29" s="641"/>
      <c r="C29" s="638"/>
      <c r="D29" s="638"/>
      <c r="E29" s="641"/>
      <c r="K29">
        <v>3</v>
      </c>
      <c r="L29" s="641">
        <f>+L28-O28</f>
        <v>43731.874920142676</v>
      </c>
      <c r="M29" s="641">
        <f>+N29+O29</f>
        <v>6688.8526042049671</v>
      </c>
      <c r="N29" s="638">
        <f>+L29*$E$5</f>
        <v>3498.5499936114143</v>
      </c>
      <c r="O29" s="638">
        <f>J18</f>
        <v>3190.3026105935528</v>
      </c>
    </row>
    <row r="30" spans="1:18">
      <c r="B30" s="641"/>
      <c r="C30" s="638"/>
      <c r="D30" s="638"/>
      <c r="E30" s="641"/>
      <c r="K30">
        <v>4</v>
      </c>
      <c r="L30" s="641">
        <f>+L29-O29</f>
        <v>40541.572309549127</v>
      </c>
      <c r="M30" s="641">
        <f>+N30+O30</f>
        <v>6656.9495780990319</v>
      </c>
      <c r="N30" s="638">
        <f>+L30*$E$5</f>
        <v>3243.3257847639302</v>
      </c>
      <c r="O30" s="638">
        <f>J19</f>
        <v>3413.6237933351017</v>
      </c>
    </row>
    <row r="31" spans="1:18">
      <c r="K31">
        <v>5</v>
      </c>
      <c r="L31" s="641">
        <f>+L30-O30</f>
        <v>37127.948516214026</v>
      </c>
      <c r="M31" s="641">
        <f>+N31+O31</f>
        <v>6622.8133401656805</v>
      </c>
      <c r="N31" s="638">
        <f>+L31*$E$5</f>
        <v>2970.235881297122</v>
      </c>
      <c r="O31" s="638">
        <f>J20</f>
        <v>3652.5774588685586</v>
      </c>
    </row>
    <row r="32" spans="1:18">
      <c r="G32" s="178"/>
      <c r="H32" s="178"/>
      <c r="I32" s="178"/>
      <c r="J32" s="178"/>
      <c r="K32" s="178"/>
      <c r="L32" s="178"/>
      <c r="M32" s="178"/>
      <c r="N32" s="178"/>
      <c r="O32" s="178"/>
      <c r="P32" s="178"/>
    </row>
    <row r="33" spans="1:16">
      <c r="B33" s="741" t="s">
        <v>640</v>
      </c>
      <c r="C33" s="741"/>
      <c r="D33" s="741"/>
      <c r="E33" s="741"/>
      <c r="G33" s="178"/>
      <c r="H33" s="178"/>
      <c r="I33" s="178"/>
      <c r="J33" s="644"/>
      <c r="K33" s="644"/>
      <c r="L33" s="644"/>
      <c r="M33" s="644"/>
      <c r="N33" s="178"/>
      <c r="O33" s="178"/>
      <c r="P33" s="178"/>
    </row>
    <row r="34" spans="1:16">
      <c r="B34" s="535" t="s">
        <v>636</v>
      </c>
      <c r="C34" s="535" t="s">
        <v>637</v>
      </c>
      <c r="D34" s="535" t="s">
        <v>638</v>
      </c>
      <c r="E34" s="535" t="s">
        <v>639</v>
      </c>
      <c r="G34" s="178"/>
      <c r="H34" s="178"/>
      <c r="I34" s="178"/>
      <c r="J34" s="178"/>
      <c r="K34" s="178"/>
      <c r="L34" s="178"/>
      <c r="M34" s="178"/>
      <c r="N34" s="178"/>
      <c r="O34" s="178"/>
      <c r="P34" s="178"/>
    </row>
    <row r="35" spans="1:16">
      <c r="A35">
        <v>1</v>
      </c>
      <c r="B35" s="641">
        <f>+D3-D8</f>
        <v>38500</v>
      </c>
      <c r="C35" s="638">
        <f>-PMT(+$D$5,10,$D$3-$D$8)</f>
        <v>5481.5338550035403</v>
      </c>
      <c r="D35" s="638">
        <f t="shared" ref="D35:D44" si="9">+B35*$D$5</f>
        <v>2695.0000000000005</v>
      </c>
      <c r="E35" s="638">
        <f t="shared" ref="E35:E44" si="10">+C35-D35</f>
        <v>2786.5338550035399</v>
      </c>
      <c r="G35" s="648"/>
      <c r="H35" s="178"/>
      <c r="I35" s="178"/>
      <c r="J35" s="645"/>
      <c r="K35" s="645"/>
      <c r="L35" s="645"/>
      <c r="M35" s="645"/>
      <c r="N35" s="178"/>
      <c r="O35" s="178"/>
      <c r="P35" s="178"/>
    </row>
    <row r="36" spans="1:16">
      <c r="A36">
        <f t="shared" ref="A36:A44" si="11">+A35+1</f>
        <v>2</v>
      </c>
      <c r="B36" s="641">
        <f t="shared" ref="B36:B44" si="12">+B35-E35</f>
        <v>35713.466144996462</v>
      </c>
      <c r="C36" s="638">
        <f t="shared" ref="C36:C44" si="13">-PMT(+$D$5,10,$D$3-$D$8)</f>
        <v>5481.5338550035403</v>
      </c>
      <c r="D36" s="638">
        <f t="shared" si="9"/>
        <v>2499.9426301497524</v>
      </c>
      <c r="E36" s="638">
        <f t="shared" si="10"/>
        <v>2981.5912248537879</v>
      </c>
      <c r="G36" s="648"/>
      <c r="H36" s="178"/>
      <c r="I36" s="646"/>
      <c r="J36" s="645"/>
      <c r="K36" s="645"/>
      <c r="L36" s="647"/>
      <c r="M36" s="645"/>
      <c r="N36" s="178"/>
      <c r="O36" s="178"/>
      <c r="P36" s="178"/>
    </row>
    <row r="37" spans="1:16">
      <c r="A37">
        <f t="shared" si="11"/>
        <v>3</v>
      </c>
      <c r="B37" s="641">
        <f t="shared" si="12"/>
        <v>32731.874920142676</v>
      </c>
      <c r="C37" s="638">
        <f t="shared" si="13"/>
        <v>5481.5338550035403</v>
      </c>
      <c r="D37" s="638">
        <f t="shared" si="9"/>
        <v>2291.2312444099875</v>
      </c>
      <c r="E37" s="638">
        <f t="shared" si="10"/>
        <v>3190.3026105935528</v>
      </c>
      <c r="G37" s="648"/>
      <c r="H37" s="648"/>
      <c r="I37" s="178"/>
      <c r="J37" s="645"/>
      <c r="K37" s="645"/>
      <c r="L37" s="649"/>
      <c r="M37" s="645"/>
      <c r="N37" s="178"/>
      <c r="O37" s="178"/>
      <c r="P37" s="178"/>
    </row>
    <row r="38" spans="1:16">
      <c r="A38">
        <f t="shared" si="11"/>
        <v>4</v>
      </c>
      <c r="B38" s="641">
        <f t="shared" si="12"/>
        <v>29541.572309549123</v>
      </c>
      <c r="C38" s="638">
        <f t="shared" si="13"/>
        <v>5481.5338550035403</v>
      </c>
      <c r="D38" s="638">
        <f t="shared" si="9"/>
        <v>2067.9100616684386</v>
      </c>
      <c r="E38" s="638">
        <f t="shared" si="10"/>
        <v>3413.6237933351017</v>
      </c>
      <c r="G38" s="178"/>
      <c r="H38" s="178"/>
      <c r="I38" s="646"/>
      <c r="J38" s="645"/>
      <c r="K38" s="645"/>
      <c r="L38" s="647"/>
      <c r="M38" s="645"/>
      <c r="N38" s="178"/>
      <c r="O38" s="178"/>
      <c r="P38" s="178"/>
    </row>
    <row r="39" spans="1:16">
      <c r="A39">
        <f t="shared" si="11"/>
        <v>5</v>
      </c>
      <c r="B39" s="641">
        <f t="shared" si="12"/>
        <v>26127.948516214023</v>
      </c>
      <c r="C39" s="638">
        <f t="shared" si="13"/>
        <v>5481.5338550035403</v>
      </c>
      <c r="D39" s="638">
        <f t="shared" si="9"/>
        <v>1828.9563961349818</v>
      </c>
      <c r="E39" s="638">
        <f t="shared" si="10"/>
        <v>3652.5774588685586</v>
      </c>
      <c r="G39" s="178"/>
      <c r="H39" s="178"/>
      <c r="I39" s="178"/>
      <c r="J39" s="645"/>
      <c r="K39" s="645"/>
      <c r="L39" s="649"/>
      <c r="M39" s="645"/>
      <c r="N39" s="178"/>
      <c r="O39" s="178"/>
      <c r="P39" s="178"/>
    </row>
    <row r="40" spans="1:16">
      <c r="A40">
        <f t="shared" si="11"/>
        <v>6</v>
      </c>
      <c r="B40" s="641">
        <f t="shared" si="12"/>
        <v>22475.371057345463</v>
      </c>
      <c r="C40" s="638">
        <f t="shared" si="13"/>
        <v>5481.5338550035403</v>
      </c>
      <c r="D40" s="638">
        <f t="shared" si="9"/>
        <v>1573.2759740141826</v>
      </c>
      <c r="E40" s="638">
        <f t="shared" si="10"/>
        <v>3908.2578809893575</v>
      </c>
      <c r="G40" s="178"/>
      <c r="H40" s="178"/>
      <c r="I40" s="178"/>
      <c r="J40" s="178"/>
      <c r="K40" s="178"/>
      <c r="L40" s="650"/>
      <c r="M40" s="178"/>
      <c r="N40" s="178"/>
      <c r="O40" s="178"/>
      <c r="P40" s="178"/>
    </row>
    <row r="41" spans="1:16">
      <c r="A41">
        <f t="shared" si="11"/>
        <v>7</v>
      </c>
      <c r="B41" s="641">
        <f t="shared" si="12"/>
        <v>18567.113176356106</v>
      </c>
      <c r="C41" s="638">
        <f t="shared" si="13"/>
        <v>5481.5338550035403</v>
      </c>
      <c r="D41" s="638">
        <f t="shared" si="9"/>
        <v>1299.6979223449275</v>
      </c>
      <c r="E41" s="638">
        <f t="shared" si="10"/>
        <v>4181.8359326586124</v>
      </c>
      <c r="G41" s="178"/>
      <c r="H41" s="178"/>
      <c r="I41" s="178"/>
      <c r="J41" s="178"/>
      <c r="K41" s="178"/>
      <c r="L41" s="650"/>
      <c r="M41" s="178"/>
      <c r="N41" s="651"/>
      <c r="O41" s="420"/>
      <c r="P41" s="178"/>
    </row>
    <row r="42" spans="1:16">
      <c r="A42">
        <f t="shared" si="11"/>
        <v>8</v>
      </c>
      <c r="B42" s="641">
        <f t="shared" si="12"/>
        <v>14385.277243697494</v>
      </c>
      <c r="C42" s="638">
        <f t="shared" si="13"/>
        <v>5481.5338550035403</v>
      </c>
      <c r="D42" s="638">
        <f t="shared" si="9"/>
        <v>1006.9694070588247</v>
      </c>
      <c r="E42" s="638">
        <f t="shared" si="10"/>
        <v>4474.5644479447155</v>
      </c>
      <c r="G42" s="178"/>
      <c r="H42" s="650"/>
      <c r="I42" s="646"/>
      <c r="J42" s="645"/>
      <c r="K42" s="178"/>
      <c r="L42" s="650"/>
      <c r="M42" s="645"/>
      <c r="N42" s="645"/>
      <c r="O42" s="652"/>
      <c r="P42" s="178"/>
    </row>
    <row r="43" spans="1:16">
      <c r="A43">
        <f t="shared" si="11"/>
        <v>9</v>
      </c>
      <c r="B43" s="641">
        <f t="shared" si="12"/>
        <v>9910.7127957527773</v>
      </c>
      <c r="C43" s="638">
        <f t="shared" si="13"/>
        <v>5481.5338550035403</v>
      </c>
      <c r="D43" s="638">
        <f t="shared" si="9"/>
        <v>693.74989570269452</v>
      </c>
      <c r="E43" s="638">
        <f t="shared" si="10"/>
        <v>4787.7839593008457</v>
      </c>
      <c r="G43" s="178"/>
      <c r="H43" s="650"/>
      <c r="I43" s="653"/>
      <c r="J43" s="645"/>
      <c r="K43" s="178"/>
      <c r="L43" s="654"/>
      <c r="M43" s="645"/>
      <c r="N43" s="645"/>
      <c r="O43" s="652"/>
      <c r="P43" s="178"/>
    </row>
    <row r="44" spans="1:16">
      <c r="A44">
        <f t="shared" si="11"/>
        <v>10</v>
      </c>
      <c r="B44" s="641">
        <f t="shared" si="12"/>
        <v>5122.9288364519316</v>
      </c>
      <c r="C44" s="638">
        <f t="shared" si="13"/>
        <v>5481.5338550035403</v>
      </c>
      <c r="D44" s="638">
        <f t="shared" si="9"/>
        <v>358.60501855163523</v>
      </c>
      <c r="E44" s="638">
        <f t="shared" si="10"/>
        <v>5122.9288364519052</v>
      </c>
      <c r="G44" s="178"/>
      <c r="H44" s="650"/>
      <c r="I44" s="653"/>
      <c r="J44" s="645"/>
      <c r="K44" s="178"/>
      <c r="L44" s="654"/>
      <c r="M44" s="645"/>
      <c r="N44" s="645"/>
      <c r="O44" s="652"/>
      <c r="P44" s="178"/>
    </row>
    <row r="45" spans="1:16">
      <c r="G45" s="178"/>
      <c r="H45" s="650"/>
      <c r="I45" s="653"/>
      <c r="J45" s="645"/>
      <c r="K45" s="178"/>
      <c r="L45" s="654"/>
      <c r="M45" s="645"/>
      <c r="N45" s="645"/>
      <c r="O45" s="652"/>
      <c r="P45" s="178"/>
    </row>
    <row r="46" spans="1:16">
      <c r="G46" s="178"/>
      <c r="H46" s="178"/>
      <c r="I46" s="655"/>
      <c r="J46" s="178"/>
      <c r="K46" s="178"/>
      <c r="L46" s="650"/>
      <c r="M46" s="645"/>
      <c r="N46" s="178"/>
      <c r="O46" s="178"/>
      <c r="P46" s="178"/>
    </row>
    <row r="47" spans="1:16">
      <c r="G47" s="178"/>
      <c r="H47" s="420"/>
      <c r="I47" s="178"/>
      <c r="J47" s="178"/>
      <c r="K47" s="178"/>
      <c r="L47" s="650"/>
      <c r="M47" s="645"/>
      <c r="N47" s="178"/>
      <c r="O47" s="656"/>
      <c r="P47" s="178"/>
    </row>
    <row r="48" spans="1:16">
      <c r="G48" s="178"/>
      <c r="H48" s="178"/>
      <c r="I48" s="178"/>
      <c r="J48" s="178"/>
      <c r="K48" s="178"/>
      <c r="L48" s="178"/>
      <c r="M48" s="645"/>
      <c r="N48" s="178"/>
      <c r="O48" s="656"/>
      <c r="P48" s="178"/>
    </row>
    <row r="49" spans="2:16">
      <c r="G49" s="178"/>
      <c r="H49" s="178"/>
      <c r="I49" s="178"/>
      <c r="J49" s="178"/>
      <c r="K49" s="178"/>
      <c r="L49" s="178"/>
      <c r="M49" s="645"/>
      <c r="N49" s="178"/>
      <c r="O49" s="178"/>
      <c r="P49" s="178"/>
    </row>
    <row r="51" spans="2:16">
      <c r="B51" s="641"/>
      <c r="C51" s="638"/>
      <c r="D51" s="638"/>
      <c r="E51" s="638"/>
    </row>
    <row r="52" spans="2:16">
      <c r="B52" s="641"/>
      <c r="C52" s="638"/>
      <c r="D52" s="638"/>
      <c r="E52" s="638"/>
    </row>
    <row r="53" spans="2:16" s="415" customFormat="1" ht="13.5" thickBot="1">
      <c r="B53" s="693"/>
      <c r="C53" s="658"/>
      <c r="D53" s="658"/>
      <c r="E53" s="658"/>
    </row>
    <row r="54" spans="2:16">
      <c r="B54" s="641"/>
      <c r="C54" s="638"/>
      <c r="D54" s="638"/>
      <c r="E54" s="638"/>
    </row>
    <row r="55" spans="2:16">
      <c r="B55" s="641"/>
      <c r="C55" s="638"/>
      <c r="D55" s="638"/>
      <c r="E55" s="638"/>
    </row>
    <row r="56" spans="2:16">
      <c r="B56" s="641"/>
      <c r="C56" s="638"/>
      <c r="D56" s="638"/>
      <c r="E56" s="638"/>
    </row>
    <row r="57" spans="2:16" ht="13.5" thickBot="1">
      <c r="B57" s="641"/>
      <c r="C57" s="638"/>
      <c r="D57" s="638"/>
      <c r="E57" s="638"/>
    </row>
    <row r="58" spans="2:16">
      <c r="B58" s="643"/>
      <c r="C58" s="410"/>
      <c r="D58" s="671" t="s">
        <v>315</v>
      </c>
      <c r="E58" s="672" t="s">
        <v>621</v>
      </c>
    </row>
    <row r="59" spans="2:16">
      <c r="B59" s="520"/>
      <c r="C59" s="650" t="s">
        <v>622</v>
      </c>
      <c r="D59" s="645">
        <f>D3</f>
        <v>55000</v>
      </c>
      <c r="E59" s="673">
        <f>E3</f>
        <v>55000</v>
      </c>
    </row>
    <row r="60" spans="2:16">
      <c r="B60" s="520"/>
      <c r="C60" s="650" t="s">
        <v>623</v>
      </c>
      <c r="D60" s="674">
        <v>7</v>
      </c>
      <c r="E60" s="675">
        <v>5</v>
      </c>
    </row>
    <row r="61" spans="2:16">
      <c r="B61" s="520"/>
      <c r="C61" s="650" t="s">
        <v>624</v>
      </c>
      <c r="D61" s="676">
        <v>9.5000000000000001E-2</v>
      </c>
      <c r="E61" s="677">
        <v>8.7499999999999994E-2</v>
      </c>
    </row>
    <row r="62" spans="2:16">
      <c r="B62" s="520"/>
      <c r="C62" s="650" t="s">
        <v>625</v>
      </c>
      <c r="D62" s="674">
        <v>15</v>
      </c>
      <c r="E62" s="675">
        <v>0</v>
      </c>
    </row>
    <row r="63" spans="2:16">
      <c r="B63" s="520"/>
      <c r="C63" s="650" t="s">
        <v>626</v>
      </c>
      <c r="D63" s="678">
        <f>D7</f>
        <v>0.3</v>
      </c>
      <c r="E63" s="679">
        <v>0.1</v>
      </c>
    </row>
    <row r="64" spans="2:16">
      <c r="B64" s="520"/>
      <c r="C64" s="650" t="s">
        <v>627</v>
      </c>
      <c r="D64" s="645">
        <f>+D59*D63</f>
        <v>16500</v>
      </c>
      <c r="E64" s="673">
        <f>+E59*E63</f>
        <v>5500</v>
      </c>
    </row>
    <row r="65" spans="1:11">
      <c r="B65" s="520"/>
      <c r="C65" s="650" t="s">
        <v>628</v>
      </c>
      <c r="D65" s="680">
        <v>0</v>
      </c>
      <c r="E65" s="681">
        <v>0</v>
      </c>
    </row>
    <row r="66" spans="1:11">
      <c r="B66" s="520"/>
      <c r="C66" s="650" t="s">
        <v>700</v>
      </c>
      <c r="D66" s="722"/>
      <c r="E66" s="681"/>
    </row>
    <row r="67" spans="1:11">
      <c r="B67" s="520"/>
      <c r="C67" s="650" t="s">
        <v>629</v>
      </c>
      <c r="D67" s="674">
        <v>5</v>
      </c>
      <c r="E67" s="675">
        <v>5</v>
      </c>
    </row>
    <row r="68" spans="1:11">
      <c r="B68" s="520"/>
      <c r="C68" s="650" t="s">
        <v>630</v>
      </c>
      <c r="D68" s="674">
        <v>230</v>
      </c>
      <c r="E68" s="675">
        <v>230</v>
      </c>
    </row>
    <row r="69" spans="1:11" ht="13.5" thickBot="1">
      <c r="B69" s="657"/>
      <c r="C69" s="682" t="s">
        <v>631</v>
      </c>
      <c r="D69" s="683">
        <v>6.5</v>
      </c>
      <c r="E69" s="684">
        <v>4.25</v>
      </c>
    </row>
    <row r="70" spans="1:11">
      <c r="B70" s="641"/>
      <c r="C70" s="638"/>
      <c r="D70" s="638"/>
      <c r="E70" s="638"/>
    </row>
    <row r="71" spans="1:11">
      <c r="B71" s="641"/>
      <c r="C71" s="638"/>
      <c r="D71" s="638"/>
      <c r="E71" s="638"/>
    </row>
    <row r="72" spans="1:11">
      <c r="B72" s="741" t="s">
        <v>656</v>
      </c>
      <c r="C72" s="741"/>
      <c r="D72" s="741"/>
      <c r="E72" s="741"/>
      <c r="H72" s="741" t="s">
        <v>695</v>
      </c>
      <c r="I72" s="741"/>
      <c r="J72" s="741"/>
      <c r="K72" s="741"/>
    </row>
    <row r="73" spans="1:11">
      <c r="A73" s="531" t="s">
        <v>23</v>
      </c>
      <c r="B73" s="535" t="s">
        <v>636</v>
      </c>
      <c r="C73" s="535" t="s">
        <v>637</v>
      </c>
      <c r="D73" s="535" t="s">
        <v>638</v>
      </c>
      <c r="E73" s="535" t="s">
        <v>639</v>
      </c>
      <c r="G73" s="531" t="s">
        <v>23</v>
      </c>
      <c r="H73" s="535" t="s">
        <v>636</v>
      </c>
      <c r="I73" s="535" t="s">
        <v>637</v>
      </c>
      <c r="J73" s="535" t="s">
        <v>638</v>
      </c>
      <c r="K73" s="535" t="s">
        <v>639</v>
      </c>
    </row>
    <row r="74" spans="1:11">
      <c r="A74">
        <v>2006</v>
      </c>
      <c r="B74" s="694">
        <f>L31-E65</f>
        <v>37127.948516214026</v>
      </c>
      <c r="C74" s="638">
        <f>-PMT($E$61,15,$B$74)</f>
        <v>4538.29035632056</v>
      </c>
      <c r="D74" s="638">
        <f>B74*$E$61</f>
        <v>3248.6954951687271</v>
      </c>
      <c r="E74" s="638">
        <f>C74-D74</f>
        <v>1289.5948611518329</v>
      </c>
      <c r="G74">
        <v>2008</v>
      </c>
      <c r="H74" s="641">
        <f>D59-D64+D66</f>
        <v>38500</v>
      </c>
      <c r="I74" s="638">
        <f>-PMT($D$61,13,$H$74)</f>
        <v>5280.3542127823321</v>
      </c>
      <c r="J74" s="638">
        <f>H74*$D$61</f>
        <v>3657.5</v>
      </c>
      <c r="K74" s="638">
        <f t="shared" ref="K74:K86" si="14">I74-J74</f>
        <v>1622.8542127823321</v>
      </c>
    </row>
    <row r="75" spans="1:11">
      <c r="A75">
        <f t="shared" ref="A75:A88" si="15">+A74+1</f>
        <v>2007</v>
      </c>
      <c r="B75" s="641">
        <f>B74-E74</f>
        <v>35838.353655062194</v>
      </c>
      <c r="C75" s="638">
        <f t="shared" ref="C75:C88" si="16">-PMT($E$61,15,$B$74)</f>
        <v>4538.29035632056</v>
      </c>
      <c r="D75" s="638">
        <f t="shared" ref="D75:D88" si="17">B75*$E$61</f>
        <v>3135.8559448179417</v>
      </c>
      <c r="E75" s="638">
        <f t="shared" ref="E75:E88" si="18">C75-D75</f>
        <v>1402.4344115026183</v>
      </c>
      <c r="G75">
        <f t="shared" ref="G75:G86" si="19">+G74+1</f>
        <v>2009</v>
      </c>
      <c r="H75" s="641">
        <f t="shared" ref="H75:H86" si="20">H74-K74</f>
        <v>36877.145787217669</v>
      </c>
      <c r="I75" s="638">
        <f t="shared" ref="I75:I86" si="21">-PMT($D$61,13,$H$74)</f>
        <v>5280.3542127823321</v>
      </c>
      <c r="J75" s="638">
        <f t="shared" ref="J75:J86" si="22">H75*$D$61</f>
        <v>3503.3288497856784</v>
      </c>
      <c r="K75" s="638">
        <f t="shared" si="14"/>
        <v>1777.0253629966537</v>
      </c>
    </row>
    <row r="76" spans="1:11">
      <c r="A76">
        <f t="shared" si="15"/>
        <v>2008</v>
      </c>
      <c r="B76" s="641">
        <f t="shared" ref="B76:B88" si="23">B75-E75</f>
        <v>34435.919243559576</v>
      </c>
      <c r="C76" s="638">
        <f t="shared" si="16"/>
        <v>4538.29035632056</v>
      </c>
      <c r="D76" s="638">
        <f t="shared" si="17"/>
        <v>3013.1429338114626</v>
      </c>
      <c r="E76" s="638">
        <f t="shared" si="18"/>
        <v>1525.1474225090974</v>
      </c>
      <c r="G76">
        <f t="shared" si="19"/>
        <v>2010</v>
      </c>
      <c r="H76" s="641">
        <f t="shared" si="20"/>
        <v>35100.120424221015</v>
      </c>
      <c r="I76" s="638">
        <f t="shared" si="21"/>
        <v>5280.3542127823321</v>
      </c>
      <c r="J76" s="638">
        <f t="shared" si="22"/>
        <v>3334.5114403009966</v>
      </c>
      <c r="K76" s="638">
        <f t="shared" si="14"/>
        <v>1945.8427724813355</v>
      </c>
    </row>
    <row r="77" spans="1:11">
      <c r="A77">
        <f t="shared" si="15"/>
        <v>2009</v>
      </c>
      <c r="B77" s="641">
        <f t="shared" si="23"/>
        <v>32910.771821050475</v>
      </c>
      <c r="C77" s="638">
        <f t="shared" si="16"/>
        <v>4538.29035632056</v>
      </c>
      <c r="D77" s="638">
        <f t="shared" si="17"/>
        <v>2879.6925343419166</v>
      </c>
      <c r="E77" s="638">
        <f t="shared" si="18"/>
        <v>1658.5978219786434</v>
      </c>
      <c r="G77">
        <f t="shared" si="19"/>
        <v>2011</v>
      </c>
      <c r="H77" s="641">
        <f t="shared" si="20"/>
        <v>33154.277651739678</v>
      </c>
      <c r="I77" s="638">
        <f t="shared" si="21"/>
        <v>5280.3542127823321</v>
      </c>
      <c r="J77" s="638">
        <f t="shared" si="22"/>
        <v>3149.6563769152694</v>
      </c>
      <c r="K77" s="638">
        <f t="shared" si="14"/>
        <v>2130.6978358670626</v>
      </c>
    </row>
    <row r="78" spans="1:11">
      <c r="A78">
        <f t="shared" si="15"/>
        <v>2010</v>
      </c>
      <c r="B78" s="641">
        <f t="shared" si="23"/>
        <v>31252.173999071831</v>
      </c>
      <c r="C78" s="638">
        <f t="shared" si="16"/>
        <v>4538.29035632056</v>
      </c>
      <c r="D78" s="638">
        <f t="shared" si="17"/>
        <v>2734.5652249187851</v>
      </c>
      <c r="E78" s="638">
        <f t="shared" si="18"/>
        <v>1803.7251314017749</v>
      </c>
      <c r="G78">
        <f t="shared" si="19"/>
        <v>2012</v>
      </c>
      <c r="H78" s="641">
        <f t="shared" si="20"/>
        <v>31023.579815872614</v>
      </c>
      <c r="I78" s="638">
        <f t="shared" si="21"/>
        <v>5280.3542127823321</v>
      </c>
      <c r="J78" s="638">
        <f t="shared" si="22"/>
        <v>2947.2400825078985</v>
      </c>
      <c r="K78" s="638">
        <f t="shared" si="14"/>
        <v>2333.1141302744336</v>
      </c>
    </row>
    <row r="79" spans="1:11">
      <c r="A79">
        <f t="shared" si="15"/>
        <v>2011</v>
      </c>
      <c r="B79" s="641">
        <f t="shared" si="23"/>
        <v>29448.448867670057</v>
      </c>
      <c r="C79" s="638">
        <f t="shared" si="16"/>
        <v>4538.29035632056</v>
      </c>
      <c r="D79" s="638">
        <f t="shared" si="17"/>
        <v>2576.7392759211298</v>
      </c>
      <c r="E79" s="638">
        <f t="shared" si="18"/>
        <v>1961.5510803994302</v>
      </c>
      <c r="G79">
        <f t="shared" si="19"/>
        <v>2013</v>
      </c>
      <c r="H79" s="641">
        <f t="shared" si="20"/>
        <v>28690.465685598181</v>
      </c>
      <c r="I79" s="638">
        <f t="shared" si="21"/>
        <v>5280.3542127823321</v>
      </c>
      <c r="J79" s="638">
        <f t="shared" si="22"/>
        <v>2725.5942401318271</v>
      </c>
      <c r="K79" s="638">
        <f t="shared" si="14"/>
        <v>2554.759972650505</v>
      </c>
    </row>
    <row r="80" spans="1:11">
      <c r="A80">
        <f t="shared" si="15"/>
        <v>2012</v>
      </c>
      <c r="B80" s="641">
        <f t="shared" si="23"/>
        <v>27486.897787270627</v>
      </c>
      <c r="C80" s="638">
        <f t="shared" si="16"/>
        <v>4538.29035632056</v>
      </c>
      <c r="D80" s="638">
        <f t="shared" si="17"/>
        <v>2405.1035563861797</v>
      </c>
      <c r="E80" s="638">
        <f t="shared" si="18"/>
        <v>2133.1867999343804</v>
      </c>
      <c r="G80">
        <f t="shared" si="19"/>
        <v>2014</v>
      </c>
      <c r="H80" s="641">
        <f t="shared" si="20"/>
        <v>26135.705712947674</v>
      </c>
      <c r="I80" s="638">
        <f t="shared" si="21"/>
        <v>5280.3542127823321</v>
      </c>
      <c r="J80" s="638">
        <f t="shared" si="22"/>
        <v>2482.8920427300291</v>
      </c>
      <c r="K80" s="638">
        <f t="shared" si="14"/>
        <v>2797.462170052303</v>
      </c>
    </row>
    <row r="81" spans="1:11">
      <c r="A81">
        <f t="shared" si="15"/>
        <v>2013</v>
      </c>
      <c r="B81" s="641">
        <f t="shared" si="23"/>
        <v>25353.710987336246</v>
      </c>
      <c r="C81" s="638">
        <f t="shared" si="16"/>
        <v>4538.29035632056</v>
      </c>
      <c r="D81" s="638">
        <f t="shared" si="17"/>
        <v>2218.4497113919215</v>
      </c>
      <c r="E81" s="638">
        <f t="shared" si="18"/>
        <v>2319.8406449286385</v>
      </c>
      <c r="G81">
        <f t="shared" si="19"/>
        <v>2015</v>
      </c>
      <c r="H81" s="641">
        <f t="shared" si="20"/>
        <v>23338.243542895372</v>
      </c>
      <c r="I81" s="638">
        <f t="shared" si="21"/>
        <v>5280.3542127823321</v>
      </c>
      <c r="J81" s="638">
        <f t="shared" si="22"/>
        <v>2217.1331365750602</v>
      </c>
      <c r="K81" s="638">
        <f t="shared" si="14"/>
        <v>3063.2210762072718</v>
      </c>
    </row>
    <row r="82" spans="1:11">
      <c r="A82">
        <f t="shared" si="15"/>
        <v>2014</v>
      </c>
      <c r="B82" s="641">
        <f t="shared" si="23"/>
        <v>23033.870342407608</v>
      </c>
      <c r="C82" s="638">
        <f t="shared" si="16"/>
        <v>4538.29035632056</v>
      </c>
      <c r="D82" s="638">
        <f t="shared" si="17"/>
        <v>2015.4636549606655</v>
      </c>
      <c r="E82" s="638">
        <f t="shared" si="18"/>
        <v>2522.8267013598943</v>
      </c>
      <c r="G82">
        <f t="shared" si="19"/>
        <v>2016</v>
      </c>
      <c r="H82" s="641">
        <f t="shared" si="20"/>
        <v>20275.0224666881</v>
      </c>
      <c r="I82" s="638">
        <f t="shared" si="21"/>
        <v>5280.3542127823321</v>
      </c>
      <c r="J82" s="638">
        <f t="shared" si="22"/>
        <v>1926.1271343353696</v>
      </c>
      <c r="K82" s="638">
        <f t="shared" si="14"/>
        <v>3354.2270784469624</v>
      </c>
    </row>
    <row r="83" spans="1:11">
      <c r="A83">
        <f t="shared" si="15"/>
        <v>2015</v>
      </c>
      <c r="B83" s="641">
        <f t="shared" si="23"/>
        <v>20511.043641047712</v>
      </c>
      <c r="C83" s="638">
        <f t="shared" si="16"/>
        <v>4538.29035632056</v>
      </c>
      <c r="D83" s="638">
        <f t="shared" si="17"/>
        <v>1794.7163185916747</v>
      </c>
      <c r="E83" s="638">
        <f t="shared" si="18"/>
        <v>2743.5740377288853</v>
      </c>
      <c r="G83">
        <f t="shared" si="19"/>
        <v>2017</v>
      </c>
      <c r="H83" s="641">
        <f t="shared" si="20"/>
        <v>16920.795388241138</v>
      </c>
      <c r="I83" s="638">
        <f t="shared" si="21"/>
        <v>5280.3542127823321</v>
      </c>
      <c r="J83" s="638">
        <f t="shared" si="22"/>
        <v>1607.4755618829081</v>
      </c>
      <c r="K83" s="638">
        <f t="shared" si="14"/>
        <v>3672.878650899424</v>
      </c>
    </row>
    <row r="84" spans="1:11">
      <c r="A84">
        <f t="shared" si="15"/>
        <v>2016</v>
      </c>
      <c r="B84" s="641">
        <f t="shared" si="23"/>
        <v>17767.469603318827</v>
      </c>
      <c r="C84" s="638">
        <f t="shared" si="16"/>
        <v>4538.29035632056</v>
      </c>
      <c r="D84" s="638">
        <f t="shared" si="17"/>
        <v>1554.6535902903972</v>
      </c>
      <c r="E84" s="638">
        <f t="shared" si="18"/>
        <v>2983.636766030163</v>
      </c>
      <c r="G84">
        <f t="shared" si="19"/>
        <v>2018</v>
      </c>
      <c r="H84" s="641">
        <f t="shared" si="20"/>
        <v>13247.916737341715</v>
      </c>
      <c r="I84" s="638">
        <f t="shared" si="21"/>
        <v>5280.3542127823321</v>
      </c>
      <c r="J84" s="638">
        <f t="shared" si="22"/>
        <v>1258.552090047463</v>
      </c>
      <c r="K84" s="638">
        <f t="shared" si="14"/>
        <v>4021.802122734869</v>
      </c>
    </row>
    <row r="85" spans="1:11">
      <c r="A85">
        <f t="shared" si="15"/>
        <v>2017</v>
      </c>
      <c r="B85" s="641">
        <f t="shared" si="23"/>
        <v>14783.832837288664</v>
      </c>
      <c r="C85" s="638">
        <f t="shared" si="16"/>
        <v>4538.29035632056</v>
      </c>
      <c r="D85" s="638">
        <f t="shared" si="17"/>
        <v>1293.5853732627581</v>
      </c>
      <c r="E85" s="638">
        <f t="shared" si="18"/>
        <v>3244.7049830578017</v>
      </c>
      <c r="G85">
        <f t="shared" si="19"/>
        <v>2019</v>
      </c>
      <c r="H85" s="641">
        <f t="shared" si="20"/>
        <v>9226.1146146068459</v>
      </c>
      <c r="I85" s="638">
        <f t="shared" si="21"/>
        <v>5280.3542127823321</v>
      </c>
      <c r="J85" s="638">
        <f t="shared" si="22"/>
        <v>876.48088838765034</v>
      </c>
      <c r="K85" s="638">
        <f t="shared" si="14"/>
        <v>4403.8733243946817</v>
      </c>
    </row>
    <row r="86" spans="1:11">
      <c r="A86">
        <f t="shared" si="15"/>
        <v>2018</v>
      </c>
      <c r="B86" s="641">
        <f t="shared" si="23"/>
        <v>11539.127854230863</v>
      </c>
      <c r="C86" s="638">
        <f t="shared" si="16"/>
        <v>4538.29035632056</v>
      </c>
      <c r="D86" s="638">
        <f t="shared" si="17"/>
        <v>1009.6736872452004</v>
      </c>
      <c r="E86" s="638">
        <f t="shared" si="18"/>
        <v>3528.6166690753598</v>
      </c>
      <c r="G86">
        <f t="shared" si="19"/>
        <v>2020</v>
      </c>
      <c r="H86" s="641">
        <f t="shared" si="20"/>
        <v>4822.2412902121641</v>
      </c>
      <c r="I86" s="638">
        <f t="shared" si="21"/>
        <v>5280.3542127823321</v>
      </c>
      <c r="J86" s="638">
        <f t="shared" si="22"/>
        <v>458.1129225701556</v>
      </c>
      <c r="K86" s="638">
        <f t="shared" si="14"/>
        <v>4822.2412902121769</v>
      </c>
    </row>
    <row r="87" spans="1:11">
      <c r="A87">
        <f t="shared" si="15"/>
        <v>2019</v>
      </c>
      <c r="B87" s="641">
        <f t="shared" si="23"/>
        <v>8010.511185155503</v>
      </c>
      <c r="C87" s="638">
        <f t="shared" si="16"/>
        <v>4538.29035632056</v>
      </c>
      <c r="D87" s="638">
        <f t="shared" si="17"/>
        <v>700.91972870110646</v>
      </c>
      <c r="E87" s="638">
        <f t="shared" si="18"/>
        <v>3837.3706276194534</v>
      </c>
    </row>
    <row r="88" spans="1:11">
      <c r="A88">
        <f t="shared" si="15"/>
        <v>2020</v>
      </c>
      <c r="B88" s="641">
        <f t="shared" si="23"/>
        <v>4173.1405575360495</v>
      </c>
      <c r="C88" s="638">
        <f t="shared" si="16"/>
        <v>4538.29035632056</v>
      </c>
      <c r="D88" s="638">
        <f t="shared" si="17"/>
        <v>365.14979878440431</v>
      </c>
      <c r="E88" s="638">
        <f t="shared" si="18"/>
        <v>4173.1405575361559</v>
      </c>
    </row>
    <row r="89" spans="1:11">
      <c r="B89" s="641"/>
      <c r="C89" s="638"/>
      <c r="D89" s="638"/>
      <c r="E89" s="638"/>
    </row>
  </sheetData>
  <mergeCells count="7">
    <mergeCell ref="L14:O14"/>
    <mergeCell ref="B72:E72"/>
    <mergeCell ref="B33:E33"/>
    <mergeCell ref="H72:K72"/>
    <mergeCell ref="B14:E14"/>
    <mergeCell ref="G14:J14"/>
    <mergeCell ref="K25:O25"/>
  </mergeCells>
  <pageMargins left="0.75" right="0.75" top="1" bottom="1" header="0.5" footer="0.5"/>
  <pageSetup scale="53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P16" sqref="P16"/>
    </sheetView>
  </sheetViews>
  <sheetFormatPr defaultRowHeight="12.75"/>
  <cols>
    <col min="1" max="1" width="5" style="540" customWidth="1"/>
    <col min="2" max="2" width="44.85546875" style="540" customWidth="1"/>
    <col min="3" max="3" width="9.140625" style="540"/>
    <col min="4" max="4" width="9.5703125" style="540" customWidth="1"/>
    <col min="5" max="5" width="9.140625" style="540"/>
    <col min="6" max="6" width="4.28515625" style="540" customWidth="1"/>
    <col min="7" max="9" width="9.140625" style="540"/>
    <col min="10" max="10" width="4.28515625" style="540" customWidth="1"/>
    <col min="11" max="16384" width="9.140625" style="540"/>
  </cols>
  <sheetData>
    <row r="1" spans="1:14">
      <c r="A1" s="539" t="s">
        <v>437</v>
      </c>
      <c r="C1" s="541" t="s">
        <v>438</v>
      </c>
      <c r="D1" s="542"/>
      <c r="E1" s="542"/>
      <c r="F1" s="542"/>
      <c r="G1" s="542"/>
      <c r="H1" s="542"/>
      <c r="I1" s="542"/>
      <c r="J1" s="542"/>
      <c r="K1" s="542"/>
      <c r="L1" s="542"/>
      <c r="M1" s="542"/>
    </row>
    <row r="2" spans="1:14">
      <c r="A2" s="539" t="s">
        <v>439</v>
      </c>
      <c r="C2" s="541" t="s">
        <v>440</v>
      </c>
      <c r="D2" s="542"/>
      <c r="E2" s="542"/>
      <c r="F2" s="542"/>
      <c r="G2" s="542"/>
      <c r="H2" s="542"/>
      <c r="I2" s="542"/>
      <c r="J2" s="542"/>
      <c r="K2" s="542"/>
      <c r="L2" s="542"/>
      <c r="M2" s="542"/>
    </row>
    <row r="3" spans="1:14">
      <c r="A3" s="539" t="s">
        <v>441</v>
      </c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3"/>
    </row>
    <row r="4" spans="1:14" ht="23.25">
      <c r="C4" s="544" t="s">
        <v>480</v>
      </c>
      <c r="D4" s="545"/>
      <c r="E4" s="545"/>
      <c r="F4" s="546"/>
      <c r="G4" s="544" t="s">
        <v>481</v>
      </c>
      <c r="H4" s="547"/>
      <c r="I4" s="547"/>
      <c r="J4" s="542"/>
      <c r="K4" s="544" t="s">
        <v>482</v>
      </c>
      <c r="L4" s="547"/>
      <c r="M4" s="547"/>
    </row>
    <row r="5" spans="1:14">
      <c r="C5" s="548" t="s">
        <v>442</v>
      </c>
      <c r="D5" s="549" t="s">
        <v>443</v>
      </c>
      <c r="E5" s="550" t="s">
        <v>444</v>
      </c>
      <c r="F5" s="551"/>
      <c r="G5" s="552" t="s">
        <v>442</v>
      </c>
      <c r="H5" s="549" t="s">
        <v>443</v>
      </c>
      <c r="I5" s="549" t="s">
        <v>444</v>
      </c>
      <c r="J5" s="553"/>
      <c r="K5" s="549" t="s">
        <v>442</v>
      </c>
      <c r="L5" s="549" t="s">
        <v>443</v>
      </c>
      <c r="M5" s="549" t="s">
        <v>444</v>
      </c>
    </row>
    <row r="6" spans="1:14">
      <c r="C6" s="554"/>
      <c r="D6" s="554"/>
      <c r="E6" s="554"/>
      <c r="F6" s="554"/>
      <c r="G6" s="554"/>
      <c r="H6" s="554"/>
      <c r="I6" s="554"/>
      <c r="J6" s="553"/>
      <c r="K6" s="554"/>
      <c r="L6" s="554"/>
      <c r="M6" s="554"/>
    </row>
    <row r="7" spans="1:14">
      <c r="C7" s="541" t="s">
        <v>445</v>
      </c>
      <c r="D7" s="541"/>
      <c r="E7" s="542"/>
      <c r="F7" s="542"/>
      <c r="G7" s="542"/>
      <c r="H7" s="542"/>
      <c r="I7" s="542"/>
      <c r="J7" s="555"/>
      <c r="K7" s="542"/>
      <c r="L7" s="542"/>
      <c r="M7" s="542"/>
    </row>
    <row r="8" spans="1:14">
      <c r="A8" s="543" t="s">
        <v>446</v>
      </c>
      <c r="C8" s="549" t="s">
        <v>447</v>
      </c>
      <c r="D8" s="549">
        <v>48.76</v>
      </c>
      <c r="E8" s="549">
        <v>48.76</v>
      </c>
      <c r="F8" s="551"/>
      <c r="G8" s="549">
        <v>44.28</v>
      </c>
      <c r="H8" s="549">
        <v>46.13</v>
      </c>
      <c r="I8" s="549">
        <v>47.35</v>
      </c>
      <c r="J8" s="553"/>
      <c r="K8" s="549">
        <v>44.32</v>
      </c>
      <c r="L8" s="549">
        <v>46.04</v>
      </c>
      <c r="M8" s="549">
        <v>47.25</v>
      </c>
    </row>
    <row r="9" spans="1:14">
      <c r="A9" s="543" t="s">
        <v>448</v>
      </c>
      <c r="C9" s="549" t="s">
        <v>449</v>
      </c>
      <c r="D9" s="549">
        <v>8338</v>
      </c>
      <c r="E9" s="549">
        <v>8338</v>
      </c>
      <c r="F9" s="551"/>
      <c r="G9" s="549">
        <v>8261</v>
      </c>
      <c r="H9" s="549">
        <v>8557</v>
      </c>
      <c r="I9" s="549">
        <v>7934</v>
      </c>
      <c r="J9" s="553"/>
      <c r="K9" s="549">
        <v>8260</v>
      </c>
      <c r="L9" s="549">
        <v>8555</v>
      </c>
      <c r="M9" s="549">
        <v>7938</v>
      </c>
    </row>
    <row r="10" spans="1:14" ht="14.25">
      <c r="A10" s="543" t="s">
        <v>483</v>
      </c>
      <c r="C10" s="556" t="s">
        <v>447</v>
      </c>
      <c r="D10" s="557">
        <v>9264.4351799999986</v>
      </c>
      <c r="E10" s="557">
        <v>9264.4351799999986</v>
      </c>
      <c r="F10" s="551"/>
      <c r="G10" s="557">
        <v>9178.8797099999992</v>
      </c>
      <c r="H10" s="557">
        <v>9507.7682699999987</v>
      </c>
      <c r="I10" s="557">
        <v>8815.5467399999998</v>
      </c>
      <c r="J10" s="553"/>
      <c r="K10" s="557">
        <v>9177.7685999999994</v>
      </c>
      <c r="L10" s="557">
        <v>9505.5460500000008</v>
      </c>
      <c r="M10" s="557">
        <v>8819.9911799999991</v>
      </c>
    </row>
    <row r="11" spans="1:14">
      <c r="A11" s="543" t="s">
        <v>450</v>
      </c>
      <c r="C11" s="556"/>
      <c r="D11" s="557" t="s">
        <v>451</v>
      </c>
      <c r="E11" s="557">
        <v>10132.164876472518</v>
      </c>
      <c r="F11" s="551"/>
      <c r="G11" s="557" t="s">
        <v>451</v>
      </c>
      <c r="H11" s="557" t="s">
        <v>451</v>
      </c>
      <c r="I11" s="557">
        <v>9665.9845224709607</v>
      </c>
      <c r="J11" s="553"/>
      <c r="K11" s="557" t="s">
        <v>451</v>
      </c>
      <c r="L11" s="557" t="s">
        <v>451</v>
      </c>
      <c r="M11" s="557">
        <v>9664.0761323809511</v>
      </c>
    </row>
    <row r="12" spans="1:14">
      <c r="A12" s="543" t="s">
        <v>452</v>
      </c>
      <c r="C12" s="556"/>
      <c r="D12" s="556">
        <v>406.56088</v>
      </c>
      <c r="E12" s="556">
        <v>406.56088</v>
      </c>
      <c r="F12" s="558"/>
      <c r="G12" s="556">
        <v>365.79707999999999</v>
      </c>
      <c r="H12" s="556">
        <v>394.73441000000003</v>
      </c>
      <c r="I12" s="556">
        <v>375.67490000000004</v>
      </c>
      <c r="J12" s="559"/>
      <c r="K12" s="556">
        <v>366.08320000000003</v>
      </c>
      <c r="L12" s="556">
        <v>393.87220000000002</v>
      </c>
      <c r="M12" s="556">
        <v>375.07049999999998</v>
      </c>
    </row>
    <row r="13" spans="1:14">
      <c r="A13" s="543" t="s">
        <v>453</v>
      </c>
      <c r="C13" s="556"/>
      <c r="D13" s="556">
        <v>451.28257680000002</v>
      </c>
      <c r="E13" s="556">
        <v>451.28257680000002</v>
      </c>
      <c r="F13" s="558"/>
      <c r="G13" s="556">
        <v>406.03475880000002</v>
      </c>
      <c r="H13" s="556">
        <v>438.15519510000007</v>
      </c>
      <c r="I13" s="556">
        <v>416.99913900000007</v>
      </c>
      <c r="J13" s="559"/>
      <c r="K13" s="556">
        <v>406.35235200000005</v>
      </c>
      <c r="L13" s="556">
        <v>437.19814200000008</v>
      </c>
      <c r="M13" s="556">
        <v>416.32825500000001</v>
      </c>
    </row>
    <row r="14" spans="1:14">
      <c r="A14" s="543" t="s">
        <v>454</v>
      </c>
      <c r="C14" s="549" t="s">
        <v>455</v>
      </c>
      <c r="D14" s="549">
        <v>0</v>
      </c>
      <c r="E14" s="549">
        <v>0</v>
      </c>
      <c r="F14" s="551"/>
      <c r="G14" s="549">
        <v>210</v>
      </c>
      <c r="H14" s="549">
        <v>208</v>
      </c>
      <c r="I14" s="549">
        <v>212</v>
      </c>
      <c r="J14" s="553"/>
      <c r="K14" s="549">
        <v>1892</v>
      </c>
      <c r="L14" s="549">
        <v>1590</v>
      </c>
      <c r="M14" s="549">
        <v>1905</v>
      </c>
    </row>
    <row r="15" spans="1:14">
      <c r="A15" s="543" t="s">
        <v>456</v>
      </c>
      <c r="C15" s="549" t="s">
        <v>457</v>
      </c>
      <c r="D15" s="549">
        <v>20548</v>
      </c>
      <c r="E15" s="549">
        <v>0</v>
      </c>
      <c r="F15" s="551"/>
      <c r="G15" s="549">
        <v>0</v>
      </c>
      <c r="H15" s="549">
        <v>20835</v>
      </c>
      <c r="I15" s="549">
        <v>0</v>
      </c>
      <c r="J15" s="553"/>
      <c r="K15" s="549">
        <v>0</v>
      </c>
      <c r="L15" s="549">
        <v>20593</v>
      </c>
      <c r="M15" s="549">
        <v>0</v>
      </c>
    </row>
    <row r="16" spans="1:14">
      <c r="A16" s="543" t="s">
        <v>458</v>
      </c>
      <c r="C16" s="549" t="s">
        <v>459</v>
      </c>
      <c r="D16" s="549">
        <v>0</v>
      </c>
      <c r="E16" s="549">
        <v>33500</v>
      </c>
      <c r="F16" s="560"/>
      <c r="G16" s="549">
        <v>0</v>
      </c>
      <c r="H16" s="549">
        <v>0</v>
      </c>
      <c r="I16" s="549">
        <v>31883</v>
      </c>
      <c r="J16" s="553"/>
      <c r="K16" s="549">
        <v>0</v>
      </c>
      <c r="L16" s="549">
        <v>0</v>
      </c>
      <c r="M16" s="549">
        <v>31578</v>
      </c>
    </row>
    <row r="17" spans="1:14">
      <c r="A17" s="540" t="s">
        <v>460</v>
      </c>
      <c r="B17" s="543"/>
      <c r="C17" s="549" t="s">
        <v>461</v>
      </c>
      <c r="D17" s="549">
        <v>0</v>
      </c>
      <c r="E17" s="549">
        <v>0</v>
      </c>
      <c r="F17" s="551"/>
      <c r="G17" s="549">
        <v>0</v>
      </c>
      <c r="H17" s="549">
        <v>2445</v>
      </c>
      <c r="I17" s="549">
        <v>2445</v>
      </c>
      <c r="J17" s="553"/>
      <c r="K17" s="549">
        <v>0</v>
      </c>
      <c r="L17" s="549">
        <v>2445</v>
      </c>
      <c r="M17" s="549">
        <v>2445</v>
      </c>
    </row>
    <row r="18" spans="1:14" ht="14.25">
      <c r="A18" s="540" t="s">
        <v>484</v>
      </c>
      <c r="B18" s="543"/>
      <c r="C18" s="556"/>
      <c r="D18" s="549">
        <v>1200</v>
      </c>
      <c r="E18" s="549">
        <v>1200</v>
      </c>
      <c r="F18" s="551"/>
      <c r="G18" s="549">
        <v>1200</v>
      </c>
      <c r="H18" s="549">
        <v>1200</v>
      </c>
      <c r="I18" s="549">
        <v>1200</v>
      </c>
      <c r="J18" s="553"/>
      <c r="K18" s="549">
        <v>1200</v>
      </c>
      <c r="L18" s="549">
        <v>1200</v>
      </c>
      <c r="M18" s="549">
        <v>1200</v>
      </c>
    </row>
    <row r="19" spans="1:14">
      <c r="A19" s="540" t="s">
        <v>462</v>
      </c>
      <c r="B19" s="543"/>
      <c r="C19" s="549"/>
      <c r="D19" s="549">
        <v>0</v>
      </c>
      <c r="E19" s="549">
        <v>0</v>
      </c>
      <c r="F19" s="561"/>
      <c r="G19" s="549">
        <v>272</v>
      </c>
      <c r="H19" s="557">
        <v>270.60000000000002</v>
      </c>
      <c r="I19" s="557">
        <v>273.39999999999998</v>
      </c>
      <c r="J19" s="562"/>
      <c r="K19" s="557">
        <v>1449.4</v>
      </c>
      <c r="L19" s="549">
        <v>1238</v>
      </c>
      <c r="M19" s="557">
        <v>1458.5</v>
      </c>
    </row>
    <row r="20" spans="1:14">
      <c r="A20" s="540" t="s">
        <v>463</v>
      </c>
      <c r="B20" s="543"/>
      <c r="C20" s="549" t="s">
        <v>464</v>
      </c>
      <c r="D20" s="549">
        <v>47.56</v>
      </c>
      <c r="E20" s="549">
        <v>47.56</v>
      </c>
      <c r="F20" s="558"/>
      <c r="G20" s="549">
        <v>42.808</v>
      </c>
      <c r="H20" s="556">
        <v>44.659400000000005</v>
      </c>
      <c r="I20" s="556">
        <v>45.876600000000003</v>
      </c>
      <c r="J20" s="559"/>
      <c r="K20" s="556">
        <v>41.6706</v>
      </c>
      <c r="L20" s="556">
        <v>43.601999999999997</v>
      </c>
      <c r="M20" s="556">
        <v>44.591499999999996</v>
      </c>
    </row>
    <row r="21" spans="1:14">
      <c r="B21" s="543"/>
      <c r="C21" s="543"/>
      <c r="D21" s="543"/>
      <c r="E21" s="554"/>
      <c r="F21" s="553"/>
      <c r="G21" s="554"/>
      <c r="H21" s="554"/>
      <c r="I21" s="554"/>
      <c r="J21" s="553"/>
      <c r="K21" s="554"/>
      <c r="L21" s="554"/>
      <c r="M21" s="554"/>
    </row>
    <row r="22" spans="1:14">
      <c r="C22" s="541"/>
      <c r="D22" s="542"/>
      <c r="E22" s="542"/>
      <c r="F22" s="555"/>
      <c r="G22" s="542"/>
      <c r="H22" s="542"/>
      <c r="I22" s="542"/>
      <c r="J22" s="555"/>
      <c r="K22" s="542"/>
      <c r="L22" s="542"/>
      <c r="M22" s="542"/>
    </row>
    <row r="23" spans="1:14">
      <c r="A23" s="543" t="s">
        <v>465</v>
      </c>
      <c r="C23" s="549">
        <v>2</v>
      </c>
      <c r="D23" s="549">
        <v>25</v>
      </c>
      <c r="E23" s="549">
        <v>25</v>
      </c>
      <c r="F23" s="551"/>
      <c r="G23" s="549">
        <v>25</v>
      </c>
      <c r="H23" s="549">
        <v>25</v>
      </c>
      <c r="I23" s="557">
        <v>25</v>
      </c>
      <c r="J23" s="553"/>
      <c r="K23" s="549">
        <v>25</v>
      </c>
      <c r="L23" s="557">
        <v>25</v>
      </c>
      <c r="M23" s="549">
        <v>25</v>
      </c>
    </row>
    <row r="24" spans="1:14">
      <c r="A24" s="543" t="s">
        <v>466</v>
      </c>
      <c r="C24" s="549">
        <v>0</v>
      </c>
      <c r="D24" s="549">
        <v>41</v>
      </c>
      <c r="E24" s="549">
        <v>41</v>
      </c>
      <c r="F24" s="551"/>
      <c r="G24" s="549">
        <v>37</v>
      </c>
      <c r="H24" s="549">
        <v>40</v>
      </c>
      <c r="I24" s="557">
        <v>38</v>
      </c>
      <c r="J24" s="553"/>
      <c r="K24" s="549">
        <v>37</v>
      </c>
      <c r="L24" s="557">
        <v>40</v>
      </c>
      <c r="M24" s="549">
        <v>38</v>
      </c>
    </row>
    <row r="25" spans="1:14" ht="14.25">
      <c r="A25" s="540" t="s">
        <v>467</v>
      </c>
      <c r="C25" s="563" t="s">
        <v>468</v>
      </c>
      <c r="D25" s="549">
        <v>80</v>
      </c>
      <c r="E25" s="549">
        <v>80</v>
      </c>
      <c r="F25" s="551"/>
      <c r="G25" s="549">
        <v>25</v>
      </c>
      <c r="H25" s="549">
        <v>29</v>
      </c>
      <c r="I25" s="557">
        <v>23</v>
      </c>
      <c r="J25" s="553"/>
      <c r="K25" s="549">
        <v>25</v>
      </c>
      <c r="L25" s="557">
        <v>28</v>
      </c>
      <c r="M25" s="549">
        <v>23</v>
      </c>
    </row>
    <row r="26" spans="1:14">
      <c r="A26" s="540" t="s">
        <v>469</v>
      </c>
      <c r="C26" s="549"/>
      <c r="D26" s="549">
        <v>80</v>
      </c>
      <c r="E26" s="549">
        <v>80</v>
      </c>
      <c r="F26" s="551"/>
      <c r="G26" s="549">
        <v>22</v>
      </c>
      <c r="H26" s="549">
        <v>28</v>
      </c>
      <c r="I26" s="557">
        <v>22</v>
      </c>
      <c r="J26" s="553"/>
      <c r="K26" s="549">
        <v>22</v>
      </c>
      <c r="L26" s="557">
        <v>27</v>
      </c>
      <c r="M26" s="549">
        <v>21</v>
      </c>
    </row>
    <row r="27" spans="1:14">
      <c r="B27" s="543"/>
      <c r="C27" s="543"/>
      <c r="D27" s="543"/>
      <c r="G27" s="554"/>
      <c r="H27" s="554"/>
      <c r="K27" s="554"/>
      <c r="L27" s="554"/>
      <c r="M27" s="554"/>
      <c r="N27" s="554"/>
    </row>
    <row r="28" spans="1:14">
      <c r="B28" s="543"/>
      <c r="C28" s="543"/>
      <c r="D28" s="543"/>
      <c r="E28" s="554"/>
      <c r="F28" s="554"/>
      <c r="G28" s="554"/>
      <c r="H28" s="554"/>
      <c r="K28" s="554"/>
      <c r="L28" s="554"/>
      <c r="M28" s="554"/>
      <c r="N28" s="554"/>
    </row>
    <row r="29" spans="1:14">
      <c r="G29" s="554"/>
      <c r="H29" s="554"/>
      <c r="K29" s="554"/>
      <c r="L29" s="554"/>
      <c r="M29" s="554"/>
      <c r="N29" s="554"/>
    </row>
    <row r="30" spans="1:14">
      <c r="E30" s="554"/>
      <c r="F30" s="554"/>
      <c r="G30" s="554"/>
      <c r="H30" s="554"/>
      <c r="K30" s="554"/>
      <c r="L30" s="554"/>
      <c r="M30" s="554"/>
      <c r="N30" s="554"/>
    </row>
    <row r="31" spans="1:14">
      <c r="A31" s="543" t="s">
        <v>470</v>
      </c>
      <c r="C31" s="554"/>
      <c r="D31" s="554">
        <v>2</v>
      </c>
      <c r="E31" s="554">
        <v>2</v>
      </c>
      <c r="F31" s="554"/>
      <c r="G31" s="554">
        <v>2</v>
      </c>
      <c r="H31" s="554">
        <v>2</v>
      </c>
      <c r="I31" s="554">
        <v>2</v>
      </c>
      <c r="J31" s="554"/>
      <c r="K31" s="554">
        <v>2</v>
      </c>
      <c r="L31" s="554">
        <v>2</v>
      </c>
      <c r="M31" s="554">
        <v>2</v>
      </c>
    </row>
    <row r="32" spans="1:14">
      <c r="A32" s="543" t="s">
        <v>471</v>
      </c>
      <c r="C32" s="564"/>
      <c r="D32" s="564">
        <v>0.92</v>
      </c>
      <c r="E32" s="564">
        <v>0.92</v>
      </c>
      <c r="F32" s="564"/>
      <c r="G32" s="564">
        <v>0.92</v>
      </c>
      <c r="H32" s="564">
        <v>0.92</v>
      </c>
      <c r="I32" s="564">
        <v>0.92</v>
      </c>
      <c r="J32" s="564"/>
      <c r="K32" s="564">
        <v>0.92</v>
      </c>
      <c r="L32" s="564">
        <v>0.92</v>
      </c>
      <c r="M32" s="564">
        <v>0.92</v>
      </c>
    </row>
    <row r="33" spans="1:13">
      <c r="A33" s="543" t="s">
        <v>472</v>
      </c>
      <c r="C33" s="565"/>
      <c r="D33" s="565">
        <v>7.372920096852302E-3</v>
      </c>
      <c r="E33" s="565">
        <v>7.372920096852302E-3</v>
      </c>
      <c r="F33" s="565"/>
      <c r="G33" s="565">
        <v>7.372920096852302E-3</v>
      </c>
      <c r="H33" s="565">
        <v>7.372920096852302E-3</v>
      </c>
      <c r="I33" s="565">
        <v>7.372920096852302E-3</v>
      </c>
      <c r="J33" s="565"/>
      <c r="K33" s="565">
        <v>7.372920096852302E-3</v>
      </c>
      <c r="L33" s="565">
        <v>7.372920096852302E-3</v>
      </c>
      <c r="M33" s="565">
        <v>7.372920096852302E-3</v>
      </c>
    </row>
    <row r="34" spans="1:13">
      <c r="A34" s="543" t="s">
        <v>473</v>
      </c>
      <c r="C34" s="566"/>
      <c r="D34" s="566">
        <v>2.9936618331770974</v>
      </c>
      <c r="E34" s="566">
        <v>2.9960034224640011</v>
      </c>
      <c r="F34" s="566"/>
      <c r="G34" s="566">
        <v>3.3272703798480125</v>
      </c>
      <c r="H34" s="566">
        <v>3.230483243493032</v>
      </c>
      <c r="I34" s="566">
        <v>3.2234269674582872</v>
      </c>
      <c r="J34" s="566"/>
      <c r="K34" s="566">
        <v>3.3272703798480125</v>
      </c>
      <c r="L34" s="566">
        <v>3.0745013323032069</v>
      </c>
      <c r="M34" s="566">
        <v>3.0695549581769499</v>
      </c>
    </row>
    <row r="35" spans="1:13">
      <c r="A35" s="543" t="s">
        <v>474</v>
      </c>
      <c r="C35" s="554"/>
      <c r="D35" s="564">
        <v>0.9</v>
      </c>
      <c r="E35" s="564">
        <v>0.9</v>
      </c>
      <c r="F35" s="554"/>
      <c r="G35" s="564">
        <v>0.9</v>
      </c>
      <c r="H35" s="564">
        <v>0.9</v>
      </c>
      <c r="I35" s="564">
        <v>0.9</v>
      </c>
      <c r="J35" s="554"/>
      <c r="K35" s="564">
        <v>0.9</v>
      </c>
      <c r="L35" s="564">
        <v>0.9</v>
      </c>
      <c r="M35" s="564">
        <v>0.9</v>
      </c>
    </row>
    <row r="36" spans="1:13">
      <c r="A36" s="543" t="s">
        <v>475</v>
      </c>
      <c r="C36" s="564"/>
      <c r="D36" s="567">
        <v>8</v>
      </c>
      <c r="E36" s="567">
        <v>8</v>
      </c>
      <c r="F36" s="564"/>
      <c r="G36" s="567">
        <v>2.5</v>
      </c>
      <c r="H36" s="567">
        <v>2.9</v>
      </c>
      <c r="I36" s="567">
        <v>2.2999999999999998</v>
      </c>
      <c r="J36" s="564"/>
      <c r="K36" s="567">
        <v>2.5</v>
      </c>
      <c r="L36" s="567">
        <v>2.8</v>
      </c>
      <c r="M36" s="567">
        <v>2.2999999999999998</v>
      </c>
    </row>
    <row r="39" spans="1:13">
      <c r="A39" s="540" t="s">
        <v>476</v>
      </c>
    </row>
    <row r="40" spans="1:13">
      <c r="A40" s="540">
        <v>1</v>
      </c>
      <c r="B40" s="540" t="s">
        <v>477</v>
      </c>
    </row>
    <row r="41" spans="1:13">
      <c r="A41" s="540">
        <v>2</v>
      </c>
      <c r="B41" s="540" t="s">
        <v>478</v>
      </c>
    </row>
    <row r="42" spans="1:13">
      <c r="A42" s="540">
        <v>3</v>
      </c>
      <c r="B42" s="540" t="s">
        <v>479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7" sqref="B17"/>
    </sheetView>
  </sheetViews>
  <sheetFormatPr defaultRowHeight="12.75"/>
  <cols>
    <col min="1" max="1" width="58.85546875" style="540" customWidth="1"/>
    <col min="2" max="2" width="19.85546875" style="540" customWidth="1"/>
    <col min="3" max="3" width="23.7109375" style="540" customWidth="1"/>
    <col min="4" max="4" width="24.28515625" style="540" customWidth="1"/>
    <col min="5" max="16384" width="9.140625" style="540"/>
  </cols>
  <sheetData>
    <row r="1" spans="1:11">
      <c r="A1" s="539" t="s">
        <v>437</v>
      </c>
    </row>
    <row r="2" spans="1:11">
      <c r="A2" s="539" t="s">
        <v>485</v>
      </c>
    </row>
    <row r="3" spans="1:11">
      <c r="A3" s="539" t="s">
        <v>441</v>
      </c>
      <c r="B3" s="541" t="s">
        <v>486</v>
      </c>
      <c r="C3" s="542"/>
      <c r="D3" s="542"/>
    </row>
    <row r="4" spans="1:11">
      <c r="C4" s="542"/>
      <c r="D4" s="541"/>
      <c r="F4" s="541"/>
      <c r="G4" s="541"/>
      <c r="H4" s="541"/>
      <c r="I4" s="541"/>
      <c r="J4" s="541"/>
      <c r="K4" s="541"/>
    </row>
    <row r="5" spans="1:11" ht="14.25">
      <c r="A5" s="568"/>
      <c r="B5" s="569" t="s">
        <v>487</v>
      </c>
      <c r="C5" s="549" t="s">
        <v>488</v>
      </c>
      <c r="D5" s="570" t="s">
        <v>499</v>
      </c>
      <c r="E5" s="542"/>
      <c r="G5" s="542"/>
      <c r="H5" s="542"/>
      <c r="J5" s="542"/>
      <c r="K5" s="542"/>
    </row>
    <row r="6" spans="1:11">
      <c r="A6" s="568"/>
      <c r="B6" s="569" t="s">
        <v>489</v>
      </c>
      <c r="C6" s="549" t="s">
        <v>489</v>
      </c>
      <c r="D6" s="549" t="s">
        <v>489</v>
      </c>
      <c r="E6" s="542"/>
      <c r="G6" s="542"/>
      <c r="H6" s="542"/>
      <c r="J6" s="542"/>
      <c r="K6" s="542"/>
    </row>
    <row r="7" spans="1:11" ht="14.25">
      <c r="A7" s="568" t="s">
        <v>500</v>
      </c>
      <c r="B7" s="571">
        <v>121000.00084071576</v>
      </c>
      <c r="C7" s="572">
        <v>0</v>
      </c>
      <c r="D7" s="572">
        <v>0</v>
      </c>
      <c r="E7" s="554"/>
      <c r="F7" s="554"/>
      <c r="G7" s="554"/>
      <c r="H7" s="554"/>
      <c r="I7" s="554"/>
      <c r="J7" s="554"/>
      <c r="K7" s="554"/>
    </row>
    <row r="8" spans="1:11" ht="14.25">
      <c r="A8" s="568" t="s">
        <v>501</v>
      </c>
      <c r="B8" s="572">
        <v>108705</v>
      </c>
      <c r="C8" s="572">
        <v>92850</v>
      </c>
      <c r="D8" s="572">
        <v>109387.5</v>
      </c>
    </row>
    <row r="9" spans="1:11" ht="14.25">
      <c r="A9" s="568" t="s">
        <v>502</v>
      </c>
      <c r="B9" s="572">
        <v>0</v>
      </c>
      <c r="C9" s="573">
        <v>1377.7574999999999</v>
      </c>
      <c r="D9" s="573">
        <v>1377.7574999999999</v>
      </c>
    </row>
    <row r="10" spans="1:11" ht="14.25">
      <c r="A10" s="568" t="s">
        <v>503</v>
      </c>
      <c r="B10" s="572">
        <v>0</v>
      </c>
      <c r="C10" s="573">
        <v>11740.522499999999</v>
      </c>
      <c r="D10" s="572">
        <v>0</v>
      </c>
    </row>
    <row r="11" spans="1:11" ht="14.25">
      <c r="A11" s="568" t="s">
        <v>504</v>
      </c>
      <c r="B11" s="572">
        <v>0</v>
      </c>
      <c r="C11" s="572">
        <v>0</v>
      </c>
      <c r="D11" s="573">
        <v>358947.12600000005</v>
      </c>
    </row>
    <row r="12" spans="1:11">
      <c r="A12" s="568" t="s">
        <v>245</v>
      </c>
      <c r="B12" s="574">
        <v>264650</v>
      </c>
      <c r="C12" s="574">
        <v>224871.09768378653</v>
      </c>
      <c r="D12" s="574">
        <v>231000</v>
      </c>
    </row>
    <row r="13" spans="1:11">
      <c r="A13" s="575" t="s">
        <v>490</v>
      </c>
      <c r="B13" s="571">
        <v>0</v>
      </c>
      <c r="C13" s="571">
        <v>22000.00015285741</v>
      </c>
      <c r="D13" s="571">
        <v>22000.00015285741</v>
      </c>
    </row>
    <row r="14" spans="1:11">
      <c r="A14" s="568" t="s">
        <v>491</v>
      </c>
      <c r="B14" s="573">
        <v>0</v>
      </c>
      <c r="C14" s="573">
        <v>15432.404076738609</v>
      </c>
      <c r="D14" s="573">
        <v>23664.56834532374</v>
      </c>
    </row>
    <row r="15" spans="1:11">
      <c r="A15" s="568" t="s">
        <v>492</v>
      </c>
      <c r="B15" s="573">
        <v>3047642.64</v>
      </c>
      <c r="C15" s="573">
        <v>3278986.0650000004</v>
      </c>
      <c r="D15" s="573">
        <v>3122461.9125000006</v>
      </c>
    </row>
    <row r="16" spans="1:11">
      <c r="A16" s="568" t="s">
        <v>493</v>
      </c>
      <c r="B16" s="576">
        <v>0</v>
      </c>
      <c r="C16" s="574">
        <v>-133300.79999999999</v>
      </c>
      <c r="D16" s="574">
        <v>-220939.2</v>
      </c>
    </row>
    <row r="17" spans="1:4">
      <c r="A17" s="577" t="s">
        <v>494</v>
      </c>
      <c r="B17" s="578">
        <v>3541997.6408407157</v>
      </c>
      <c r="C17" s="578">
        <v>3513957.0469133826</v>
      </c>
      <c r="D17" s="578">
        <v>3647899.6644981815</v>
      </c>
    </row>
    <row r="18" spans="1:4">
      <c r="B18" s="554"/>
      <c r="C18" s="554"/>
      <c r="D18" s="554"/>
    </row>
    <row r="19" spans="1:4">
      <c r="A19" s="579" t="s">
        <v>495</v>
      </c>
      <c r="B19" s="554">
        <v>2500</v>
      </c>
      <c r="C19" s="554"/>
      <c r="D19" s="554"/>
    </row>
    <row r="20" spans="1:4">
      <c r="B20" s="554"/>
      <c r="C20" s="554"/>
      <c r="D20" s="554"/>
    </row>
    <row r="21" spans="1:4" s="580" customFormat="1" ht="11.25">
      <c r="A21" s="580" t="s">
        <v>496</v>
      </c>
      <c r="B21" s="581"/>
      <c r="C21" s="581"/>
      <c r="D21" s="581"/>
    </row>
    <row r="22" spans="1:4">
      <c r="A22" s="580" t="s">
        <v>497</v>
      </c>
      <c r="B22" s="554"/>
      <c r="C22" s="554"/>
      <c r="D22" s="554"/>
    </row>
    <row r="23" spans="1:4">
      <c r="A23" s="582" t="s">
        <v>498</v>
      </c>
      <c r="B23" s="554"/>
      <c r="C23" s="554"/>
      <c r="D23" s="554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UAE-Lowell</v>
      </c>
    </row>
    <row r="4" spans="1:60" ht="18.75">
      <c r="A4" s="60" t="s">
        <v>133</v>
      </c>
      <c r="B4" s="8"/>
      <c r="C4" s="8"/>
    </row>
    <row r="6" spans="1:60">
      <c r="C6" s="313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5" thickBot="1">
      <c r="A7" s="122" t="s">
        <v>38</v>
      </c>
      <c r="B7" s="7"/>
      <c r="C7" s="314" t="s">
        <v>249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5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134</v>
      </c>
      <c r="B9" s="12"/>
      <c r="C9" s="316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6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135</v>
      </c>
      <c r="B11" s="12"/>
      <c r="C11" s="317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6"/>
      <c r="BC11" s="306"/>
      <c r="BD11" s="306"/>
      <c r="BE11" s="306"/>
      <c r="BF11" s="306"/>
      <c r="BG11" s="306"/>
      <c r="BH11" s="306"/>
    </row>
    <row r="12" spans="1:60">
      <c r="A12" s="23" t="s">
        <v>136</v>
      </c>
      <c r="B12" s="12"/>
      <c r="C12" s="31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  <c r="BB12" s="306"/>
      <c r="BC12" s="306"/>
      <c r="BD12" s="306"/>
      <c r="BE12" s="306"/>
      <c r="BF12" s="306"/>
      <c r="BG12" s="306"/>
      <c r="BH12" s="306"/>
    </row>
    <row r="13" spans="1:60">
      <c r="A13" s="23" t="s">
        <v>137</v>
      </c>
      <c r="B13" s="12"/>
      <c r="C13" s="317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6"/>
      <c r="BC13" s="306"/>
      <c r="BD13" s="306"/>
      <c r="BE13" s="306"/>
      <c r="BF13" s="306"/>
      <c r="BG13" s="306"/>
      <c r="BH13" s="306"/>
    </row>
    <row r="14" spans="1:60">
      <c r="A14" s="23" t="s">
        <v>138</v>
      </c>
      <c r="B14" s="12"/>
      <c r="C14" s="3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  <c r="BD14" s="306"/>
      <c r="BE14" s="306"/>
      <c r="BF14" s="306"/>
      <c r="BG14" s="306"/>
      <c r="BH14" s="306"/>
    </row>
    <row r="15" spans="1:60">
      <c r="A15" s="305" t="s">
        <v>139</v>
      </c>
      <c r="B15" s="58"/>
      <c r="C15" s="318">
        <v>0</v>
      </c>
      <c r="D15" s="305">
        <v>0</v>
      </c>
      <c r="E15" s="305">
        <v>0</v>
      </c>
      <c r="F15" s="305">
        <v>0</v>
      </c>
      <c r="G15" s="305">
        <v>0</v>
      </c>
      <c r="H15" s="305">
        <v>0</v>
      </c>
      <c r="I15" s="305">
        <v>0</v>
      </c>
      <c r="J15" s="305">
        <v>0</v>
      </c>
      <c r="K15" s="305">
        <v>0</v>
      </c>
      <c r="L15" s="305">
        <v>0</v>
      </c>
      <c r="M15" s="305">
        <v>0</v>
      </c>
      <c r="N15" s="305">
        <v>0</v>
      </c>
      <c r="O15" s="305">
        <v>0</v>
      </c>
      <c r="P15" s="305">
        <v>0</v>
      </c>
      <c r="Q15" s="305">
        <v>0</v>
      </c>
      <c r="R15" s="305">
        <v>0</v>
      </c>
      <c r="S15" s="305">
        <v>0</v>
      </c>
      <c r="T15" s="305">
        <v>0</v>
      </c>
      <c r="U15" s="305">
        <v>0</v>
      </c>
      <c r="V15" s="305">
        <v>0</v>
      </c>
      <c r="W15" s="305">
        <v>0</v>
      </c>
      <c r="X15" s="305">
        <v>0</v>
      </c>
      <c r="Y15" s="305">
        <v>0</v>
      </c>
      <c r="Z15" s="305">
        <v>0</v>
      </c>
      <c r="AA15" s="305">
        <v>0</v>
      </c>
      <c r="AB15" s="305">
        <v>0</v>
      </c>
      <c r="AC15" s="305">
        <v>0</v>
      </c>
      <c r="AD15" s="305">
        <v>0</v>
      </c>
      <c r="AE15" s="305">
        <v>0</v>
      </c>
      <c r="AF15" s="305">
        <v>0</v>
      </c>
      <c r="AG15" s="305">
        <v>0</v>
      </c>
      <c r="AH15" s="305">
        <v>0</v>
      </c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6"/>
      <c r="BC15" s="306"/>
      <c r="BD15" s="306"/>
      <c r="BE15" s="306"/>
      <c r="BF15" s="306"/>
      <c r="BG15" s="306"/>
      <c r="BH15" s="306"/>
    </row>
    <row r="16" spans="1:60">
      <c r="A16" s="23" t="s">
        <v>140</v>
      </c>
      <c r="B16" s="12"/>
      <c r="C16" s="317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  <c r="BB16" s="306"/>
      <c r="BC16" s="306"/>
      <c r="BD16" s="306"/>
      <c r="BE16" s="306"/>
      <c r="BF16" s="306"/>
      <c r="BG16" s="306"/>
      <c r="BH16" s="306"/>
    </row>
    <row r="17" spans="1:60">
      <c r="A17" s="13"/>
      <c r="B17" s="12"/>
      <c r="C17" s="317"/>
      <c r="D17" s="18"/>
      <c r="E17" s="18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150"/>
      <c r="AA17" s="150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6"/>
      <c r="AX17" s="306"/>
      <c r="AY17" s="306"/>
      <c r="AZ17" s="306"/>
      <c r="BA17" s="306"/>
      <c r="BB17" s="306"/>
      <c r="BC17" s="306"/>
      <c r="BD17" s="306"/>
      <c r="BE17" s="306"/>
      <c r="BF17" s="306"/>
      <c r="BG17" s="306"/>
      <c r="BH17" s="306"/>
    </row>
    <row r="18" spans="1:60">
      <c r="A18" s="23" t="s">
        <v>141</v>
      </c>
      <c r="B18" s="12"/>
      <c r="C18" s="317">
        <f>Assumptions!C61</f>
        <v>55000</v>
      </c>
      <c r="D18" s="18">
        <f>Depreciation!$B$48</f>
        <v>54750</v>
      </c>
      <c r="E18" s="18">
        <f>Depreciation!$B$48</f>
        <v>54750</v>
      </c>
      <c r="F18" s="18">
        <f>Depreciation!$B$48</f>
        <v>54750</v>
      </c>
      <c r="G18" s="18">
        <f>Depreciation!$B$48</f>
        <v>54750</v>
      </c>
      <c r="H18" s="18">
        <f>Depreciation!$B$48</f>
        <v>54750</v>
      </c>
      <c r="I18" s="18">
        <f>Depreciation!$B$48</f>
        <v>54750</v>
      </c>
      <c r="J18" s="18">
        <f>Depreciation!$B$48</f>
        <v>54750</v>
      </c>
      <c r="K18" s="18">
        <f>Depreciation!$B$48</f>
        <v>54750</v>
      </c>
      <c r="L18" s="18">
        <f>Depreciation!$B$48</f>
        <v>54750</v>
      </c>
      <c r="M18" s="18">
        <f>Depreciation!$B$48</f>
        <v>54750</v>
      </c>
      <c r="N18" s="18">
        <f>Depreciation!$B$48</f>
        <v>54750</v>
      </c>
      <c r="O18" s="18">
        <f>Depreciation!$B$48</f>
        <v>54750</v>
      </c>
      <c r="P18" s="18">
        <f>Depreciation!$B$48</f>
        <v>54750</v>
      </c>
      <c r="Q18" s="18">
        <f>Depreciation!$B$48</f>
        <v>54750</v>
      </c>
      <c r="R18" s="18">
        <f>Depreciation!$B$48</f>
        <v>54750</v>
      </c>
      <c r="S18" s="18">
        <f>Depreciation!$B$48</f>
        <v>54750</v>
      </c>
      <c r="T18" s="18">
        <f>Depreciation!$B$48</f>
        <v>54750</v>
      </c>
      <c r="U18" s="18">
        <f>Depreciation!$B$48</f>
        <v>54750</v>
      </c>
      <c r="V18" s="18">
        <f>Depreciation!$B$48</f>
        <v>54750</v>
      </c>
      <c r="W18" s="18">
        <f>Depreciation!$B$48</f>
        <v>54750</v>
      </c>
      <c r="X18" s="18">
        <f>Depreciation!$B$48</f>
        <v>54750</v>
      </c>
      <c r="Y18" s="18">
        <f>Depreciation!$B$48</f>
        <v>54750</v>
      </c>
      <c r="Z18" s="18">
        <f>Depreciation!$B$48</f>
        <v>54750</v>
      </c>
      <c r="AA18" s="18">
        <f>Depreciation!$B$48</f>
        <v>54750</v>
      </c>
      <c r="AB18" s="18">
        <f>Depreciation!$B$48</f>
        <v>54750</v>
      </c>
      <c r="AC18" s="18">
        <f>Depreciation!$B$48</f>
        <v>54750</v>
      </c>
      <c r="AD18" s="18">
        <f>Depreciation!$B$48</f>
        <v>54750</v>
      </c>
      <c r="AE18" s="18">
        <f>Depreciation!$B$48</f>
        <v>54750</v>
      </c>
      <c r="AF18" s="18">
        <f>Depreciation!$B$48</f>
        <v>54750</v>
      </c>
      <c r="AG18" s="18">
        <f>Depreciation!$B$48</f>
        <v>54750</v>
      </c>
      <c r="AH18" s="18">
        <f>Depreciation!$B$48</f>
        <v>54750</v>
      </c>
      <c r="AI18" s="306"/>
      <c r="AJ18" s="306"/>
      <c r="AK18" s="306"/>
      <c r="AL18" s="306"/>
      <c r="AM18" s="306"/>
      <c r="AN18" s="306"/>
      <c r="AO18" s="306"/>
      <c r="AP18" s="306"/>
      <c r="AQ18" s="306"/>
      <c r="AR18" s="306"/>
      <c r="AS18" s="306"/>
      <c r="AT18" s="306"/>
      <c r="AU18" s="306"/>
      <c r="AV18" s="306"/>
      <c r="AW18" s="306"/>
      <c r="AX18" s="306"/>
      <c r="AY18" s="306"/>
      <c r="AZ18" s="306"/>
      <c r="BA18" s="306"/>
      <c r="BB18" s="306"/>
      <c r="BC18" s="306"/>
      <c r="BD18" s="306"/>
      <c r="BE18" s="306"/>
      <c r="BF18" s="306"/>
      <c r="BG18" s="306"/>
      <c r="BH18" s="306"/>
    </row>
    <row r="19" spans="1:60">
      <c r="A19" s="23" t="s">
        <v>142</v>
      </c>
      <c r="B19" s="13"/>
      <c r="C19" s="319">
        <v>0</v>
      </c>
      <c r="D19" s="307">
        <f>SUM(Depreciation!$D$48:D48)</f>
        <v>1897.3999999999999</v>
      </c>
      <c r="E19" s="307">
        <f>SUM(Depreciation!$D$48:E48)</f>
        <v>4743.5</v>
      </c>
      <c r="F19" s="307">
        <f>SUM(Depreciation!$D$48:F48)</f>
        <v>7589.6</v>
      </c>
      <c r="G19" s="307">
        <f>SUM(Depreciation!$D$48:G48)</f>
        <v>10435.700000000001</v>
      </c>
      <c r="H19" s="307">
        <f>SUM(Depreciation!$D$48:H48)</f>
        <v>13281.800000000001</v>
      </c>
      <c r="I19" s="307">
        <f>SUM(Depreciation!$D$48:I48)</f>
        <v>15183.900000000001</v>
      </c>
      <c r="J19" s="307">
        <f>SUM(Depreciation!$D$48:J48)</f>
        <v>16614</v>
      </c>
      <c r="K19" s="307">
        <f>SUM(Depreciation!$D$48:K48)</f>
        <v>18044.099999999999</v>
      </c>
      <c r="L19" s="307">
        <f>SUM(Depreciation!$D$48:L48)</f>
        <v>19474.199999999997</v>
      </c>
      <c r="M19" s="307">
        <f>SUM(Depreciation!$D$48:M48)</f>
        <v>20904.299999999996</v>
      </c>
      <c r="N19" s="307">
        <f>SUM(Depreciation!$D$48:N48)</f>
        <v>22334.399999999994</v>
      </c>
      <c r="O19" s="307">
        <f>SUM(Depreciation!$D$48:O48)</f>
        <v>23764.499999999993</v>
      </c>
      <c r="P19" s="307">
        <f>SUM(Depreciation!$D$48:P48)</f>
        <v>25194.599999999991</v>
      </c>
      <c r="Q19" s="307">
        <f>SUM(Depreciation!$D$48:Q48)</f>
        <v>26624.69999999999</v>
      </c>
      <c r="R19" s="307">
        <f>SUM(Depreciation!$D$48:R48)</f>
        <v>28054.799999999988</v>
      </c>
      <c r="S19" s="307">
        <f>SUM(Depreciation!$D$48:S48)</f>
        <v>29484.899999999987</v>
      </c>
      <c r="T19" s="307">
        <f>SUM(Depreciation!$D$48:T48)</f>
        <v>30914.999999999985</v>
      </c>
      <c r="U19" s="307">
        <f>SUM(Depreciation!$D$48:U48)</f>
        <v>32345.099999999984</v>
      </c>
      <c r="V19" s="307">
        <f>SUM(Depreciation!$D$48:V48)</f>
        <v>33775.199999999983</v>
      </c>
      <c r="W19" s="307">
        <f>SUM(Depreciation!$D$48:W48)</f>
        <v>35205.299999999981</v>
      </c>
      <c r="X19" s="307">
        <f>SUM(Depreciation!$D$48:X48)</f>
        <v>36635.39999999998</v>
      </c>
      <c r="Y19" s="307">
        <f>SUM(Depreciation!$D$48:Y48)</f>
        <v>38065.499999999978</v>
      </c>
      <c r="Z19" s="307">
        <f>SUM(Depreciation!$D$48:Z48)</f>
        <v>39495.599999999977</v>
      </c>
      <c r="AA19" s="307">
        <f>SUM(Depreciation!$D$48:AA48)</f>
        <v>40925.699999999975</v>
      </c>
      <c r="AB19" s="307">
        <f>SUM(Depreciation!$D$48:AB48)</f>
        <v>42355.799999999974</v>
      </c>
      <c r="AC19" s="307">
        <f>SUM(Depreciation!$D$48:AC48)</f>
        <v>43785.899999999972</v>
      </c>
      <c r="AD19" s="307">
        <f>SUM(Depreciation!$D$48:AD48)</f>
        <v>45215.999999999971</v>
      </c>
      <c r="AE19" s="307">
        <f>SUM(Depreciation!$D$48:AE48)</f>
        <v>46646.099999999969</v>
      </c>
      <c r="AF19" s="307">
        <f>SUM(Depreciation!$D$48:AF48)</f>
        <v>48076.199999999968</v>
      </c>
      <c r="AG19" s="307">
        <f>SUM(Depreciation!$D$48:AG48)</f>
        <v>49506.299999999967</v>
      </c>
      <c r="AH19" s="307">
        <f>SUM(Depreciation!$D$48:AH48)</f>
        <v>49982.999999999964</v>
      </c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306"/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</row>
    <row r="20" spans="1:60">
      <c r="A20" s="23" t="s">
        <v>143</v>
      </c>
      <c r="B20" s="13"/>
      <c r="C20" s="320">
        <f>C18-C19</f>
        <v>55000</v>
      </c>
      <c r="D20" s="23">
        <f>D18-D19</f>
        <v>52852.6</v>
      </c>
      <c r="E20" s="23">
        <f t="shared" ref="E20:AH20" si="2">E18-E19</f>
        <v>50006.5</v>
      </c>
      <c r="F20" s="23">
        <f t="shared" si="2"/>
        <v>47160.4</v>
      </c>
      <c r="G20" s="23">
        <f t="shared" si="2"/>
        <v>44314.3</v>
      </c>
      <c r="H20" s="23">
        <f t="shared" si="2"/>
        <v>41468.199999999997</v>
      </c>
      <c r="I20" s="23">
        <f t="shared" si="2"/>
        <v>39566.1</v>
      </c>
      <c r="J20" s="23">
        <f t="shared" si="2"/>
        <v>38136</v>
      </c>
      <c r="K20" s="23">
        <f t="shared" si="2"/>
        <v>36705.9</v>
      </c>
      <c r="L20" s="23">
        <f t="shared" si="2"/>
        <v>35275.800000000003</v>
      </c>
      <c r="M20" s="23">
        <f t="shared" si="2"/>
        <v>33845.700000000004</v>
      </c>
      <c r="N20" s="23">
        <f t="shared" si="2"/>
        <v>32415.600000000006</v>
      </c>
      <c r="O20" s="23">
        <f t="shared" si="2"/>
        <v>30985.500000000007</v>
      </c>
      <c r="P20" s="23">
        <f t="shared" si="2"/>
        <v>29555.400000000009</v>
      </c>
      <c r="Q20" s="23">
        <f t="shared" si="2"/>
        <v>28125.30000000001</v>
      </c>
      <c r="R20" s="23">
        <f t="shared" si="2"/>
        <v>26695.200000000012</v>
      </c>
      <c r="S20" s="23">
        <f t="shared" si="2"/>
        <v>25265.100000000013</v>
      </c>
      <c r="T20" s="23">
        <f t="shared" si="2"/>
        <v>23835.000000000015</v>
      </c>
      <c r="U20" s="23">
        <f t="shared" si="2"/>
        <v>22404.900000000016</v>
      </c>
      <c r="V20" s="23">
        <f t="shared" si="2"/>
        <v>20974.800000000017</v>
      </c>
      <c r="W20" s="23">
        <f t="shared" si="2"/>
        <v>19544.700000000019</v>
      </c>
      <c r="X20" s="23">
        <f t="shared" si="2"/>
        <v>18114.60000000002</v>
      </c>
      <c r="Y20" s="23">
        <f t="shared" si="2"/>
        <v>16684.500000000022</v>
      </c>
      <c r="Z20" s="23">
        <f t="shared" si="2"/>
        <v>15254.400000000023</v>
      </c>
      <c r="AA20" s="23">
        <f t="shared" si="2"/>
        <v>13824.300000000025</v>
      </c>
      <c r="AB20" s="23">
        <f t="shared" si="2"/>
        <v>12394.200000000026</v>
      </c>
      <c r="AC20" s="23">
        <f t="shared" si="2"/>
        <v>10964.100000000028</v>
      </c>
      <c r="AD20" s="23">
        <f t="shared" si="2"/>
        <v>9534.0000000000291</v>
      </c>
      <c r="AE20" s="23">
        <f t="shared" si="2"/>
        <v>8103.9000000000306</v>
      </c>
      <c r="AF20" s="23">
        <f t="shared" si="2"/>
        <v>6673.800000000032</v>
      </c>
      <c r="AG20" s="23">
        <f t="shared" si="2"/>
        <v>5243.7000000000335</v>
      </c>
      <c r="AH20" s="23">
        <f t="shared" si="2"/>
        <v>4767.0000000000364</v>
      </c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306"/>
      <c r="AV20" s="306"/>
      <c r="AW20" s="306"/>
      <c r="AX20" s="306"/>
      <c r="AY20" s="306"/>
      <c r="AZ20" s="306"/>
      <c r="BA20" s="306"/>
      <c r="BB20" s="306"/>
      <c r="BC20" s="306"/>
      <c r="BD20" s="306"/>
      <c r="BE20" s="306"/>
      <c r="BF20" s="306"/>
      <c r="BG20" s="306"/>
      <c r="BH20" s="306"/>
    </row>
    <row r="21" spans="1:60">
      <c r="A21" s="23"/>
      <c r="B21" s="13"/>
      <c r="C21" s="32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</row>
    <row r="22" spans="1:60">
      <c r="A22" s="23" t="s">
        <v>144</v>
      </c>
      <c r="B22" s="13"/>
      <c r="C22" s="317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6"/>
      <c r="AT22" s="306"/>
      <c r="AU22" s="306"/>
      <c r="AV22" s="306"/>
      <c r="AW22" s="306"/>
      <c r="AX22" s="306"/>
      <c r="AY22" s="306"/>
      <c r="AZ22" s="306"/>
      <c r="BA22" s="306"/>
      <c r="BB22" s="306"/>
      <c r="BC22" s="306"/>
      <c r="BD22" s="306"/>
      <c r="BE22" s="306"/>
      <c r="BF22" s="306"/>
      <c r="BG22" s="306"/>
      <c r="BH22" s="306"/>
    </row>
    <row r="23" spans="1:60">
      <c r="A23" s="23" t="s">
        <v>145</v>
      </c>
      <c r="B23" s="13"/>
      <c r="C23" s="321">
        <v>0</v>
      </c>
      <c r="D23" s="308">
        <v>0</v>
      </c>
      <c r="E23" s="308">
        <v>0</v>
      </c>
      <c r="F23" s="308">
        <v>0</v>
      </c>
      <c r="G23" s="308">
        <v>0</v>
      </c>
      <c r="H23" s="308">
        <v>0</v>
      </c>
      <c r="I23" s="308">
        <v>0</v>
      </c>
      <c r="J23" s="308">
        <v>0</v>
      </c>
      <c r="K23" s="308">
        <v>0</v>
      </c>
      <c r="L23" s="308">
        <v>0</v>
      </c>
      <c r="M23" s="308">
        <v>0</v>
      </c>
      <c r="N23" s="308">
        <v>0</v>
      </c>
      <c r="O23" s="308">
        <v>0</v>
      </c>
      <c r="P23" s="308">
        <v>0</v>
      </c>
      <c r="Q23" s="308">
        <v>0</v>
      </c>
      <c r="R23" s="308">
        <v>0</v>
      </c>
      <c r="S23" s="308">
        <v>0</v>
      </c>
      <c r="T23" s="308">
        <v>0</v>
      </c>
      <c r="U23" s="308">
        <v>0</v>
      </c>
      <c r="V23" s="308">
        <v>0</v>
      </c>
      <c r="W23" s="308">
        <v>0</v>
      </c>
      <c r="X23" s="308">
        <v>0</v>
      </c>
      <c r="Y23" s="308">
        <v>0</v>
      </c>
      <c r="Z23" s="308">
        <v>0</v>
      </c>
      <c r="AA23" s="308">
        <v>0</v>
      </c>
      <c r="AB23" s="308">
        <v>0</v>
      </c>
      <c r="AC23" s="308">
        <v>0</v>
      </c>
      <c r="AD23" s="308">
        <v>0</v>
      </c>
      <c r="AE23" s="308">
        <v>0</v>
      </c>
      <c r="AF23" s="308">
        <v>0</v>
      </c>
      <c r="AG23" s="308">
        <v>0</v>
      </c>
      <c r="AH23" s="308">
        <v>0</v>
      </c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306"/>
      <c r="AX23" s="306"/>
      <c r="AY23" s="306"/>
      <c r="AZ23" s="306"/>
      <c r="BA23" s="306"/>
      <c r="BB23" s="306"/>
      <c r="BC23" s="306"/>
      <c r="BD23" s="306"/>
      <c r="BE23" s="306"/>
      <c r="BF23" s="306"/>
      <c r="BG23" s="306"/>
      <c r="BH23" s="306"/>
    </row>
    <row r="24" spans="1:60">
      <c r="A24" s="13"/>
      <c r="B24" s="13"/>
      <c r="C24" s="320"/>
      <c r="D24" s="23"/>
      <c r="E24" s="23"/>
      <c r="F24" s="309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150"/>
      <c r="AA24" s="150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6"/>
      <c r="AX24" s="306"/>
      <c r="AY24" s="306"/>
      <c r="AZ24" s="306"/>
      <c r="BA24" s="306"/>
      <c r="BB24" s="306"/>
      <c r="BC24" s="306"/>
      <c r="BD24" s="306"/>
      <c r="BE24" s="306"/>
      <c r="BF24" s="306"/>
      <c r="BG24" s="306"/>
      <c r="BH24" s="306"/>
    </row>
    <row r="25" spans="1:60">
      <c r="A25" s="133" t="s">
        <v>146</v>
      </c>
      <c r="B25" s="13"/>
      <c r="C25" s="320">
        <f>SUM(C16,C20,C22,C23)</f>
        <v>56000</v>
      </c>
      <c r="D25" s="23">
        <f>SUM(D16,D20,D22,D23)</f>
        <v>53852.6</v>
      </c>
      <c r="E25" s="23">
        <f t="shared" ref="E25:AH25" si="3">SUM(E16,E20,E22,E23)</f>
        <v>51006.5</v>
      </c>
      <c r="F25" s="23">
        <f t="shared" si="3"/>
        <v>48160.4</v>
      </c>
      <c r="G25" s="23">
        <f t="shared" si="3"/>
        <v>45314.3</v>
      </c>
      <c r="H25" s="23">
        <f t="shared" si="3"/>
        <v>42468.2</v>
      </c>
      <c r="I25" s="23">
        <f t="shared" si="3"/>
        <v>40566.1</v>
      </c>
      <c r="J25" s="23">
        <f t="shared" si="3"/>
        <v>39136</v>
      </c>
      <c r="K25" s="23">
        <f t="shared" si="3"/>
        <v>37705.9</v>
      </c>
      <c r="L25" s="23">
        <f t="shared" si="3"/>
        <v>36275.800000000003</v>
      </c>
      <c r="M25" s="23">
        <f t="shared" si="3"/>
        <v>34845.700000000004</v>
      </c>
      <c r="N25" s="23">
        <f t="shared" si="3"/>
        <v>33415.600000000006</v>
      </c>
      <c r="O25" s="23">
        <f t="shared" si="3"/>
        <v>31985.500000000007</v>
      </c>
      <c r="P25" s="23">
        <f t="shared" si="3"/>
        <v>30555.400000000009</v>
      </c>
      <c r="Q25" s="23">
        <f t="shared" si="3"/>
        <v>29125.30000000001</v>
      </c>
      <c r="R25" s="23">
        <f t="shared" si="3"/>
        <v>27695.200000000012</v>
      </c>
      <c r="S25" s="23">
        <f t="shared" si="3"/>
        <v>26265.100000000013</v>
      </c>
      <c r="T25" s="23">
        <f t="shared" si="3"/>
        <v>24835.000000000015</v>
      </c>
      <c r="U25" s="23">
        <f t="shared" si="3"/>
        <v>23404.900000000016</v>
      </c>
      <c r="V25" s="23">
        <f t="shared" si="3"/>
        <v>21974.800000000017</v>
      </c>
      <c r="W25" s="23">
        <f t="shared" si="3"/>
        <v>20544.700000000019</v>
      </c>
      <c r="X25" s="23">
        <f t="shared" si="3"/>
        <v>19114.60000000002</v>
      </c>
      <c r="Y25" s="23">
        <f t="shared" si="3"/>
        <v>17684.500000000022</v>
      </c>
      <c r="Z25" s="23">
        <f t="shared" si="3"/>
        <v>16254.400000000023</v>
      </c>
      <c r="AA25" s="23">
        <f t="shared" si="3"/>
        <v>14824.300000000025</v>
      </c>
      <c r="AB25" s="23">
        <f t="shared" si="3"/>
        <v>13394.200000000026</v>
      </c>
      <c r="AC25" s="23">
        <f t="shared" si="3"/>
        <v>11964.100000000028</v>
      </c>
      <c r="AD25" s="23">
        <f t="shared" si="3"/>
        <v>10534.000000000029</v>
      </c>
      <c r="AE25" s="23">
        <f t="shared" si="3"/>
        <v>9103.9000000000306</v>
      </c>
      <c r="AF25" s="23">
        <f t="shared" si="3"/>
        <v>7673.800000000032</v>
      </c>
      <c r="AG25" s="23">
        <f t="shared" si="3"/>
        <v>6243.7000000000335</v>
      </c>
      <c r="AH25" s="23">
        <f t="shared" si="3"/>
        <v>5767.0000000000364</v>
      </c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306"/>
      <c r="AX25" s="306"/>
      <c r="AY25" s="306"/>
      <c r="AZ25" s="306"/>
      <c r="BA25" s="306"/>
      <c r="BB25" s="306"/>
      <c r="BC25" s="306"/>
      <c r="BD25" s="306"/>
      <c r="BE25" s="306"/>
      <c r="BF25" s="306"/>
      <c r="BG25" s="306"/>
      <c r="BH25" s="306"/>
    </row>
    <row r="26" spans="1:60">
      <c r="A26" s="13"/>
      <c r="B26" s="13"/>
      <c r="C26" s="320"/>
      <c r="D26" s="23"/>
      <c r="E26" s="23"/>
      <c r="F26" s="309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150"/>
      <c r="AA26" s="150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306"/>
      <c r="AX26" s="306"/>
      <c r="AY26" s="306"/>
      <c r="AZ26" s="306"/>
      <c r="BA26" s="306"/>
      <c r="BB26" s="306"/>
      <c r="BC26" s="306"/>
      <c r="BD26" s="306"/>
      <c r="BE26" s="306"/>
      <c r="BF26" s="306"/>
      <c r="BG26" s="306"/>
      <c r="BH26" s="306"/>
    </row>
    <row r="27" spans="1:60">
      <c r="A27" s="13"/>
      <c r="B27" s="13"/>
      <c r="C27" s="320"/>
      <c r="D27" s="23"/>
      <c r="E27" s="23"/>
      <c r="F27" s="309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150"/>
      <c r="AA27" s="150"/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6"/>
      <c r="AW27" s="306"/>
      <c r="AX27" s="306"/>
      <c r="AY27" s="306"/>
      <c r="AZ27" s="306"/>
      <c r="BA27" s="306"/>
      <c r="BB27" s="306"/>
      <c r="BC27" s="306"/>
      <c r="BD27" s="306"/>
      <c r="BE27" s="306"/>
      <c r="BF27" s="306"/>
      <c r="BG27" s="306"/>
      <c r="BH27" s="306"/>
    </row>
    <row r="28" spans="1:60">
      <c r="A28" s="133" t="s">
        <v>147</v>
      </c>
      <c r="B28" s="13"/>
      <c r="C28" s="320"/>
      <c r="D28" s="23"/>
      <c r="E28" s="23"/>
      <c r="F28" s="309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150"/>
      <c r="AA28" s="150"/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6"/>
      <c r="AW28" s="306"/>
      <c r="AX28" s="306"/>
      <c r="AY28" s="306"/>
      <c r="AZ28" s="306"/>
      <c r="BA28" s="306"/>
      <c r="BB28" s="306"/>
      <c r="BC28" s="306"/>
      <c r="BD28" s="306"/>
      <c r="BE28" s="306"/>
      <c r="BF28" s="306"/>
      <c r="BG28" s="306"/>
      <c r="BH28" s="306"/>
    </row>
    <row r="29" spans="1:60">
      <c r="A29" s="133"/>
      <c r="B29" s="13"/>
      <c r="C29" s="320"/>
      <c r="D29" s="23"/>
      <c r="E29" s="23"/>
      <c r="F29" s="309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150"/>
      <c r="AA29" s="150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306"/>
      <c r="AW29" s="306"/>
      <c r="AX29" s="306"/>
      <c r="AY29" s="306"/>
      <c r="AZ29" s="306"/>
      <c r="BA29" s="306"/>
      <c r="BB29" s="306"/>
      <c r="BC29" s="306"/>
      <c r="BD29" s="306"/>
      <c r="BE29" s="306"/>
      <c r="BF29" s="306"/>
      <c r="BG29" s="306"/>
      <c r="BH29" s="306"/>
    </row>
    <row r="30" spans="1:60">
      <c r="A30" s="23" t="s">
        <v>148</v>
      </c>
      <c r="C30" s="317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</row>
    <row r="31" spans="1:60">
      <c r="A31" s="23" t="s">
        <v>149</v>
      </c>
      <c r="C31" s="3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306"/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</row>
    <row r="32" spans="1:60">
      <c r="A32" s="23" t="s">
        <v>150</v>
      </c>
      <c r="C32" s="320">
        <v>0</v>
      </c>
      <c r="D32" s="23" t="e">
        <f>C32+('Returns Analysis'!C15+'Returns Analysis'!#REF!)+(IS!C43+IS!C44)</f>
        <v>#REF!</v>
      </c>
      <c r="E32" s="23" t="e">
        <f>D32+('Returns Analysis'!D15+'Returns Analysis'!#REF!)+(IS!D43+IS!D44)</f>
        <v>#REF!</v>
      </c>
      <c r="F32" s="23" t="e">
        <f>E32+('Returns Analysis'!E15+'Returns Analysis'!#REF!)+(IS!E43+IS!E44)</f>
        <v>#REF!</v>
      </c>
      <c r="G32" s="23" t="e">
        <f>F32+('Returns Analysis'!F15+'Returns Analysis'!#REF!)+(IS!F43+IS!F44)</f>
        <v>#REF!</v>
      </c>
      <c r="H32" s="23" t="e">
        <f>G32+('Returns Analysis'!G15+'Returns Analysis'!#REF!)+(IS!G43+IS!G44)</f>
        <v>#REF!</v>
      </c>
      <c r="I32" s="23" t="e">
        <f>H32+('Returns Analysis'!H15+'Returns Analysis'!#REF!)+(IS!H43+IS!H44)</f>
        <v>#REF!</v>
      </c>
      <c r="J32" s="23" t="e">
        <f>I32+('Returns Analysis'!I15+'Returns Analysis'!#REF!)+(IS!I43+IS!I44)</f>
        <v>#REF!</v>
      </c>
      <c r="K32" s="23" t="e">
        <f>J32+('Returns Analysis'!J15+'Returns Analysis'!#REF!)+(IS!J43+IS!J44)</f>
        <v>#REF!</v>
      </c>
      <c r="L32" s="23" t="e">
        <f>K32+('Returns Analysis'!K15+'Returns Analysis'!#REF!)+(IS!K43+IS!K44)</f>
        <v>#REF!</v>
      </c>
      <c r="M32" s="23" t="e">
        <f>L32+('Returns Analysis'!L15+'Returns Analysis'!#REF!)+(IS!L43+IS!L44)</f>
        <v>#REF!</v>
      </c>
      <c r="N32" s="23" t="e">
        <f>M32+('Returns Analysis'!M15+'Returns Analysis'!#REF!)+(IS!M43+IS!M44)</f>
        <v>#REF!</v>
      </c>
      <c r="O32" s="23" t="e">
        <f>N32+('Returns Analysis'!N15+'Returns Analysis'!#REF!)+(IS!N43+IS!N44)</f>
        <v>#REF!</v>
      </c>
      <c r="P32" s="23" t="e">
        <f>O32+('Returns Analysis'!O15+'Returns Analysis'!#REF!)+(IS!O43+IS!O44)</f>
        <v>#REF!</v>
      </c>
      <c r="Q32" s="23" t="e">
        <f>P32+('Returns Analysis'!P15+'Returns Analysis'!#REF!)+(IS!P43+IS!P44)</f>
        <v>#REF!</v>
      </c>
      <c r="R32" s="23" t="e">
        <f>Q32+('Returns Analysis'!Q15+'Returns Analysis'!#REF!)+(IS!Q43+IS!Q44)</f>
        <v>#REF!</v>
      </c>
      <c r="S32" s="23" t="e">
        <f>R32+('Returns Analysis'!R15+'Returns Analysis'!#REF!)+(IS!R43+IS!R44)</f>
        <v>#REF!</v>
      </c>
      <c r="T32" s="23" t="e">
        <f>S32+('Returns Analysis'!S15+'Returns Analysis'!#REF!)+(IS!S43+IS!S44)</f>
        <v>#REF!</v>
      </c>
      <c r="U32" s="23" t="e">
        <f>T32+('Returns Analysis'!T15+'Returns Analysis'!#REF!)+(IS!T43+IS!T44)</f>
        <v>#REF!</v>
      </c>
      <c r="V32" s="23" t="e">
        <f>U32+('Returns Analysis'!U15+'Returns Analysis'!#REF!)+(IS!U43+IS!U44)</f>
        <v>#REF!</v>
      </c>
      <c r="W32" s="23" t="e">
        <f>V32+('Returns Analysis'!V15+'Returns Analysis'!#REF!)+(IS!V43+IS!V44)</f>
        <v>#REF!</v>
      </c>
      <c r="X32" s="23" t="e">
        <f>W32+('Returns Analysis'!W15+'Returns Analysis'!#REF!)+(IS!W43+IS!W44)</f>
        <v>#REF!</v>
      </c>
      <c r="Y32" s="23" t="e">
        <f>X32+('Returns Analysis'!X15+'Returns Analysis'!#REF!)+(IS!X43+IS!X44)</f>
        <v>#REF!</v>
      </c>
      <c r="Z32" s="23" t="e">
        <f>Y32+('Returns Analysis'!Y15+'Returns Analysis'!#REF!)+(IS!Y43+IS!Y44)</f>
        <v>#REF!</v>
      </c>
      <c r="AA32" s="23" t="e">
        <f>Z32+('Returns Analysis'!Z15+'Returns Analysis'!#REF!)+(IS!Z43+IS!Z44)</f>
        <v>#REF!</v>
      </c>
      <c r="AB32" s="23" t="e">
        <f>AA32+('Returns Analysis'!AA15+'Returns Analysis'!#REF!)+(IS!AA43+IS!AA44)</f>
        <v>#REF!</v>
      </c>
      <c r="AC32" s="23" t="e">
        <f>AB32+('Returns Analysis'!AB15+'Returns Analysis'!#REF!)+(IS!AB43+IS!AB44)</f>
        <v>#REF!</v>
      </c>
      <c r="AD32" s="23" t="e">
        <f>AC32+('Returns Analysis'!AC15+'Returns Analysis'!#REF!)+(IS!AC43+IS!AC44)</f>
        <v>#REF!</v>
      </c>
      <c r="AE32" s="23" t="e">
        <f>AD32+('Returns Analysis'!AD15+'Returns Analysis'!#REF!)+(IS!AD43+IS!AD44)</f>
        <v>#REF!</v>
      </c>
      <c r="AF32" s="23" t="e">
        <f>AE32+('Returns Analysis'!AE15+'Returns Analysis'!#REF!)+(IS!AE43+IS!AE44)</f>
        <v>#REF!</v>
      </c>
      <c r="AG32" s="23" t="e">
        <f>AF32+('Returns Analysis'!AF15+'Returns Analysis'!#REF!)+(IS!AF43+IS!AF44)</f>
        <v>#REF!</v>
      </c>
      <c r="AH32" s="23" t="e">
        <f>AG32+('Returns Analysis'!AG15+'Returns Analysis'!#REF!)+(IS!AG43+IS!AG44)</f>
        <v>#REF!</v>
      </c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  <c r="BD32" s="306"/>
      <c r="BE32" s="306"/>
      <c r="BF32" s="306"/>
      <c r="BG32" s="306"/>
      <c r="BH32" s="306"/>
    </row>
    <row r="33" spans="1:60">
      <c r="A33" s="23" t="s">
        <v>151</v>
      </c>
      <c r="C33" s="317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6"/>
      <c r="AJ33" s="306"/>
      <c r="AK33" s="306"/>
      <c r="AL33" s="306"/>
      <c r="AM33" s="30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  <c r="BD33" s="306"/>
      <c r="BE33" s="306"/>
      <c r="BF33" s="306"/>
      <c r="BG33" s="306"/>
      <c r="BH33" s="306"/>
    </row>
    <row r="34" spans="1:60">
      <c r="A34" s="23" t="s">
        <v>152</v>
      </c>
      <c r="C34" s="320">
        <f>Assumptions!C12</f>
        <v>68291.631563196133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</row>
    <row r="35" spans="1:60">
      <c r="A35" s="23" t="s">
        <v>153</v>
      </c>
      <c r="C35" s="319">
        <v>0</v>
      </c>
      <c r="D35" s="307">
        <v>0</v>
      </c>
      <c r="E35" s="307">
        <v>0</v>
      </c>
      <c r="F35" s="310">
        <v>0</v>
      </c>
      <c r="G35" s="311">
        <v>0</v>
      </c>
      <c r="H35" s="311">
        <v>0</v>
      </c>
      <c r="I35" s="311">
        <v>0</v>
      </c>
      <c r="J35" s="311">
        <v>0</v>
      </c>
      <c r="K35" s="311">
        <v>0</v>
      </c>
      <c r="L35" s="311">
        <v>0</v>
      </c>
      <c r="M35" s="311">
        <v>0</v>
      </c>
      <c r="N35" s="311">
        <v>0</v>
      </c>
      <c r="O35" s="311">
        <v>0</v>
      </c>
      <c r="P35" s="311">
        <v>0</v>
      </c>
      <c r="Q35" s="311">
        <v>0</v>
      </c>
      <c r="R35" s="311">
        <v>0</v>
      </c>
      <c r="S35" s="311">
        <v>0</v>
      </c>
      <c r="T35" s="311">
        <v>0</v>
      </c>
      <c r="U35" s="311">
        <v>0</v>
      </c>
      <c r="V35" s="311">
        <v>0</v>
      </c>
      <c r="W35" s="311">
        <v>0</v>
      </c>
      <c r="X35" s="311">
        <v>0</v>
      </c>
      <c r="Y35" s="311">
        <v>0</v>
      </c>
      <c r="Z35" s="312">
        <v>0</v>
      </c>
      <c r="AA35" s="312">
        <v>0</v>
      </c>
      <c r="AB35" s="311">
        <v>0</v>
      </c>
      <c r="AC35" s="311">
        <v>0</v>
      </c>
      <c r="AD35" s="311">
        <v>0</v>
      </c>
      <c r="AE35" s="311">
        <v>0</v>
      </c>
      <c r="AF35" s="311">
        <v>0</v>
      </c>
      <c r="AG35" s="311">
        <v>0</v>
      </c>
      <c r="AH35" s="311">
        <v>0</v>
      </c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</row>
    <row r="36" spans="1:60">
      <c r="A36" s="23"/>
      <c r="C36" s="320"/>
      <c r="D36" s="23"/>
      <c r="E36" s="23"/>
      <c r="F36" s="309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150"/>
      <c r="AA36" s="150"/>
      <c r="AB36" s="306"/>
      <c r="AC36" s="3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</row>
    <row r="37" spans="1:60">
      <c r="A37" s="133" t="s">
        <v>154</v>
      </c>
      <c r="B37" s="13"/>
      <c r="C37" s="320">
        <f>SUM(C30:C35)</f>
        <v>68291.631563196133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</row>
    <row r="38" spans="1:60">
      <c r="A38" s="23"/>
      <c r="B38" s="13"/>
      <c r="C38" s="320"/>
      <c r="D38" s="23"/>
      <c r="E38" s="23"/>
      <c r="F38" s="309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150"/>
      <c r="AA38" s="150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</row>
    <row r="39" spans="1:60">
      <c r="A39" s="133" t="s">
        <v>155</v>
      </c>
      <c r="B39" s="13"/>
      <c r="C39" s="320"/>
      <c r="D39" s="23"/>
      <c r="E39" s="23"/>
      <c r="F39" s="309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150"/>
      <c r="AA39" s="150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</row>
    <row r="40" spans="1:60">
      <c r="A40" s="133"/>
      <c r="B40" s="13"/>
      <c r="C40" s="320"/>
      <c r="D40" s="23"/>
      <c r="E40" s="23"/>
      <c r="F40" s="309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150"/>
      <c r="AA40" s="150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</row>
    <row r="41" spans="1:60">
      <c r="A41" s="23" t="s">
        <v>156</v>
      </c>
      <c r="C41" s="320">
        <f>Assumptions!$C$11</f>
        <v>-13291.631563196133</v>
      </c>
      <c r="D41" s="23">
        <f>Assumptions!$C$11</f>
        <v>-13291.631563196133</v>
      </c>
      <c r="E41" s="23">
        <f>Assumptions!$C$11</f>
        <v>-13291.631563196133</v>
      </c>
      <c r="F41" s="23">
        <f>Assumptions!$C$11</f>
        <v>-13291.631563196133</v>
      </c>
      <c r="G41" s="23">
        <f>Assumptions!$C$11</f>
        <v>-13291.631563196133</v>
      </c>
      <c r="H41" s="23">
        <f>Assumptions!$C$11</f>
        <v>-13291.631563196133</v>
      </c>
      <c r="I41" s="23">
        <f>Assumptions!$C$11</f>
        <v>-13291.631563196133</v>
      </c>
      <c r="J41" s="23">
        <f>Assumptions!$C$11</f>
        <v>-13291.631563196133</v>
      </c>
      <c r="K41" s="23">
        <f>Assumptions!$C$11</f>
        <v>-13291.631563196133</v>
      </c>
      <c r="L41" s="23">
        <f>Assumptions!$C$11</f>
        <v>-13291.631563196133</v>
      </c>
      <c r="M41" s="23">
        <f>Assumptions!$C$11</f>
        <v>-13291.631563196133</v>
      </c>
      <c r="N41" s="23">
        <f>Assumptions!$C$11</f>
        <v>-13291.631563196133</v>
      </c>
      <c r="O41" s="23">
        <f>Assumptions!$C$11</f>
        <v>-13291.631563196133</v>
      </c>
      <c r="P41" s="23">
        <f>Assumptions!$C$11</f>
        <v>-13291.631563196133</v>
      </c>
      <c r="Q41" s="23">
        <f>Assumptions!$C$11</f>
        <v>-13291.631563196133</v>
      </c>
      <c r="R41" s="23">
        <f>Assumptions!$C$11</f>
        <v>-13291.631563196133</v>
      </c>
      <c r="S41" s="23">
        <f>Assumptions!$C$11</f>
        <v>-13291.631563196133</v>
      </c>
      <c r="T41" s="23">
        <f>Assumptions!$C$11</f>
        <v>-13291.631563196133</v>
      </c>
      <c r="U41" s="23">
        <f>Assumptions!$C$11</f>
        <v>-13291.631563196133</v>
      </c>
      <c r="V41" s="23">
        <f>Assumptions!$C$11</f>
        <v>-13291.631563196133</v>
      </c>
      <c r="W41" s="23">
        <f>Assumptions!$C$11</f>
        <v>-13291.631563196133</v>
      </c>
      <c r="X41" s="23">
        <f>Assumptions!$C$11</f>
        <v>-13291.631563196133</v>
      </c>
      <c r="Y41" s="23">
        <f>Assumptions!$C$11</f>
        <v>-13291.631563196133</v>
      </c>
      <c r="Z41" s="23">
        <f>Assumptions!$C$11</f>
        <v>-13291.631563196133</v>
      </c>
      <c r="AA41" s="23">
        <f>Assumptions!$C$11</f>
        <v>-13291.631563196133</v>
      </c>
      <c r="AB41" s="23">
        <f>Assumptions!$C$11</f>
        <v>-13291.631563196133</v>
      </c>
      <c r="AC41" s="23">
        <f>Assumptions!$C$11</f>
        <v>-13291.631563196133</v>
      </c>
      <c r="AD41" s="23">
        <f>Assumptions!$C$11</f>
        <v>-13291.631563196133</v>
      </c>
      <c r="AE41" s="23">
        <f>Assumptions!$C$11</f>
        <v>-13291.631563196133</v>
      </c>
      <c r="AF41" s="23">
        <f>Assumptions!$C$11</f>
        <v>-13291.631563196133</v>
      </c>
      <c r="AG41" s="23">
        <f>Assumptions!$C$11</f>
        <v>-13291.631563196133</v>
      </c>
      <c r="AH41" s="23">
        <f>Assumptions!$C$11</f>
        <v>-13291.631563196133</v>
      </c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</row>
    <row r="42" spans="1:60">
      <c r="A42" s="23" t="s">
        <v>157</v>
      </c>
      <c r="C42" s="319" t="e">
        <f>IS!B46-'Returns Analysis'!#REF!</f>
        <v>#REF!</v>
      </c>
      <c r="D42" s="307" t="e">
        <f>IS!C46-'Returns Analysis'!#REF!</f>
        <v>#REF!</v>
      </c>
      <c r="E42" s="307" t="e">
        <f>IS!D46-'Returns Analysis'!#REF!</f>
        <v>#REF!</v>
      </c>
      <c r="F42" s="307" t="e">
        <f>IS!E46-'Returns Analysis'!#REF!</f>
        <v>#REF!</v>
      </c>
      <c r="G42" s="307" t="e">
        <f>IS!F46-'Returns Analysis'!#REF!</f>
        <v>#REF!</v>
      </c>
      <c r="H42" s="307" t="e">
        <f>IS!G46-'Returns Analysis'!#REF!</f>
        <v>#REF!</v>
      </c>
      <c r="I42" s="307" t="e">
        <f>IS!H46-'Returns Analysis'!#REF!</f>
        <v>#REF!</v>
      </c>
      <c r="J42" s="307" t="e">
        <f>IS!I46-'Returns Analysis'!#REF!</f>
        <v>#REF!</v>
      </c>
      <c r="K42" s="307" t="e">
        <f>IS!J46-'Returns Analysis'!#REF!</f>
        <v>#REF!</v>
      </c>
      <c r="L42" s="307" t="e">
        <f>IS!K46-'Returns Analysis'!#REF!</f>
        <v>#REF!</v>
      </c>
      <c r="M42" s="307" t="e">
        <f>IS!L46-'Returns Analysis'!#REF!</f>
        <v>#REF!</v>
      </c>
      <c r="N42" s="307" t="e">
        <f>IS!M46-'Returns Analysis'!#REF!</f>
        <v>#REF!</v>
      </c>
      <c r="O42" s="307" t="e">
        <f>IS!N46-'Returns Analysis'!#REF!</f>
        <v>#REF!</v>
      </c>
      <c r="P42" s="307" t="e">
        <f>IS!O46-'Returns Analysis'!#REF!</f>
        <v>#REF!</v>
      </c>
      <c r="Q42" s="307" t="e">
        <f>IS!P46-'Returns Analysis'!#REF!</f>
        <v>#REF!</v>
      </c>
      <c r="R42" s="307" t="e">
        <f>IS!Q46-'Returns Analysis'!#REF!</f>
        <v>#REF!</v>
      </c>
      <c r="S42" s="307" t="e">
        <f>IS!R46-'Returns Analysis'!#REF!</f>
        <v>#REF!</v>
      </c>
      <c r="T42" s="307" t="e">
        <f>IS!S46-'Returns Analysis'!#REF!</f>
        <v>#REF!</v>
      </c>
      <c r="U42" s="307" t="e">
        <f>IS!T46-'Returns Analysis'!#REF!</f>
        <v>#REF!</v>
      </c>
      <c r="V42" s="307" t="e">
        <f>IS!U46-'Returns Analysis'!#REF!</f>
        <v>#REF!</v>
      </c>
      <c r="W42" s="307" t="e">
        <f>IS!V46-'Returns Analysis'!#REF!</f>
        <v>#REF!</v>
      </c>
      <c r="X42" s="307" t="e">
        <f>IS!W46-'Returns Analysis'!#REF!</f>
        <v>#REF!</v>
      </c>
      <c r="Y42" s="307" t="e">
        <f>IS!X46-'Returns Analysis'!#REF!</f>
        <v>#REF!</v>
      </c>
      <c r="Z42" s="307" t="e">
        <f>IS!Y46-'Returns Analysis'!#REF!</f>
        <v>#REF!</v>
      </c>
      <c r="AA42" s="307" t="e">
        <f>IS!Z46-'Returns Analysis'!#REF!</f>
        <v>#REF!</v>
      </c>
      <c r="AB42" s="307" t="e">
        <f>IS!AA46-'Returns Analysis'!#REF!</f>
        <v>#REF!</v>
      </c>
      <c r="AC42" s="307" t="e">
        <f>IS!AB46-'Returns Analysis'!#REF!</f>
        <v>#REF!</v>
      </c>
      <c r="AD42" s="307" t="e">
        <f>IS!AC46-'Returns Analysis'!#REF!</f>
        <v>#REF!</v>
      </c>
      <c r="AE42" s="307" t="e">
        <f>IS!AD46-'Returns Analysis'!#REF!</f>
        <v>#REF!</v>
      </c>
      <c r="AF42" s="307" t="e">
        <f>IS!AE46-'Returns Analysis'!#REF!</f>
        <v>#REF!</v>
      </c>
      <c r="AG42" s="307" t="e">
        <f>IS!AF46-'Returns Analysis'!#REF!</f>
        <v>#REF!</v>
      </c>
      <c r="AH42" s="307" t="e">
        <f>IS!AG46-'Returns Analysis'!#REF!</f>
        <v>#REF!</v>
      </c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</row>
    <row r="43" spans="1:60">
      <c r="A43" s="23" t="s">
        <v>158</v>
      </c>
      <c r="C43" s="320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</row>
    <row r="44" spans="1:60">
      <c r="A44" s="13"/>
      <c r="B44" s="13"/>
      <c r="C44" s="320"/>
      <c r="D44" s="23"/>
      <c r="E44" s="23"/>
      <c r="F44" s="309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150"/>
      <c r="AA44" s="150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</row>
    <row r="45" spans="1:60">
      <c r="A45" s="133" t="s">
        <v>159</v>
      </c>
      <c r="B45" s="13"/>
      <c r="C45" s="320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6"/>
      <c r="BH45" s="306"/>
    </row>
    <row r="46" spans="1:60">
      <c r="A46" s="23"/>
      <c r="B46" s="13"/>
      <c r="C46" s="320"/>
      <c r="D46" s="23"/>
      <c r="E46" s="23"/>
      <c r="F46" s="309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150"/>
      <c r="AA46" s="150"/>
      <c r="AB46" s="306"/>
      <c r="AC46" s="3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</row>
    <row r="47" spans="1:60">
      <c r="A47" s="133" t="s">
        <v>160</v>
      </c>
      <c r="B47" s="13"/>
      <c r="C47" s="320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  <c r="BD47" s="306"/>
      <c r="BE47" s="306"/>
      <c r="BF47" s="306"/>
      <c r="BG47" s="306"/>
      <c r="BH47" s="306"/>
    </row>
    <row r="48" spans="1:60">
      <c r="A48" s="13"/>
      <c r="B48" s="13"/>
      <c r="C48" s="23"/>
      <c r="D48" s="23"/>
      <c r="E48" s="23"/>
      <c r="F48" s="309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150"/>
      <c r="AA48" s="150"/>
      <c r="AB48" s="306"/>
      <c r="AC48" s="306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  <c r="BD48" s="306"/>
      <c r="BE48" s="306"/>
      <c r="BF48" s="306"/>
      <c r="BG48" s="306"/>
      <c r="BH48" s="306"/>
    </row>
    <row r="49" spans="1:60">
      <c r="A49" s="13"/>
      <c r="B49" s="13"/>
      <c r="C49" s="23"/>
      <c r="D49" s="23"/>
      <c r="E49" s="23"/>
      <c r="F49" s="309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150"/>
      <c r="AA49" s="150"/>
      <c r="AB49" s="306"/>
      <c r="AC49" s="3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  <c r="BD49" s="306"/>
      <c r="BE49" s="306"/>
      <c r="BF49" s="306"/>
      <c r="BG49" s="306"/>
      <c r="BH49" s="306"/>
    </row>
    <row r="50" spans="1:60">
      <c r="A50" s="13"/>
      <c r="B50" s="13"/>
      <c r="C50" s="23"/>
      <c r="D50" s="23"/>
      <c r="E50" s="23"/>
      <c r="F50" s="309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150"/>
      <c r="AA50" s="150"/>
      <c r="AB50" s="306"/>
      <c r="AC50" s="306"/>
      <c r="AD50" s="306"/>
      <c r="AE50" s="306"/>
      <c r="AF50" s="306"/>
      <c r="AG50" s="306"/>
      <c r="AH50" s="306"/>
      <c r="AI50" s="306"/>
      <c r="AJ50" s="306"/>
      <c r="AK50" s="306"/>
      <c r="AL50" s="306"/>
      <c r="AM50" s="306"/>
      <c r="AN50" s="306"/>
      <c r="AO50" s="306"/>
      <c r="AP50" s="306"/>
      <c r="AQ50" s="306"/>
      <c r="AR50" s="306"/>
      <c r="AS50" s="306"/>
      <c r="AT50" s="306"/>
      <c r="AU50" s="306"/>
      <c r="AV50" s="306"/>
      <c r="AW50" s="306"/>
      <c r="AX50" s="306"/>
      <c r="AY50" s="306"/>
      <c r="AZ50" s="306"/>
      <c r="BA50" s="306"/>
      <c r="BB50" s="306"/>
      <c r="BC50" s="306"/>
      <c r="BD50" s="306"/>
      <c r="BE50" s="306"/>
      <c r="BF50" s="306"/>
      <c r="BG50" s="306"/>
      <c r="BH50" s="306"/>
    </row>
    <row r="51" spans="1:60">
      <c r="A51" s="13"/>
      <c r="B51" s="13"/>
      <c r="C51" s="23"/>
      <c r="D51" s="23"/>
      <c r="E51" s="23"/>
      <c r="F51" s="309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150"/>
      <c r="AA51" s="150"/>
      <c r="AB51" s="306"/>
      <c r="AC51" s="306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  <c r="BD51" s="306"/>
      <c r="BE51" s="306"/>
      <c r="BF51" s="306"/>
      <c r="BG51" s="306"/>
      <c r="BH51" s="306"/>
    </row>
    <row r="52" spans="1:60">
      <c r="A52" s="13"/>
      <c r="B52" s="13"/>
      <c r="C52" s="23"/>
      <c r="D52" s="23"/>
      <c r="E52" s="23"/>
      <c r="F52" s="309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150"/>
      <c r="AA52" s="150"/>
      <c r="AB52" s="306"/>
      <c r="AC52" s="306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  <c r="BD52" s="306"/>
      <c r="BE52" s="306"/>
      <c r="BF52" s="306"/>
      <c r="BG52" s="306"/>
      <c r="BH52" s="306"/>
    </row>
    <row r="53" spans="1:60">
      <c r="A53" s="13"/>
      <c r="B53" s="13"/>
      <c r="C53" s="23"/>
      <c r="D53" s="23"/>
      <c r="E53" s="23"/>
      <c r="F53" s="309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150"/>
      <c r="AA53" s="150"/>
      <c r="AB53" s="306"/>
      <c r="AC53" s="306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  <c r="BD53" s="306"/>
      <c r="BE53" s="306"/>
      <c r="BF53" s="306"/>
      <c r="BG53" s="306"/>
      <c r="BH53" s="306"/>
    </row>
    <row r="54" spans="1:60">
      <c r="A54" s="13"/>
      <c r="B54" s="13"/>
      <c r="C54" s="23"/>
      <c r="D54" s="23"/>
      <c r="E54" s="23"/>
      <c r="F54" s="309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150"/>
      <c r="AA54" s="150"/>
      <c r="AB54" s="306"/>
      <c r="AC54" s="306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  <c r="BD54" s="306"/>
      <c r="BE54" s="306"/>
      <c r="BF54" s="306"/>
      <c r="BG54" s="306"/>
      <c r="BH54" s="306"/>
    </row>
    <row r="55" spans="1:60">
      <c r="A55" s="13"/>
      <c r="B55" s="178"/>
      <c r="C55" s="309"/>
      <c r="D55" s="309"/>
      <c r="E55" s="309"/>
      <c r="F55" s="309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150"/>
      <c r="AA55" s="150"/>
      <c r="AB55" s="306"/>
      <c r="AC55" s="306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</row>
    <row r="56" spans="1:60">
      <c r="A56" s="13"/>
      <c r="B56" s="178"/>
      <c r="C56" s="309"/>
      <c r="D56" s="309"/>
      <c r="E56" s="309"/>
      <c r="F56" s="309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150"/>
      <c r="AA56" s="150"/>
      <c r="AB56" s="306"/>
      <c r="AC56" s="306"/>
      <c r="AD56" s="306"/>
      <c r="AE56" s="306"/>
      <c r="AF56" s="306"/>
      <c r="AG56" s="306"/>
      <c r="AH56" s="306"/>
      <c r="AI56" s="306"/>
      <c r="AJ56" s="306"/>
      <c r="AK56" s="306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306"/>
      <c r="AW56" s="306"/>
      <c r="AX56" s="306"/>
      <c r="AY56" s="306"/>
      <c r="AZ56" s="306"/>
      <c r="BA56" s="306"/>
      <c r="BB56" s="306"/>
      <c r="BC56" s="306"/>
      <c r="BD56" s="306"/>
      <c r="BE56" s="306"/>
      <c r="BF56" s="306"/>
      <c r="BG56" s="306"/>
      <c r="BH56" s="306"/>
    </row>
    <row r="57" spans="1:60">
      <c r="A57" s="13"/>
      <c r="B57" s="178"/>
      <c r="C57" s="309"/>
      <c r="D57" s="309"/>
      <c r="E57" s="309"/>
      <c r="F57" s="309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150"/>
      <c r="AA57" s="150"/>
      <c r="AB57" s="306"/>
      <c r="AC57" s="306"/>
      <c r="AD57" s="306"/>
      <c r="AE57" s="306"/>
      <c r="AF57" s="306"/>
      <c r="AG57" s="306"/>
      <c r="AH57" s="306"/>
      <c r="AI57" s="306"/>
      <c r="AJ57" s="306"/>
      <c r="AK57" s="306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306"/>
      <c r="AW57" s="306"/>
      <c r="AX57" s="306"/>
      <c r="AY57" s="306"/>
      <c r="AZ57" s="306"/>
      <c r="BA57" s="306"/>
      <c r="BB57" s="306"/>
      <c r="BC57" s="306"/>
      <c r="BD57" s="306"/>
      <c r="BE57" s="306"/>
      <c r="BF57" s="306"/>
      <c r="BG57" s="306"/>
      <c r="BH57" s="306"/>
    </row>
    <row r="58" spans="1:60">
      <c r="A58" s="13"/>
      <c r="B58" s="178"/>
      <c r="C58" s="309"/>
      <c r="D58" s="309"/>
      <c r="E58" s="309"/>
      <c r="F58" s="309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150"/>
      <c r="AA58" s="150"/>
      <c r="AB58" s="306"/>
      <c r="AC58" s="306"/>
      <c r="AD58" s="306"/>
      <c r="AE58" s="306"/>
      <c r="AF58" s="306"/>
      <c r="AG58" s="306"/>
      <c r="AH58" s="306"/>
      <c r="AI58" s="306"/>
      <c r="AJ58" s="306"/>
      <c r="AK58" s="306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306"/>
      <c r="AW58" s="306"/>
      <c r="AX58" s="306"/>
      <c r="AY58" s="306"/>
      <c r="AZ58" s="306"/>
      <c r="BA58" s="306"/>
      <c r="BB58" s="306"/>
      <c r="BC58" s="306"/>
      <c r="BD58" s="306"/>
      <c r="BE58" s="306"/>
      <c r="BF58" s="306"/>
      <c r="BG58" s="306"/>
      <c r="BH58" s="306"/>
    </row>
    <row r="59" spans="1:60">
      <c r="A59" s="13"/>
      <c r="B59" s="178"/>
      <c r="C59" s="309"/>
      <c r="D59" s="309"/>
      <c r="E59" s="309"/>
      <c r="F59" s="309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150"/>
      <c r="AA59" s="150"/>
      <c r="AB59" s="306"/>
      <c r="AC59" s="306"/>
      <c r="AD59" s="306"/>
      <c r="AE59" s="306"/>
      <c r="AF59" s="306"/>
      <c r="AG59" s="306"/>
      <c r="AH59" s="306"/>
      <c r="AI59" s="306"/>
      <c r="AJ59" s="306"/>
      <c r="AK59" s="306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306"/>
      <c r="AW59" s="306"/>
      <c r="AX59" s="306"/>
      <c r="AY59" s="306"/>
      <c r="AZ59" s="306"/>
      <c r="BA59" s="306"/>
      <c r="BB59" s="306"/>
      <c r="BC59" s="306"/>
      <c r="BD59" s="306"/>
      <c r="BE59" s="306"/>
      <c r="BF59" s="306"/>
      <c r="BG59" s="306"/>
      <c r="BH59" s="306"/>
    </row>
    <row r="60" spans="1:60">
      <c r="A60" s="13"/>
      <c r="B60" s="178"/>
      <c r="C60" s="309"/>
      <c r="D60" s="309"/>
      <c r="E60" s="309"/>
      <c r="F60" s="309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150"/>
      <c r="AA60" s="150"/>
      <c r="AB60" s="306"/>
      <c r="AC60" s="306"/>
      <c r="AD60" s="306"/>
      <c r="AE60" s="306"/>
      <c r="AF60" s="306"/>
      <c r="AG60" s="306"/>
      <c r="AH60" s="306"/>
      <c r="AI60" s="306"/>
      <c r="AJ60" s="306"/>
      <c r="AK60" s="306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306"/>
      <c r="AW60" s="306"/>
      <c r="AX60" s="306"/>
      <c r="AY60" s="306"/>
    </row>
    <row r="61" spans="1:60">
      <c r="A61" s="178"/>
      <c r="B61" s="178"/>
      <c r="C61" s="309"/>
      <c r="D61" s="309"/>
      <c r="E61" s="309"/>
      <c r="F61" s="309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150"/>
      <c r="AA61" s="150"/>
      <c r="AB61" s="306"/>
      <c r="AC61" s="306"/>
      <c r="AD61" s="306"/>
      <c r="AE61" s="306"/>
      <c r="AF61" s="306"/>
      <c r="AG61" s="306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</row>
    <row r="62" spans="1:60"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150"/>
      <c r="AA62" s="150"/>
      <c r="AB62" s="306"/>
      <c r="AC62" s="306"/>
      <c r="AD62" s="306"/>
      <c r="AE62" s="306"/>
      <c r="AF62" s="306"/>
      <c r="AG62" s="306"/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306"/>
      <c r="AW62" s="306"/>
      <c r="AX62" s="306"/>
      <c r="AY62" s="306"/>
    </row>
    <row r="63" spans="1:60"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150"/>
      <c r="AA63" s="150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</row>
    <row r="64" spans="1:60"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150"/>
      <c r="AA64" s="150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6"/>
      <c r="AT64" s="306"/>
      <c r="AU64" s="306"/>
      <c r="AV64" s="306"/>
      <c r="AW64" s="306"/>
      <c r="AX64" s="306"/>
      <c r="AY64" s="306"/>
    </row>
    <row r="65" spans="3:51"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150"/>
      <c r="AA65" s="150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</row>
    <row r="66" spans="3:51"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150"/>
      <c r="AA66" s="150"/>
      <c r="AB66" s="306"/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306"/>
      <c r="AW66" s="306"/>
      <c r="AX66" s="306"/>
      <c r="AY66" s="306"/>
    </row>
    <row r="67" spans="3:51"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150"/>
      <c r="AA67" s="150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</row>
    <row r="68" spans="3:51"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150"/>
      <c r="AA68" s="150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</row>
    <row r="69" spans="3:51"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150"/>
      <c r="AA69" s="150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6"/>
      <c r="AX69" s="306"/>
      <c r="AY69" s="306"/>
    </row>
    <row r="70" spans="3:51"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150"/>
      <c r="AA70" s="150"/>
      <c r="AB70" s="306"/>
      <c r="AC70" s="306"/>
      <c r="AD70" s="306"/>
      <c r="AE70" s="306"/>
      <c r="AF70" s="306"/>
      <c r="AG70" s="306"/>
      <c r="AH70" s="306"/>
      <c r="AI70" s="306"/>
      <c r="AJ70" s="306"/>
      <c r="AK70" s="306"/>
      <c r="AL70" s="306"/>
      <c r="AM70" s="306"/>
      <c r="AN70" s="306"/>
      <c r="AO70" s="306"/>
      <c r="AP70" s="306"/>
      <c r="AQ70" s="306"/>
      <c r="AR70" s="306"/>
      <c r="AS70" s="306"/>
      <c r="AT70" s="306"/>
      <c r="AU70" s="306"/>
      <c r="AV70" s="306"/>
      <c r="AW70" s="306"/>
      <c r="AX70" s="306"/>
      <c r="AY70" s="306"/>
    </row>
    <row r="71" spans="3:51"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150"/>
      <c r="AA71" s="150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</row>
    <row r="72" spans="3:51"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150"/>
      <c r="AA72" s="150"/>
      <c r="AB72" s="306"/>
      <c r="AC72" s="306"/>
      <c r="AD72" s="306"/>
      <c r="AE72" s="306"/>
      <c r="AF72" s="306"/>
      <c r="AG72" s="306"/>
      <c r="AH72" s="306"/>
      <c r="AI72" s="306"/>
      <c r="AJ72" s="306"/>
      <c r="AK72" s="306"/>
      <c r="AL72" s="306"/>
      <c r="AM72" s="306"/>
      <c r="AN72" s="306"/>
      <c r="AO72" s="306"/>
      <c r="AP72" s="306"/>
      <c r="AQ72" s="306"/>
      <c r="AR72" s="306"/>
      <c r="AS72" s="306"/>
      <c r="AT72" s="306"/>
      <c r="AU72" s="306"/>
      <c r="AV72" s="306"/>
      <c r="AW72" s="306"/>
      <c r="AX72" s="306"/>
      <c r="AY72" s="306"/>
    </row>
    <row r="73" spans="3:51"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150"/>
      <c r="AA73" s="150"/>
      <c r="AB73" s="306"/>
      <c r="AC73" s="306"/>
      <c r="AD73" s="306"/>
      <c r="AE73" s="306"/>
      <c r="AF73" s="306"/>
      <c r="AG73" s="306"/>
      <c r="AH73" s="306"/>
      <c r="AI73" s="306"/>
      <c r="AJ73" s="306"/>
      <c r="AK73" s="306"/>
      <c r="AL73" s="306"/>
      <c r="AM73" s="306"/>
      <c r="AN73" s="306"/>
      <c r="AO73" s="306"/>
      <c r="AP73" s="306"/>
      <c r="AQ73" s="306"/>
      <c r="AR73" s="306"/>
      <c r="AS73" s="306"/>
      <c r="AT73" s="306"/>
      <c r="AU73" s="306"/>
      <c r="AV73" s="306"/>
      <c r="AW73" s="306"/>
      <c r="AX73" s="306"/>
      <c r="AY73" s="306"/>
    </row>
    <row r="74" spans="3:51"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150"/>
      <c r="AA74" s="150"/>
      <c r="AB74" s="306"/>
      <c r="AC74" s="306"/>
      <c r="AD74" s="306"/>
      <c r="AE74" s="306"/>
      <c r="AF74" s="306"/>
      <c r="AG74" s="306"/>
      <c r="AH74" s="306"/>
      <c r="AI74" s="306"/>
      <c r="AJ74" s="306"/>
      <c r="AK74" s="306"/>
      <c r="AL74" s="306"/>
      <c r="AM74" s="306"/>
      <c r="AN74" s="306"/>
      <c r="AO74" s="306"/>
      <c r="AP74" s="306"/>
      <c r="AQ74" s="306"/>
      <c r="AR74" s="306"/>
      <c r="AS74" s="306"/>
      <c r="AT74" s="306"/>
      <c r="AU74" s="306"/>
      <c r="AV74" s="306"/>
      <c r="AW74" s="306"/>
      <c r="AX74" s="306"/>
      <c r="AY74" s="306"/>
    </row>
    <row r="75" spans="3:51"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150"/>
      <c r="AA75" s="150"/>
      <c r="AB75" s="306"/>
      <c r="AC75" s="306"/>
      <c r="AD75" s="306"/>
      <c r="AE75" s="306"/>
      <c r="AF75" s="306"/>
      <c r="AG75" s="306"/>
      <c r="AH75" s="306"/>
      <c r="AI75" s="306"/>
      <c r="AJ75" s="306"/>
      <c r="AK75" s="306"/>
      <c r="AL75" s="306"/>
      <c r="AM75" s="306"/>
      <c r="AN75" s="306"/>
      <c r="AO75" s="306"/>
      <c r="AP75" s="306"/>
      <c r="AQ75" s="306"/>
      <c r="AR75" s="306"/>
      <c r="AS75" s="306"/>
      <c r="AT75" s="306"/>
      <c r="AU75" s="306"/>
      <c r="AV75" s="306"/>
      <c r="AW75" s="306"/>
      <c r="AX75" s="306"/>
      <c r="AY75" s="306"/>
    </row>
    <row r="76" spans="3:51"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150"/>
      <c r="AA76" s="150"/>
      <c r="AB76" s="306"/>
      <c r="AC76" s="306"/>
      <c r="AD76" s="306"/>
      <c r="AE76" s="306"/>
      <c r="AF76" s="306"/>
      <c r="AG76" s="306"/>
      <c r="AH76" s="306"/>
      <c r="AI76" s="306"/>
      <c r="AJ76" s="306"/>
      <c r="AK76" s="306"/>
      <c r="AL76" s="306"/>
      <c r="AM76" s="306"/>
      <c r="AN76" s="306"/>
      <c r="AO76" s="306"/>
      <c r="AP76" s="306"/>
      <c r="AQ76" s="306"/>
      <c r="AR76" s="306"/>
      <c r="AS76" s="306"/>
      <c r="AT76" s="306"/>
      <c r="AU76" s="306"/>
      <c r="AV76" s="306"/>
      <c r="AW76" s="306"/>
      <c r="AX76" s="306"/>
      <c r="AY76" s="306"/>
    </row>
    <row r="77" spans="3:51"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150"/>
      <c r="AA77" s="150"/>
      <c r="AB77" s="306"/>
      <c r="AC77" s="306"/>
      <c r="AD77" s="306"/>
      <c r="AE77" s="306"/>
      <c r="AF77" s="306"/>
      <c r="AG77" s="306"/>
      <c r="AH77" s="306"/>
      <c r="AI77" s="306"/>
      <c r="AJ77" s="306"/>
      <c r="AK77" s="306"/>
      <c r="AL77" s="306"/>
      <c r="AM77" s="306"/>
      <c r="AN77" s="306"/>
      <c r="AO77" s="306"/>
      <c r="AP77" s="306"/>
      <c r="AQ77" s="306"/>
      <c r="AR77" s="306"/>
      <c r="AS77" s="306"/>
      <c r="AT77" s="306"/>
      <c r="AU77" s="306"/>
      <c r="AV77" s="306"/>
      <c r="AW77" s="306"/>
      <c r="AX77" s="306"/>
      <c r="AY77" s="306"/>
    </row>
    <row r="78" spans="3:51"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150"/>
      <c r="AA78" s="150"/>
      <c r="AB78" s="306"/>
      <c r="AC78" s="306"/>
      <c r="AD78" s="306"/>
      <c r="AE78" s="306"/>
      <c r="AF78" s="306"/>
      <c r="AG78" s="306"/>
      <c r="AH78" s="306"/>
      <c r="AI78" s="306"/>
      <c r="AJ78" s="306"/>
      <c r="AK78" s="306"/>
      <c r="AL78" s="306"/>
      <c r="AM78" s="306"/>
      <c r="AN78" s="306"/>
      <c r="AO78" s="306"/>
      <c r="AP78" s="306"/>
      <c r="AQ78" s="306"/>
      <c r="AR78" s="306"/>
      <c r="AS78" s="306"/>
      <c r="AT78" s="306"/>
      <c r="AU78" s="306"/>
      <c r="AV78" s="306"/>
      <c r="AW78" s="306"/>
      <c r="AX78" s="306"/>
      <c r="AY78" s="306"/>
    </row>
    <row r="79" spans="3:51"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150"/>
      <c r="AA79" s="150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306"/>
      <c r="AM79" s="306"/>
      <c r="AN79" s="306"/>
      <c r="AO79" s="306"/>
      <c r="AP79" s="306"/>
      <c r="AQ79" s="306"/>
      <c r="AR79" s="306"/>
      <c r="AS79" s="306"/>
      <c r="AT79" s="306"/>
      <c r="AU79" s="306"/>
      <c r="AV79" s="306"/>
      <c r="AW79" s="306"/>
      <c r="AX79" s="306"/>
      <c r="AY79" s="306"/>
    </row>
    <row r="80" spans="3:51"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150"/>
      <c r="AA80" s="150"/>
      <c r="AB80" s="306"/>
      <c r="AC80" s="306"/>
      <c r="AD80" s="306"/>
      <c r="AE80" s="306"/>
      <c r="AF80" s="306"/>
      <c r="AG80" s="306"/>
      <c r="AH80" s="306"/>
      <c r="AI80" s="306"/>
      <c r="AJ80" s="306"/>
      <c r="AK80" s="306"/>
      <c r="AL80" s="306"/>
      <c r="AM80" s="306"/>
      <c r="AN80" s="306"/>
      <c r="AO80" s="306"/>
      <c r="AP80" s="306"/>
      <c r="AQ80" s="306"/>
      <c r="AR80" s="306"/>
      <c r="AS80" s="306"/>
      <c r="AT80" s="306"/>
      <c r="AU80" s="306"/>
      <c r="AV80" s="306"/>
      <c r="AW80" s="306"/>
      <c r="AX80" s="306"/>
      <c r="AY80" s="306"/>
    </row>
    <row r="81" spans="3:51"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150"/>
      <c r="AA81" s="150"/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6"/>
      <c r="AM81" s="306"/>
      <c r="AN81" s="306"/>
      <c r="AO81" s="306"/>
      <c r="AP81" s="306"/>
      <c r="AQ81" s="306"/>
      <c r="AR81" s="306"/>
      <c r="AS81" s="306"/>
      <c r="AT81" s="306"/>
      <c r="AU81" s="306"/>
      <c r="AV81" s="306"/>
      <c r="AW81" s="306"/>
      <c r="AX81" s="306"/>
      <c r="AY81" s="306"/>
    </row>
    <row r="82" spans="3:51"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150"/>
      <c r="AA82" s="150"/>
      <c r="AB82" s="306"/>
      <c r="AC82" s="306"/>
      <c r="AD82" s="306"/>
      <c r="AE82" s="306"/>
      <c r="AF82" s="306"/>
      <c r="AG82" s="306"/>
      <c r="AH82" s="306"/>
      <c r="AI82" s="306"/>
      <c r="AJ82" s="306"/>
      <c r="AK82" s="306"/>
      <c r="AL82" s="306"/>
      <c r="AM82" s="306"/>
      <c r="AN82" s="306"/>
      <c r="AO82" s="306"/>
      <c r="AP82" s="306"/>
      <c r="AQ82" s="306"/>
      <c r="AR82" s="306"/>
      <c r="AS82" s="306"/>
      <c r="AT82" s="306"/>
      <c r="AU82" s="306"/>
      <c r="AV82" s="306"/>
      <c r="AW82" s="306"/>
      <c r="AX82" s="306"/>
      <c r="AY82" s="306"/>
    </row>
    <row r="83" spans="3:51"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150"/>
      <c r="AA83" s="150"/>
      <c r="AB83" s="306"/>
      <c r="AC83" s="306"/>
      <c r="AD83" s="306"/>
      <c r="AE83" s="306"/>
      <c r="AF83" s="306"/>
      <c r="AG83" s="306"/>
      <c r="AH83" s="306"/>
      <c r="AI83" s="306"/>
      <c r="AJ83" s="306"/>
      <c r="AK83" s="306"/>
      <c r="AL83" s="306"/>
      <c r="AM83" s="306"/>
      <c r="AN83" s="306"/>
      <c r="AO83" s="306"/>
      <c r="AP83" s="306"/>
      <c r="AQ83" s="306"/>
      <c r="AR83" s="306"/>
      <c r="AS83" s="306"/>
      <c r="AT83" s="306"/>
      <c r="AU83" s="306"/>
      <c r="AV83" s="306"/>
      <c r="AW83" s="306"/>
      <c r="AX83" s="306"/>
      <c r="AY83" s="306"/>
    </row>
    <row r="84" spans="3:51"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150"/>
      <c r="AA84" s="150"/>
      <c r="AB84" s="306"/>
      <c r="AC84" s="306"/>
      <c r="AD84" s="306"/>
      <c r="AE84" s="306"/>
      <c r="AF84" s="306"/>
      <c r="AG84" s="306"/>
      <c r="AH84" s="306"/>
      <c r="AI84" s="306"/>
      <c r="AJ84" s="306"/>
      <c r="AK84" s="306"/>
      <c r="AL84" s="306"/>
      <c r="AM84" s="306"/>
      <c r="AN84" s="306"/>
      <c r="AO84" s="306"/>
      <c r="AP84" s="306"/>
      <c r="AQ84" s="306"/>
      <c r="AR84" s="306"/>
      <c r="AS84" s="306"/>
      <c r="AT84" s="306"/>
      <c r="AU84" s="306"/>
      <c r="AV84" s="306"/>
      <c r="AW84" s="306"/>
      <c r="AX84" s="306"/>
      <c r="AY84" s="306"/>
    </row>
    <row r="85" spans="3:51"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150"/>
      <c r="AA85" s="150"/>
      <c r="AB85" s="306"/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306"/>
      <c r="AW85" s="306"/>
      <c r="AX85" s="306"/>
      <c r="AY85" s="306"/>
    </row>
    <row r="86" spans="3:51"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150"/>
      <c r="AA86" s="150"/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</row>
    <row r="87" spans="3:51"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150"/>
      <c r="AA87" s="150"/>
      <c r="AB87" s="306"/>
      <c r="AC87" s="3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</row>
    <row r="88" spans="3:51"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150"/>
      <c r="AA88" s="150"/>
      <c r="AB88" s="306"/>
      <c r="AC88" s="3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</row>
    <row r="89" spans="3:51"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150"/>
      <c r="AA89" s="150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</row>
    <row r="90" spans="3:51"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150"/>
      <c r="AA90" s="150"/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18"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7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18" t="s">
        <v>403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5" thickBot="1">
      <c r="A7" s="122" t="s">
        <v>38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94"/>
      <c r="B8" s="393">
        <f>IS!C8</f>
        <v>37256</v>
      </c>
      <c r="C8" s="393">
        <f>IS!D8</f>
        <v>37621</v>
      </c>
      <c r="D8" s="393">
        <f>IS!E8</f>
        <v>37986</v>
      </c>
      <c r="E8" s="393">
        <f>IS!F8</f>
        <v>38352</v>
      </c>
      <c r="F8" s="393">
        <f>IS!G8</f>
        <v>38717</v>
      </c>
      <c r="G8" s="393">
        <f>IS!H8</f>
        <v>39082</v>
      </c>
      <c r="H8" s="393">
        <f>IS!I8</f>
        <v>39447</v>
      </c>
      <c r="I8" s="393">
        <f>IS!J8</f>
        <v>39813</v>
      </c>
      <c r="J8" s="393">
        <f>IS!K8</f>
        <v>40178</v>
      </c>
      <c r="K8" s="393">
        <f>IS!L8</f>
        <v>40543</v>
      </c>
      <c r="L8" s="393">
        <f>IS!M8</f>
        <v>40908</v>
      </c>
      <c r="M8" s="393">
        <f>IS!N8</f>
        <v>41274</v>
      </c>
      <c r="N8" s="393">
        <f>IS!O8</f>
        <v>41639</v>
      </c>
      <c r="O8" s="393">
        <f>IS!P8</f>
        <v>42004</v>
      </c>
      <c r="P8" s="393">
        <f>IS!Q8</f>
        <v>42369</v>
      </c>
      <c r="Q8" s="393">
        <f>IS!R8</f>
        <v>42735</v>
      </c>
      <c r="R8" s="393">
        <f>IS!S8</f>
        <v>43100</v>
      </c>
      <c r="S8" s="393">
        <f>IS!T8</f>
        <v>43465</v>
      </c>
      <c r="T8" s="393">
        <f>IS!U8</f>
        <v>43830</v>
      </c>
      <c r="U8" s="393">
        <f>IS!V8</f>
        <v>44196</v>
      </c>
      <c r="V8" s="393">
        <f>IS!W8</f>
        <v>44561</v>
      </c>
      <c r="W8" s="393">
        <f>IS!X8</f>
        <v>44926</v>
      </c>
      <c r="X8" s="393">
        <f>IS!Y8</f>
        <v>45291</v>
      </c>
      <c r="Y8" s="393">
        <f>IS!Z8</f>
        <v>45657</v>
      </c>
      <c r="Z8" s="393">
        <f>IS!AA8</f>
        <v>46022</v>
      </c>
      <c r="AA8" s="393">
        <f>IS!AB8</f>
        <v>46387</v>
      </c>
      <c r="AB8" s="393">
        <f>IS!AC8</f>
        <v>46752</v>
      </c>
      <c r="AC8" s="393">
        <f>IS!AD8</f>
        <v>47118</v>
      </c>
      <c r="AD8" s="393">
        <f>IS!AE8</f>
        <v>47483</v>
      </c>
      <c r="AE8" s="393">
        <f>IS!AF8</f>
        <v>47848</v>
      </c>
      <c r="AF8" s="393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6" t="s">
        <v>385</v>
      </c>
      <c r="B11" s="387">
        <f>B29+B38</f>
        <v>2332.2049180327881</v>
      </c>
      <c r="C11" s="387">
        <f t="shared" ref="C11:AF11" si="1">C29+C38</f>
        <v>5689.2286892731472</v>
      </c>
      <c r="D11" s="387">
        <f t="shared" si="1"/>
        <v>5714.0118410958912</v>
      </c>
      <c r="E11" s="387">
        <f t="shared" si="1"/>
        <v>5694.9268951774084</v>
      </c>
      <c r="F11" s="387">
        <f t="shared" si="1"/>
        <v>5663.5970662193013</v>
      </c>
      <c r="G11" s="387">
        <f t="shared" si="1"/>
        <v>5643.2413398159279</v>
      </c>
      <c r="H11" s="387">
        <f t="shared" si="1"/>
        <v>5618.3506304211196</v>
      </c>
      <c r="I11" s="387">
        <f t="shared" si="1"/>
        <v>5596.5844869084103</v>
      </c>
      <c r="J11" s="387">
        <f t="shared" si="1"/>
        <v>5562.7023390668382</v>
      </c>
      <c r="K11" s="387">
        <f t="shared" si="1"/>
        <v>5539.5167314434984</v>
      </c>
      <c r="L11" s="387">
        <f t="shared" si="1"/>
        <v>5511.7859843523383</v>
      </c>
      <c r="M11" s="387">
        <f t="shared" si="1"/>
        <v>5487.0249571781515</v>
      </c>
      <c r="N11" s="387">
        <f t="shared" si="1"/>
        <v>5450.2911107579366</v>
      </c>
      <c r="O11" s="387">
        <f t="shared" si="1"/>
        <v>5423.9441658770211</v>
      </c>
      <c r="P11" s="463">
        <f t="shared" si="1"/>
        <v>5393.0403392373028</v>
      </c>
      <c r="Q11" s="387">
        <f t="shared" si="1"/>
        <v>5364.9332537185373</v>
      </c>
      <c r="R11" s="387">
        <f t="shared" si="1"/>
        <v>5325.0124819152516</v>
      </c>
      <c r="S11" s="387">
        <f t="shared" si="1"/>
        <v>5295.1330982936161</v>
      </c>
      <c r="T11" s="387">
        <f t="shared" si="1"/>
        <v>5260.6832801302771</v>
      </c>
      <c r="U11" s="387">
        <f t="shared" si="1"/>
        <v>5228.8369229330856</v>
      </c>
      <c r="V11" s="387">
        <f t="shared" si="1"/>
        <v>2078.6469798569069</v>
      </c>
      <c r="W11" s="387">
        <f t="shared" si="1"/>
        <v>-852.80006489285324</v>
      </c>
      <c r="X11" s="387">
        <f t="shared" si="1"/>
        <v>-1510.8870256287723</v>
      </c>
      <c r="Y11" s="387">
        <f t="shared" si="1"/>
        <v>-1551.4252088333151</v>
      </c>
      <c r="Z11" s="387">
        <f t="shared" si="1"/>
        <v>-1589.8668308241668</v>
      </c>
      <c r="AA11" s="387">
        <f t="shared" si="1"/>
        <v>-1632.6198365880689</v>
      </c>
      <c r="AB11" s="387">
        <f t="shared" si="1"/>
        <v>-1675.4646741608967</v>
      </c>
      <c r="AC11" s="387">
        <f t="shared" si="1"/>
        <v>-1720.6757322332901</v>
      </c>
      <c r="AD11" s="387">
        <f t="shared" si="1"/>
        <v>-1763.5713513100366</v>
      </c>
      <c r="AE11" s="387">
        <f t="shared" si="1"/>
        <v>-1811.2591478205072</v>
      </c>
      <c r="AF11" s="463">
        <f t="shared" si="1"/>
        <v>-2325.5422819476958</v>
      </c>
      <c r="AG11"/>
      <c r="AN11" s="523">
        <f>IF(MONTH(C23)=MONTH(Assumptions!G34),1,2)</f>
        <v>1</v>
      </c>
    </row>
    <row r="12" spans="1:40">
      <c r="A12" s="388" t="s">
        <v>0</v>
      </c>
      <c r="B12" s="384">
        <v>1.3</v>
      </c>
      <c r="C12" s="384">
        <v>1.3</v>
      </c>
      <c r="D12" s="384">
        <v>1.3</v>
      </c>
      <c r="E12" s="384">
        <v>1.3</v>
      </c>
      <c r="F12" s="384">
        <v>1.3</v>
      </c>
      <c r="G12" s="384">
        <v>1.3</v>
      </c>
      <c r="H12" s="384">
        <v>1.3</v>
      </c>
      <c r="I12" s="384">
        <v>1.3</v>
      </c>
      <c r="J12" s="384">
        <v>1.3</v>
      </c>
      <c r="K12" s="384">
        <v>1.3</v>
      </c>
      <c r="L12" s="384">
        <v>1.3</v>
      </c>
      <c r="M12" s="384">
        <v>1.3</v>
      </c>
      <c r="N12" s="384">
        <v>1.3</v>
      </c>
      <c r="O12" s="384">
        <v>1.3</v>
      </c>
      <c r="P12" s="389">
        <v>1.3</v>
      </c>
      <c r="Q12" s="384">
        <v>1.3</v>
      </c>
      <c r="R12" s="384">
        <v>1.3</v>
      </c>
      <c r="S12" s="384">
        <v>1.3</v>
      </c>
      <c r="T12" s="384">
        <v>1.3</v>
      </c>
      <c r="U12" s="384">
        <v>1.3</v>
      </c>
      <c r="V12" s="384">
        <v>1.3</v>
      </c>
      <c r="W12" s="384">
        <v>1.3</v>
      </c>
      <c r="X12" s="384">
        <v>1.3</v>
      </c>
      <c r="Y12" s="384">
        <v>1.3</v>
      </c>
      <c r="Z12" s="384">
        <v>1.3</v>
      </c>
      <c r="AA12" s="384">
        <v>1.3</v>
      </c>
      <c r="AB12" s="384">
        <v>1.3</v>
      </c>
      <c r="AC12" s="384">
        <v>1.3</v>
      </c>
      <c r="AD12" s="384">
        <v>1.3</v>
      </c>
      <c r="AE12" s="384">
        <v>1.3</v>
      </c>
      <c r="AF12" s="389">
        <v>1.3</v>
      </c>
      <c r="AG12"/>
      <c r="AN12" s="523">
        <f>IF(AN11=1,6,15)</f>
        <v>6</v>
      </c>
    </row>
    <row r="13" spans="1:40">
      <c r="A13" s="390" t="s">
        <v>320</v>
      </c>
      <c r="B13" s="305">
        <f>B11/B12</f>
        <v>1794.0037831021446</v>
      </c>
      <c r="C13" s="305">
        <f t="shared" ref="C13:AF13" si="2">C11/C12</f>
        <v>4376.3297609793435</v>
      </c>
      <c r="D13" s="305">
        <f t="shared" si="2"/>
        <v>4395.3937239199158</v>
      </c>
      <c r="E13" s="305">
        <f t="shared" si="2"/>
        <v>4380.7129962903136</v>
      </c>
      <c r="F13" s="305">
        <f t="shared" si="2"/>
        <v>4356.613127861001</v>
      </c>
      <c r="G13" s="305">
        <f t="shared" si="2"/>
        <v>4340.9548767814831</v>
      </c>
      <c r="H13" s="305">
        <f t="shared" si="2"/>
        <v>4321.808177247015</v>
      </c>
      <c r="I13" s="305">
        <f t="shared" si="2"/>
        <v>4305.0649899295458</v>
      </c>
      <c r="J13" s="305">
        <f t="shared" si="2"/>
        <v>4279.0017992821831</v>
      </c>
      <c r="K13" s="305">
        <f t="shared" si="2"/>
        <v>4261.1667164949986</v>
      </c>
      <c r="L13" s="305">
        <f t="shared" si="2"/>
        <v>4239.8353725787219</v>
      </c>
      <c r="M13" s="305">
        <f t="shared" si="2"/>
        <v>4220.7884285985783</v>
      </c>
      <c r="N13" s="305">
        <f t="shared" si="2"/>
        <v>4192.531623659951</v>
      </c>
      <c r="O13" s="305">
        <f t="shared" si="2"/>
        <v>4172.2647429823237</v>
      </c>
      <c r="P13" s="391">
        <f t="shared" si="2"/>
        <v>4148.4925686440793</v>
      </c>
      <c r="Q13" s="305">
        <f t="shared" si="2"/>
        <v>4126.871733629644</v>
      </c>
      <c r="R13" s="305">
        <f t="shared" si="2"/>
        <v>4096.1634476271165</v>
      </c>
      <c r="S13" s="305">
        <f t="shared" si="2"/>
        <v>4073.1793063797045</v>
      </c>
      <c r="T13" s="305">
        <f t="shared" si="2"/>
        <v>4046.6794462540593</v>
      </c>
      <c r="U13" s="305">
        <f t="shared" si="2"/>
        <v>4022.1822484100658</v>
      </c>
      <c r="V13" s="305">
        <f t="shared" si="2"/>
        <v>1598.9592152745438</v>
      </c>
      <c r="W13" s="305">
        <f t="shared" si="2"/>
        <v>-656.00004991757942</v>
      </c>
      <c r="X13" s="305">
        <f t="shared" si="2"/>
        <v>-1162.2207889452095</v>
      </c>
      <c r="Y13" s="305">
        <f t="shared" si="2"/>
        <v>-1193.4040067948577</v>
      </c>
      <c r="Z13" s="305">
        <f t="shared" si="2"/>
        <v>-1222.9744852493591</v>
      </c>
      <c r="AA13" s="305">
        <f t="shared" si="2"/>
        <v>-1255.8614127600529</v>
      </c>
      <c r="AB13" s="305">
        <f t="shared" si="2"/>
        <v>-1288.8189801237666</v>
      </c>
      <c r="AC13" s="305">
        <f t="shared" si="2"/>
        <v>-1323.5967171025309</v>
      </c>
      <c r="AD13" s="305">
        <f t="shared" si="2"/>
        <v>-1356.5933471615665</v>
      </c>
      <c r="AE13" s="305">
        <f t="shared" si="2"/>
        <v>-1393.2762675542363</v>
      </c>
      <c r="AF13" s="391">
        <f t="shared" si="2"/>
        <v>-1788.8786784213044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5"/>
      <c r="C16" s="65"/>
      <c r="AG16"/>
    </row>
    <row r="17" spans="1:33">
      <c r="A17" s="53"/>
      <c r="B17" s="225"/>
      <c r="C17" s="525"/>
      <c r="AG17"/>
    </row>
    <row r="18" spans="1:33">
      <c r="A18" s="53"/>
      <c r="B18" s="225"/>
      <c r="AG18"/>
    </row>
    <row r="19" spans="1:33">
      <c r="A19" s="11" t="s">
        <v>344</v>
      </c>
      <c r="B19" s="397">
        <v>68291.631563196133</v>
      </c>
      <c r="S19" s="18"/>
      <c r="AF19" s="65"/>
      <c r="AG19"/>
    </row>
    <row r="20" spans="1:33">
      <c r="A20" s="11" t="s">
        <v>343</v>
      </c>
      <c r="B20" s="402">
        <f>HLOOKUP(Assumptions!G34,B23:AF39,AN12)</f>
        <v>110712.07686811629</v>
      </c>
      <c r="AF20" s="525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2">
        <v>36982</v>
      </c>
      <c r="C23" s="392">
        <v>37347</v>
      </c>
      <c r="D23" s="392">
        <v>37712</v>
      </c>
      <c r="E23" s="392">
        <v>38078</v>
      </c>
      <c r="F23" s="392">
        <v>38443</v>
      </c>
      <c r="G23" s="392">
        <v>38808</v>
      </c>
      <c r="H23" s="392">
        <v>39173</v>
      </c>
      <c r="I23" s="392">
        <v>39539</v>
      </c>
      <c r="J23" s="392">
        <v>39904</v>
      </c>
      <c r="K23" s="392">
        <v>40269</v>
      </c>
      <c r="L23" s="392">
        <v>40634</v>
      </c>
      <c r="M23" s="392">
        <v>41000</v>
      </c>
      <c r="N23" s="392">
        <v>41365</v>
      </c>
      <c r="O23" s="392">
        <v>41730</v>
      </c>
      <c r="P23" s="392">
        <v>42095</v>
      </c>
      <c r="Q23" s="392">
        <v>42461</v>
      </c>
      <c r="R23" s="392">
        <v>42826</v>
      </c>
      <c r="S23" s="392">
        <v>43191</v>
      </c>
      <c r="T23" s="392">
        <v>43556</v>
      </c>
      <c r="U23" s="392">
        <v>43922</v>
      </c>
      <c r="V23" s="392">
        <v>44287</v>
      </c>
      <c r="W23" s="392">
        <v>44652</v>
      </c>
      <c r="X23" s="392">
        <v>45017</v>
      </c>
      <c r="Y23" s="392">
        <v>45383</v>
      </c>
      <c r="Z23" s="392">
        <v>45748</v>
      </c>
      <c r="AA23" s="392">
        <v>46113</v>
      </c>
      <c r="AB23" s="392">
        <v>46478</v>
      </c>
      <c r="AC23" s="392">
        <v>46844</v>
      </c>
      <c r="AD23" s="392">
        <v>47209</v>
      </c>
      <c r="AE23" s="392">
        <v>47574</v>
      </c>
      <c r="AF23" s="392">
        <v>47939</v>
      </c>
      <c r="AG23" s="526">
        <v>47969</v>
      </c>
    </row>
    <row r="24" spans="1:33">
      <c r="A24" s="48" t="s">
        <v>54</v>
      </c>
      <c r="B24"/>
      <c r="C24" s="48">
        <f>B45</f>
        <v>68857.685601877543</v>
      </c>
      <c r="D24" s="48">
        <f t="shared" ref="D24:AF24" si="3">C45</f>
        <v>70187.761084147336</v>
      </c>
      <c r="E24" s="48">
        <f t="shared" si="3"/>
        <v>71611.382250037801</v>
      </c>
      <c r="F24" s="48">
        <f t="shared" si="3"/>
        <v>73174.297755199543</v>
      </c>
      <c r="G24" s="48">
        <f t="shared" si="3"/>
        <v>74884.690224892765</v>
      </c>
      <c r="H24" s="48">
        <f t="shared" si="3"/>
        <v>76759.364827924568</v>
      </c>
      <c r="I24" s="48">
        <f t="shared" si="3"/>
        <v>78811.432619899206</v>
      </c>
      <c r="J24" s="48">
        <f t="shared" si="3"/>
        <v>81058.23318264258</v>
      </c>
      <c r="K24" s="48">
        <f t="shared" si="3"/>
        <v>83511.220292761427</v>
      </c>
      <c r="L24" s="48">
        <f t="shared" si="3"/>
        <v>86193.700395952052</v>
      </c>
      <c r="M24" s="48">
        <f t="shared" si="3"/>
        <v>89123.821989197168</v>
      </c>
      <c r="N24" s="48">
        <f t="shared" si="3"/>
        <v>92325.560057593771</v>
      </c>
      <c r="O24" s="48">
        <f t="shared" si="3"/>
        <v>95814.872667872594</v>
      </c>
      <c r="P24" s="48">
        <f t="shared" si="3"/>
        <v>99624.079968647799</v>
      </c>
      <c r="Q24" s="48">
        <f t="shared" si="3"/>
        <v>103778.29224610774</v>
      </c>
      <c r="R24" s="48">
        <f t="shared" si="3"/>
        <v>108310.67085903342</v>
      </c>
      <c r="S24" s="48">
        <f t="shared" si="3"/>
        <v>113243.38029640241</v>
      </c>
      <c r="T24" s="48">
        <f t="shared" si="3"/>
        <v>118621.22962168278</v>
      </c>
      <c r="U24" s="48">
        <f t="shared" si="3"/>
        <v>124478.95011151925</v>
      </c>
      <c r="V24" s="48">
        <f t="shared" si="3"/>
        <v>130862.41649198689</v>
      </c>
      <c r="W24" s="48">
        <f t="shared" si="3"/>
        <v>140241.54825294012</v>
      </c>
      <c r="X24" s="48">
        <f t="shared" si="3"/>
        <v>152719.67107152136</v>
      </c>
      <c r="Y24" s="48">
        <f t="shared" si="3"/>
        <v>166765.16131583141</v>
      </c>
      <c r="Z24" s="48">
        <f t="shared" si="3"/>
        <v>182034.82490366913</v>
      </c>
      <c r="AA24" s="48">
        <f t="shared" si="3"/>
        <v>198600.05355598763</v>
      </c>
      <c r="AB24" s="48">
        <f t="shared" si="3"/>
        <v>216604.32036061634</v>
      </c>
      <c r="AC24" s="48">
        <f t="shared" si="3"/>
        <v>236158.21351142836</v>
      </c>
      <c r="AD24" s="48">
        <f t="shared" si="3"/>
        <v>257407.819076168</v>
      </c>
      <c r="AE24" s="48">
        <f t="shared" si="3"/>
        <v>280451.54192391277</v>
      </c>
      <c r="AF24" s="48">
        <f t="shared" si="3"/>
        <v>305488.08769771113</v>
      </c>
      <c r="AG24"/>
    </row>
    <row r="25" spans="1:33">
      <c r="A25" s="48" t="s">
        <v>321</v>
      </c>
      <c r="B25"/>
      <c r="C25" s="382">
        <v>0</v>
      </c>
      <c r="D25" s="382">
        <v>0</v>
      </c>
      <c r="E25" s="382">
        <v>0</v>
      </c>
      <c r="F25" s="382">
        <v>0</v>
      </c>
      <c r="G25" s="382">
        <v>0</v>
      </c>
      <c r="H25" s="382">
        <v>0</v>
      </c>
      <c r="I25" s="382">
        <v>0</v>
      </c>
      <c r="J25" s="382">
        <v>0</v>
      </c>
      <c r="K25" s="382">
        <v>0</v>
      </c>
      <c r="L25" s="382">
        <v>0</v>
      </c>
      <c r="M25" s="382">
        <v>0</v>
      </c>
      <c r="N25" s="382">
        <v>0</v>
      </c>
      <c r="O25" s="382">
        <v>0</v>
      </c>
      <c r="P25" s="382">
        <v>0</v>
      </c>
      <c r="Q25" s="382">
        <v>0</v>
      </c>
      <c r="R25" s="382">
        <v>0</v>
      </c>
      <c r="S25" s="382">
        <v>0</v>
      </c>
      <c r="T25" s="382">
        <v>0</v>
      </c>
      <c r="U25" s="382">
        <v>0</v>
      </c>
      <c r="V25" s="382">
        <v>0</v>
      </c>
      <c r="W25" s="382">
        <v>0</v>
      </c>
      <c r="X25" s="382">
        <v>0</v>
      </c>
      <c r="Y25" s="382">
        <v>0</v>
      </c>
      <c r="Z25" s="382">
        <v>0</v>
      </c>
      <c r="AA25" s="382">
        <v>0</v>
      </c>
      <c r="AB25" s="382">
        <v>0</v>
      </c>
      <c r="AC25" s="382">
        <v>0</v>
      </c>
      <c r="AD25" s="382">
        <v>0</v>
      </c>
      <c r="AE25" s="382">
        <v>0</v>
      </c>
      <c r="AF25" s="382">
        <v>0</v>
      </c>
      <c r="AG25"/>
    </row>
    <row r="26" spans="1:33">
      <c r="A26" s="48" t="s">
        <v>55</v>
      </c>
      <c r="B26"/>
      <c r="C26" s="48">
        <f t="shared" ref="C26:AF26" si="4">C24-C28</f>
        <v>-643.46338513896626</v>
      </c>
      <c r="D26" s="48">
        <f t="shared" si="4"/>
        <v>-689.61610428243876</v>
      </c>
      <c r="E26" s="48">
        <f t="shared" si="4"/>
        <v>-767.63744104954822</v>
      </c>
      <c r="F26" s="48">
        <f t="shared" si="4"/>
        <v>-827.7512662238878</v>
      </c>
      <c r="G26" s="48">
        <f t="shared" si="4"/>
        <v>-910.0530375730159</v>
      </c>
      <c r="H26" s="48">
        <f t="shared" si="4"/>
        <v>-996.74485080468003</v>
      </c>
      <c r="I26" s="48">
        <f t="shared" si="4"/>
        <v>-1102.8681509121816</v>
      </c>
      <c r="J26" s="48">
        <f t="shared" si="4"/>
        <v>-1190.4352122479904</v>
      </c>
      <c r="K26" s="48">
        <f t="shared" si="4"/>
        <v>-1304.8165669465088</v>
      </c>
      <c r="L26" s="48">
        <f t="shared" si="4"/>
        <v>-1425.8313861632923</v>
      </c>
      <c r="M26" s="48">
        <f t="shared" si="4"/>
        <v>-1570.9720294276194</v>
      </c>
      <c r="N26" s="48">
        <f t="shared" si="4"/>
        <v>-1696.54096935704</v>
      </c>
      <c r="O26" s="48">
        <f t="shared" si="4"/>
        <v>-1855.4027329146193</v>
      </c>
      <c r="P26" s="48">
        <f t="shared" si="4"/>
        <v>-2023.9881286347954</v>
      </c>
      <c r="Q26" s="48">
        <f t="shared" si="4"/>
        <v>-2223.2508279361791</v>
      </c>
      <c r="R26" s="48">
        <f t="shared" si="4"/>
        <v>-2401.4060090828716</v>
      </c>
      <c r="S26" s="48">
        <f t="shared" si="4"/>
        <v>-2621.9017307840695</v>
      </c>
      <c r="T26" s="48">
        <f t="shared" si="4"/>
        <v>-2856.3801748717815</v>
      </c>
      <c r="U26" s="48">
        <f t="shared" si="4"/>
        <v>-3130.6610444874095</v>
      </c>
      <c r="V26" s="48">
        <f t="shared" si="4"/>
        <v>-4576.4516118831525</v>
      </c>
      <c r="W26" s="48">
        <f t="shared" si="4"/>
        <v>-6097.1146743228601</v>
      </c>
      <c r="X26" s="48">
        <f t="shared" si="4"/>
        <v>-6863.5374112915015</v>
      </c>
      <c r="Y26" s="48">
        <f t="shared" si="4"/>
        <v>-7485.13678767081</v>
      </c>
      <c r="Z26" s="48">
        <f t="shared" si="4"/>
        <v>-8089.6213354602514</v>
      </c>
      <c r="AA26" s="48">
        <f t="shared" si="4"/>
        <v>-8797.7383889640041</v>
      </c>
      <c r="AB26" s="48">
        <f t="shared" si="4"/>
        <v>-9554.8584495540999</v>
      </c>
      <c r="AC26" s="48">
        <f t="shared" si="4"/>
        <v>-10416.596301408863</v>
      </c>
      <c r="AD26" s="48">
        <f t="shared" si="4"/>
        <v>-11252.812778477673</v>
      </c>
      <c r="AE26" s="48">
        <f t="shared" si="4"/>
        <v>-12233.569372099184</v>
      </c>
      <c r="AF26" s="48">
        <f t="shared" si="4"/>
        <v>-13461.298618063098</v>
      </c>
      <c r="AG26"/>
    </row>
    <row r="27" spans="1:33">
      <c r="A27" s="48" t="s">
        <v>56</v>
      </c>
      <c r="B27"/>
      <c r="C27" s="385">
        <f t="shared" ref="C27:AF27" si="5">C24*(C23-B41)/(C41-B41)*$E$64</f>
        <v>1416.2988346742347</v>
      </c>
      <c r="D27" s="385">
        <f t="shared" si="5"/>
        <v>1443.6564831211949</v>
      </c>
      <c r="E27" s="385">
        <f t="shared" si="5"/>
        <v>1485.0557138737349</v>
      </c>
      <c r="F27" s="385">
        <f t="shared" si="5"/>
        <v>1505.0850421840016</v>
      </c>
      <c r="G27" s="385">
        <f t="shared" si="5"/>
        <v>1540.2652379818699</v>
      </c>
      <c r="H27" s="385">
        <f t="shared" si="5"/>
        <v>1578.8244697140924</v>
      </c>
      <c r="I27" s="385">
        <f t="shared" si="5"/>
        <v>1634.3682338388935</v>
      </c>
      <c r="J27" s="385">
        <f t="shared" si="5"/>
        <v>1667.2457140238062</v>
      </c>
      <c r="K27" s="385">
        <f t="shared" si="5"/>
        <v>1717.6999625970041</v>
      </c>
      <c r="L27" s="385">
        <f t="shared" si="5"/>
        <v>1772.8745362263289</v>
      </c>
      <c r="M27" s="385">
        <f t="shared" si="5"/>
        <v>1848.2235215792527</v>
      </c>
      <c r="N27" s="385">
        <f t="shared" si="5"/>
        <v>1898.9976496777679</v>
      </c>
      <c r="O27" s="385">
        <f t="shared" si="5"/>
        <v>1970.7675522028865</v>
      </c>
      <c r="P27" s="385">
        <f t="shared" si="5"/>
        <v>2049.1172064784205</v>
      </c>
      <c r="Q27" s="385">
        <f t="shared" si="5"/>
        <v>2152.1236014971523</v>
      </c>
      <c r="R27" s="385">
        <f t="shared" si="5"/>
        <v>2227.787291710119</v>
      </c>
      <c r="S27" s="385">
        <f t="shared" si="5"/>
        <v>2329.2456919869619</v>
      </c>
      <c r="T27" s="385">
        <f t="shared" si="5"/>
        <v>2439.8599489994072</v>
      </c>
      <c r="U27" s="385">
        <f t="shared" si="5"/>
        <v>2581.4077359192111</v>
      </c>
      <c r="V27" s="385">
        <f t="shared" si="5"/>
        <v>2691.6427172975114</v>
      </c>
      <c r="W27" s="385">
        <f t="shared" si="5"/>
        <v>2884.5573246820495</v>
      </c>
      <c r="X27" s="385">
        <f t="shared" si="5"/>
        <v>3141.213508409443</v>
      </c>
      <c r="Y27" s="385">
        <f t="shared" si="5"/>
        <v>3458.3267059758487</v>
      </c>
      <c r="Z27" s="385">
        <f t="shared" si="5"/>
        <v>3744.1820492172492</v>
      </c>
      <c r="AA27" s="385">
        <f t="shared" si="5"/>
        <v>4084.9038412919917</v>
      </c>
      <c r="AB27" s="385">
        <f t="shared" si="5"/>
        <v>4455.2244797461026</v>
      </c>
      <c r="AC27" s="385">
        <f t="shared" si="5"/>
        <v>4897.3793457697848</v>
      </c>
      <c r="AD27" s="385">
        <f t="shared" si="5"/>
        <v>5294.4909636009079</v>
      </c>
      <c r="AE27" s="385">
        <f t="shared" si="5"/>
        <v>5768.4656191610284</v>
      </c>
      <c r="AF27" s="385">
        <f t="shared" si="5"/>
        <v>6283.4296394262092</v>
      </c>
      <c r="AG27"/>
    </row>
    <row r="28" spans="1:33">
      <c r="A28" s="48" t="s">
        <v>57</v>
      </c>
      <c r="B28"/>
      <c r="C28" s="161">
        <f t="shared" ref="C28:AF28" si="6">MAX(C24+C25+B44+C27-0.5*C13,0)</f>
        <v>69501.14898701651</v>
      </c>
      <c r="D28" s="161">
        <f t="shared" si="6"/>
        <v>70877.377188429775</v>
      </c>
      <c r="E28" s="161">
        <f t="shared" si="6"/>
        <v>72379.019691087349</v>
      </c>
      <c r="F28" s="161">
        <f t="shared" si="6"/>
        <v>74002.049021423431</v>
      </c>
      <c r="G28" s="161">
        <f t="shared" si="6"/>
        <v>75794.743262465781</v>
      </c>
      <c r="H28" s="161">
        <f t="shared" si="6"/>
        <v>77756.109678729248</v>
      </c>
      <c r="I28" s="161">
        <f t="shared" si="6"/>
        <v>79914.300770811387</v>
      </c>
      <c r="J28" s="161">
        <f t="shared" si="6"/>
        <v>82248.66839489057</v>
      </c>
      <c r="K28" s="161">
        <f t="shared" si="6"/>
        <v>84816.036859707936</v>
      </c>
      <c r="L28" s="161">
        <f t="shared" si="6"/>
        <v>87619.531782115344</v>
      </c>
      <c r="M28" s="161">
        <f t="shared" si="6"/>
        <v>90694.794018624787</v>
      </c>
      <c r="N28" s="161">
        <f t="shared" si="6"/>
        <v>94022.101026950812</v>
      </c>
      <c r="O28" s="161">
        <f t="shared" si="6"/>
        <v>97670.275400787214</v>
      </c>
      <c r="P28" s="161">
        <f t="shared" si="6"/>
        <v>101648.06809728259</v>
      </c>
      <c r="Q28" s="161">
        <f t="shared" si="6"/>
        <v>106001.54307404392</v>
      </c>
      <c r="R28" s="161">
        <f t="shared" si="6"/>
        <v>110712.07686811629</v>
      </c>
      <c r="S28" s="161">
        <f t="shared" si="6"/>
        <v>115865.28202718648</v>
      </c>
      <c r="T28" s="161">
        <f t="shared" si="6"/>
        <v>121477.60979655456</v>
      </c>
      <c r="U28" s="161">
        <f t="shared" si="6"/>
        <v>127609.61115600666</v>
      </c>
      <c r="V28" s="161">
        <f t="shared" si="6"/>
        <v>135438.86810387005</v>
      </c>
      <c r="W28" s="161">
        <f t="shared" si="6"/>
        <v>146338.66292726298</v>
      </c>
      <c r="X28" s="161">
        <f t="shared" si="6"/>
        <v>159583.20848281286</v>
      </c>
      <c r="Y28" s="161">
        <f t="shared" si="6"/>
        <v>174250.29810350222</v>
      </c>
      <c r="Z28" s="161">
        <f t="shared" si="6"/>
        <v>190124.44623912938</v>
      </c>
      <c r="AA28" s="161">
        <f t="shared" si="6"/>
        <v>207397.79194495163</v>
      </c>
      <c r="AB28" s="161">
        <f t="shared" si="6"/>
        <v>226159.17881017044</v>
      </c>
      <c r="AC28" s="161">
        <f t="shared" si="6"/>
        <v>246574.80981283722</v>
      </c>
      <c r="AD28" s="161">
        <f t="shared" si="6"/>
        <v>268660.63185464568</v>
      </c>
      <c r="AE28" s="161">
        <f t="shared" si="6"/>
        <v>292685.11129601195</v>
      </c>
      <c r="AF28" s="161">
        <f t="shared" si="6"/>
        <v>318949.38631577423</v>
      </c>
      <c r="AG28"/>
    </row>
    <row r="29" spans="1:33">
      <c r="A29" s="48" t="s">
        <v>323</v>
      </c>
      <c r="B29"/>
      <c r="C29" s="161">
        <f>(C23-B41)/(C41-B41)*IS!D33+(B41-B32)/(B41-Assumptions!H17)*IS!C33</f>
        <v>2815.9281413279436</v>
      </c>
      <c r="D29" s="161">
        <f>(D23-C41)/(D41-C41)*IS!E33+(C41-C32)/(C41-B41)*IS!D33</f>
        <v>2851.9906109589037</v>
      </c>
      <c r="E29" s="161">
        <f>(E23-D41)/(E41-D41)*IS!F33+(D41-D32)/(D41-C41)*IS!E33</f>
        <v>2852.2807501774087</v>
      </c>
      <c r="F29" s="161">
        <f>(F23-E41)/(F41-E41)*IS!G33+(E41-E32)/(E41-D41)*IS!F33</f>
        <v>2825.0661759888917</v>
      </c>
      <c r="G29" s="161">
        <f>(G23-F41)/(G41-F41)*IS!H33+(F41-F32)/(F41-E41)*IS!G33</f>
        <v>2816.9389523146592</v>
      </c>
      <c r="H29" s="161">
        <f>(H23-G41)/(H41-G41)*IS!I33+(G41-G32)/(G41-F41)*IS!H33</f>
        <v>2804.6110387990411</v>
      </c>
      <c r="I29" s="161">
        <f>(I23-H41)/(I41-H41)*IS!J33+(H41-H32)/(H41-G41)*IS!I33</f>
        <v>2803.4039113933923</v>
      </c>
      <c r="J29" s="161">
        <f>(J23-I41)/(J41-I41)*IS!K33+(I41-I32)/(I41-H41)*IS!J33</f>
        <v>2775.1289971786455</v>
      </c>
      <c r="K29" s="161">
        <f>(K23-J41)/(K41-J41)*IS!L33+(J41-J32)/(J41-I41)*IS!K33</f>
        <v>2765.5664112159993</v>
      </c>
      <c r="L29" s="161">
        <f>(L23-K41)/(L41-K41)*IS!M33+(K41-K32)/(K41-J41)*IS!L33</f>
        <v>2751.8321303531575</v>
      </c>
      <c r="M29" s="161">
        <f>(M23-L41)/(M41-L41)*IS!N33+(L41-L32)/(L41-K41)*IS!M33</f>
        <v>2748.9530791793286</v>
      </c>
      <c r="N29" s="161">
        <f>(N23-M41)/(N41-M41)*IS!O33+(M41-M32)/(M41-L41)*IS!N33</f>
        <v>2719.4928174338138</v>
      </c>
      <c r="O29" s="161">
        <f>(O23-N41)/(O41-N41)*IS!P33+(N41-N32)/(N41-M41)*IS!O33</f>
        <v>2708.3268751361461</v>
      </c>
      <c r="P29" s="161">
        <f>(P23-O41)/(P41-O41)*IS!Q33+(O41-O32)/(O41-N41)*IS!P33</f>
        <v>2693.0213296642851</v>
      </c>
      <c r="Q29" s="161">
        <f>(Q23-P41)/(Q41-P41)*IS!R33+(P41-P32)/(P41-O41)*IS!Q33</f>
        <v>2688.2748698663636</v>
      </c>
      <c r="R29" s="161">
        <f>(R23-Q41)/(R41-Q41)*IS!S33+(Q41-Q32)/(Q41-P41)*IS!R33</f>
        <v>2657.4892291417364</v>
      </c>
      <c r="S29" s="161">
        <f>(S23-R41)/(S41-R41)*IS!T33+(R41-R32)/(R41-Q41)*IS!S33</f>
        <v>2644.5318538215652</v>
      </c>
      <c r="T29" s="161">
        <f>(T23-S41)/(T41-S41)*IS!U33+(S41-S32)/(S41-R41)*IS!T33</f>
        <v>2627.4704078058826</v>
      </c>
      <c r="U29" s="161">
        <f>(U23-T41)/(U41-T41)*IS!V33+(T41-T32)/(T41-S41)*IS!U33</f>
        <v>2620.6377028776865</v>
      </c>
      <c r="V29" s="161">
        <f>(V23-U41)/(V41-U41)*IS!W33+(U41-U32)/(U41-T41)*IS!V33</f>
        <v>1556.5803072701451</v>
      </c>
      <c r="W29" s="161">
        <f>(W23-V41)/(W41-V41)*IS!X33+(V41-V32)/(V41-U41)*IS!W33</f>
        <v>-109.84211204326397</v>
      </c>
      <c r="X29" s="161">
        <f>(X23-W41)/(X41-W41)*IS!Y33+(W41-W32)/(W41-V41)*IS!X33</f>
        <v>-748.53975562602523</v>
      </c>
      <c r="Y29" s="161">
        <f>(Y23-X41)/(Y41-X41)*IS!Z33+(X41-X32)/(X41-W41)*IS!Y33</f>
        <v>-771.28989375605443</v>
      </c>
      <c r="Z29" s="161">
        <f>(Z23-Y41)/(Z41-Y41)*IS!AA33+(Y41-Y32)/(Y41-X41)*IS!Z33</f>
        <v>-787.11750101105804</v>
      </c>
      <c r="AA29" s="161">
        <f>(AA23-Z41)/(AA41-Z41)*IS!AB33+(Z41-Z32)/(Z41-Y41)*IS!AA33</f>
        <v>-808.82698592155896</v>
      </c>
      <c r="AB29" s="161">
        <f>(AB23-AA41)/(AB41-AA41)*IS!AC33+(AA41-AA32)/(AA41-Z41)*IS!AB33</f>
        <v>-830.04538233318976</v>
      </c>
      <c r="AC29" s="161">
        <f>(AC23-AB41)/(AC41-AB41)*IS!AD33+(AB41-AB32)/(AB41-AA41)*IS!AC33</f>
        <v>-855.40117426103279</v>
      </c>
      <c r="AD29" s="161">
        <f>(AD23-AC41)/(AD41-AC41)*IS!AE33+(AC41-AC32)/(AC41-AB41)*IS!AD33</f>
        <v>-873.08386038207573</v>
      </c>
      <c r="AE29" s="161">
        <f>(AE23-AD41)/(AE41-AD41)*IS!AF33+(AD41-AD32)/(AD41-AC41)*IS!AE33</f>
        <v>-897.29541651865179</v>
      </c>
      <c r="AF29" s="161">
        <f>(AF23-AE41)/(AG23-AE41)*IS!AG33+(AE41-AE32)/(AE41-AD41)*IS!AF33</f>
        <v>-1861.6437071638459</v>
      </c>
      <c r="AG29"/>
    </row>
    <row r="30" spans="1:33">
      <c r="A30" s="405" t="s">
        <v>0</v>
      </c>
      <c r="B30" s="407"/>
      <c r="C30" s="406">
        <f>IF(C28&gt;0.1,C29/(C27+C26+B44)," ")</f>
        <v>1.2868902916940108</v>
      </c>
      <c r="D30" s="406">
        <f t="shared" ref="D30:AF30" si="7">IF(D28&gt;0.1,D29/(D27+D26+C44)," ")</f>
        <v>1.2977179247621258</v>
      </c>
      <c r="E30" s="406">
        <f t="shared" si="7"/>
        <v>1.3021993235314739</v>
      </c>
      <c r="F30" s="406">
        <f t="shared" si="7"/>
        <v>1.2969093619639065</v>
      </c>
      <c r="G30" s="406">
        <f t="shared" si="7"/>
        <v>1.2978430010326425</v>
      </c>
      <c r="H30" s="406">
        <f t="shared" si="7"/>
        <v>1.2978877931530859</v>
      </c>
      <c r="I30" s="406">
        <f t="shared" si="7"/>
        <v>1.3023747227747509</v>
      </c>
      <c r="J30" s="406">
        <f t="shared" si="7"/>
        <v>1.2970917645532136</v>
      </c>
      <c r="K30" s="406">
        <f t="shared" si="7"/>
        <v>1.2980324850987299</v>
      </c>
      <c r="L30" s="406">
        <f t="shared" si="7"/>
        <v>1.298084424763621</v>
      </c>
      <c r="M30" s="406">
        <f t="shared" si="7"/>
        <v>1.3025780020402715</v>
      </c>
      <c r="N30" s="406">
        <f t="shared" si="7"/>
        <v>1.2973034250173541</v>
      </c>
      <c r="O30" s="406">
        <f t="shared" si="7"/>
        <v>1.2982526478893819</v>
      </c>
      <c r="P30" s="406">
        <f t="shared" si="7"/>
        <v>1.2983131993626698</v>
      </c>
      <c r="Q30" s="406">
        <f t="shared" si="7"/>
        <v>1.3028148405775575</v>
      </c>
      <c r="R30" s="406">
        <f t="shared" si="7"/>
        <v>1.2975503849492096</v>
      </c>
      <c r="S30" s="406">
        <f t="shared" si="7"/>
        <v>1.2985099132166893</v>
      </c>
      <c r="T30" s="406">
        <f t="shared" si="7"/>
        <v>1.2985809440567782</v>
      </c>
      <c r="U30" s="406">
        <f t="shared" si="7"/>
        <v>1.3030924712143994</v>
      </c>
      <c r="V30" s="406">
        <f t="shared" si="7"/>
        <v>1.9469918837208726</v>
      </c>
      <c r="W30" s="406">
        <f t="shared" si="7"/>
        <v>0.33488446245415454</v>
      </c>
      <c r="X30" s="406">
        <f t="shared" si="7"/>
        <v>1.2881197148527339</v>
      </c>
      <c r="Y30" s="406">
        <f t="shared" si="7"/>
        <v>1.2925880747250651</v>
      </c>
      <c r="Z30" s="406">
        <f t="shared" si="7"/>
        <v>1.287218188939621</v>
      </c>
      <c r="AA30" s="406">
        <f t="shared" si="7"/>
        <v>1.288083187688644</v>
      </c>
      <c r="AB30" s="406">
        <f t="shared" si="7"/>
        <v>1.2880713197651152</v>
      </c>
      <c r="AC30" s="406">
        <f t="shared" si="7"/>
        <v>1.292540489422745</v>
      </c>
      <c r="AD30" s="406">
        <f t="shared" si="7"/>
        <v>1.287171077771917</v>
      </c>
      <c r="AE30" s="406">
        <f t="shared" si="7"/>
        <v>1.2880366046767691</v>
      </c>
      <c r="AF30" s="406">
        <f t="shared" si="7"/>
        <v>2.0813526703853391</v>
      </c>
      <c r="AG30"/>
    </row>
    <row r="31" spans="1:33">
      <c r="A31" s="11"/>
      <c r="B31" s="381"/>
      <c r="C31" s="53"/>
      <c r="AG31"/>
    </row>
    <row r="32" spans="1:33">
      <c r="A32" s="404" t="s">
        <v>408</v>
      </c>
      <c r="B32" s="392">
        <v>37165</v>
      </c>
      <c r="C32" s="392">
        <v>37530</v>
      </c>
      <c r="D32" s="392">
        <v>37895</v>
      </c>
      <c r="E32" s="392">
        <v>38261</v>
      </c>
      <c r="F32" s="392">
        <v>38626</v>
      </c>
      <c r="G32" s="392">
        <v>38991</v>
      </c>
      <c r="H32" s="392">
        <v>39356</v>
      </c>
      <c r="I32" s="392">
        <v>39722</v>
      </c>
      <c r="J32" s="392">
        <v>40087</v>
      </c>
      <c r="K32" s="392">
        <v>40452</v>
      </c>
      <c r="L32" s="392">
        <v>40817</v>
      </c>
      <c r="M32" s="392">
        <v>41183</v>
      </c>
      <c r="N32" s="392">
        <v>41548</v>
      </c>
      <c r="O32" s="392">
        <v>41913</v>
      </c>
      <c r="P32" s="392">
        <v>42278</v>
      </c>
      <c r="Q32" s="392">
        <v>42644</v>
      </c>
      <c r="R32" s="392">
        <v>43009</v>
      </c>
      <c r="S32" s="392">
        <v>43374</v>
      </c>
      <c r="T32" s="392">
        <v>43739</v>
      </c>
      <c r="U32" s="392">
        <v>44105</v>
      </c>
      <c r="V32" s="392">
        <v>44470</v>
      </c>
      <c r="W32" s="392">
        <v>44835</v>
      </c>
      <c r="X32" s="392">
        <v>45200</v>
      </c>
      <c r="Y32" s="392">
        <v>45566</v>
      </c>
      <c r="Z32" s="392">
        <v>45931</v>
      </c>
      <c r="AA32" s="392">
        <v>46296</v>
      </c>
      <c r="AB32" s="392">
        <v>46661</v>
      </c>
      <c r="AC32" s="392">
        <v>47027</v>
      </c>
      <c r="AD32" s="392">
        <v>47392</v>
      </c>
      <c r="AE32" s="392">
        <v>47757</v>
      </c>
      <c r="AF32" s="392">
        <v>47969</v>
      </c>
      <c r="AG32"/>
    </row>
    <row r="33" spans="1:39">
      <c r="A33" s="48" t="s">
        <v>54</v>
      </c>
      <c r="B33" s="382">
        <f>B19</f>
        <v>68291.631563196133</v>
      </c>
      <c r="C33" s="48">
        <f>C28</f>
        <v>69501.14898701651</v>
      </c>
      <c r="D33" s="48">
        <f t="shared" ref="D33:AF33" si="8">D28</f>
        <v>70877.377188429775</v>
      </c>
      <c r="E33" s="48">
        <f t="shared" si="8"/>
        <v>72379.019691087349</v>
      </c>
      <c r="F33" s="48">
        <f t="shared" si="8"/>
        <v>74002.049021423431</v>
      </c>
      <c r="G33" s="48">
        <f t="shared" si="8"/>
        <v>75794.743262465781</v>
      </c>
      <c r="H33" s="48">
        <f t="shared" si="8"/>
        <v>77756.109678729248</v>
      </c>
      <c r="I33" s="48">
        <f t="shared" si="8"/>
        <v>79914.300770811387</v>
      </c>
      <c r="J33" s="48">
        <f t="shared" si="8"/>
        <v>82248.66839489057</v>
      </c>
      <c r="K33" s="48">
        <f t="shared" si="8"/>
        <v>84816.036859707936</v>
      </c>
      <c r="L33" s="48">
        <f t="shared" si="8"/>
        <v>87619.531782115344</v>
      </c>
      <c r="M33" s="48">
        <f t="shared" si="8"/>
        <v>90694.794018624787</v>
      </c>
      <c r="N33" s="48">
        <f t="shared" si="8"/>
        <v>94022.101026950812</v>
      </c>
      <c r="O33" s="48">
        <f t="shared" si="8"/>
        <v>97670.275400787214</v>
      </c>
      <c r="P33" s="48">
        <f t="shared" si="8"/>
        <v>101648.06809728259</v>
      </c>
      <c r="Q33" s="48">
        <f t="shared" si="8"/>
        <v>106001.54307404392</v>
      </c>
      <c r="R33" s="48">
        <f t="shared" si="8"/>
        <v>110712.07686811629</v>
      </c>
      <c r="S33" s="48">
        <f t="shared" si="8"/>
        <v>115865.28202718648</v>
      </c>
      <c r="T33" s="48">
        <f t="shared" si="8"/>
        <v>121477.60979655456</v>
      </c>
      <c r="U33" s="48">
        <f t="shared" si="8"/>
        <v>127609.61115600666</v>
      </c>
      <c r="V33" s="48">
        <f t="shared" si="8"/>
        <v>135438.86810387005</v>
      </c>
      <c r="W33" s="48">
        <f t="shared" si="8"/>
        <v>146338.66292726298</v>
      </c>
      <c r="X33" s="48">
        <f t="shared" si="8"/>
        <v>159583.20848281286</v>
      </c>
      <c r="Y33" s="48">
        <f t="shared" si="8"/>
        <v>174250.29810350222</v>
      </c>
      <c r="Z33" s="48">
        <f t="shared" si="8"/>
        <v>190124.44623912938</v>
      </c>
      <c r="AA33" s="48">
        <f t="shared" si="8"/>
        <v>207397.79194495163</v>
      </c>
      <c r="AB33" s="48">
        <f t="shared" si="8"/>
        <v>226159.17881017044</v>
      </c>
      <c r="AC33" s="48">
        <f t="shared" si="8"/>
        <v>246574.80981283722</v>
      </c>
      <c r="AD33" s="48">
        <f t="shared" si="8"/>
        <v>268660.63185464568</v>
      </c>
      <c r="AE33" s="48">
        <f t="shared" si="8"/>
        <v>292685.11129601195</v>
      </c>
      <c r="AF33" s="48">
        <f t="shared" si="8"/>
        <v>318949.38631577423</v>
      </c>
      <c r="AG33"/>
    </row>
    <row r="34" spans="1:39">
      <c r="A34" s="48" t="s">
        <v>321</v>
      </c>
      <c r="B34" s="382">
        <v>0</v>
      </c>
      <c r="C34" s="382">
        <v>0</v>
      </c>
      <c r="D34" s="382">
        <v>0</v>
      </c>
      <c r="E34" s="382">
        <v>0</v>
      </c>
      <c r="F34" s="382">
        <v>0</v>
      </c>
      <c r="G34" s="382">
        <v>0</v>
      </c>
      <c r="H34" s="382">
        <v>0</v>
      </c>
      <c r="I34" s="382">
        <v>0</v>
      </c>
      <c r="J34" s="382">
        <v>0</v>
      </c>
      <c r="K34" s="382">
        <v>0</v>
      </c>
      <c r="L34" s="382">
        <v>0</v>
      </c>
      <c r="M34" s="382">
        <v>0</v>
      </c>
      <c r="N34" s="382">
        <v>0</v>
      </c>
      <c r="O34" s="382">
        <v>0</v>
      </c>
      <c r="P34" s="382">
        <v>0</v>
      </c>
      <c r="Q34" s="382">
        <v>0</v>
      </c>
      <c r="R34" s="382">
        <v>0</v>
      </c>
      <c r="S34" s="382">
        <v>0</v>
      </c>
      <c r="T34" s="382">
        <v>0</v>
      </c>
      <c r="U34" s="382">
        <v>0</v>
      </c>
      <c r="V34" s="382">
        <v>0</v>
      </c>
      <c r="W34" s="382">
        <v>0</v>
      </c>
      <c r="X34" s="382">
        <v>0</v>
      </c>
      <c r="Y34" s="382">
        <v>0</v>
      </c>
      <c r="Z34" s="382">
        <v>0</v>
      </c>
      <c r="AA34" s="382">
        <v>0</v>
      </c>
      <c r="AB34" s="382">
        <v>0</v>
      </c>
      <c r="AC34" s="382">
        <v>0</v>
      </c>
      <c r="AD34" s="382">
        <v>0</v>
      </c>
      <c r="AE34" s="382">
        <v>0</v>
      </c>
      <c r="AF34" s="382">
        <v>0</v>
      </c>
      <c r="AG34"/>
    </row>
    <row r="35" spans="1:39">
      <c r="A35" s="48" t="s">
        <v>55</v>
      </c>
      <c r="B35" s="48">
        <f>B33-B37</f>
        <v>-566.05403868141002</v>
      </c>
      <c r="C35" s="48">
        <f>C33-C37</f>
        <v>-686.61209713082644</v>
      </c>
      <c r="D35" s="48">
        <f t="shared" ref="D35:AF35" si="9">D33-D37</f>
        <v>-734.00506160802615</v>
      </c>
      <c r="E35" s="48">
        <f t="shared" si="9"/>
        <v>-795.27806411219353</v>
      </c>
      <c r="F35" s="48">
        <f t="shared" si="9"/>
        <v>-882.64120346933487</v>
      </c>
      <c r="G35" s="48">
        <f t="shared" si="9"/>
        <v>-964.62156545878679</v>
      </c>
      <c r="H35" s="48">
        <f t="shared" si="9"/>
        <v>-1055.3229411699576</v>
      </c>
      <c r="I35" s="48">
        <f t="shared" si="9"/>
        <v>-1143.9324118311924</v>
      </c>
      <c r="J35" s="48">
        <f t="shared" si="9"/>
        <v>-1262.5518978708569</v>
      </c>
      <c r="K35" s="48">
        <f t="shared" si="9"/>
        <v>-1377.6635362441157</v>
      </c>
      <c r="L35" s="48">
        <f t="shared" si="9"/>
        <v>-1504.2902070818236</v>
      </c>
      <c r="M35" s="48">
        <f t="shared" si="9"/>
        <v>-1630.7660389689845</v>
      </c>
      <c r="N35" s="48">
        <f t="shared" si="9"/>
        <v>-1792.7716409217828</v>
      </c>
      <c r="O35" s="48">
        <f t="shared" si="9"/>
        <v>-1953.8045678605849</v>
      </c>
      <c r="P35" s="48">
        <f t="shared" si="9"/>
        <v>-2130.2241488251457</v>
      </c>
      <c r="Q35" s="48">
        <f t="shared" si="9"/>
        <v>-2309.1277849894977</v>
      </c>
      <c r="R35" s="48">
        <f t="shared" si="9"/>
        <v>-2531.303428286119</v>
      </c>
      <c r="S35" s="48">
        <f t="shared" si="9"/>
        <v>-2755.9475944963051</v>
      </c>
      <c r="T35" s="48">
        <f t="shared" si="9"/>
        <v>-3001.3403149646911</v>
      </c>
      <c r="U35" s="48">
        <f t="shared" si="9"/>
        <v>-3252.8053359802288</v>
      </c>
      <c r="V35" s="48">
        <f t="shared" si="9"/>
        <v>-4802.6801490700745</v>
      </c>
      <c r="W35" s="48">
        <f t="shared" si="9"/>
        <v>-6381.008144258376</v>
      </c>
      <c r="X35" s="48">
        <f t="shared" si="9"/>
        <v>-7181.9528330185567</v>
      </c>
      <c r="Y35" s="48">
        <f t="shared" si="9"/>
        <v>-7784.5268001669028</v>
      </c>
      <c r="Z35" s="48">
        <f t="shared" si="9"/>
        <v>-8475.6073168582516</v>
      </c>
      <c r="AA35" s="48">
        <f t="shared" si="9"/>
        <v>-9206.5284156647103</v>
      </c>
      <c r="AB35" s="48">
        <f t="shared" si="9"/>
        <v>-9999.034701257915</v>
      </c>
      <c r="AC35" s="48">
        <f t="shared" si="9"/>
        <v>-10833.00926333078</v>
      </c>
      <c r="AD35" s="48">
        <f t="shared" si="9"/>
        <v>-11790.910069267091</v>
      </c>
      <c r="AE35" s="48">
        <f t="shared" si="9"/>
        <v>-12802.976401699183</v>
      </c>
      <c r="AF35" s="48">
        <f t="shared" si="9"/>
        <v>-3057.1783286121208</v>
      </c>
      <c r="AG35"/>
    </row>
    <row r="36" spans="1:39">
      <c r="A36" s="48" t="s">
        <v>56</v>
      </c>
      <c r="B36" s="385">
        <f>B33*(B32-Assumptions!H17)/365.25*$E$64</f>
        <v>2360.0578217835541</v>
      </c>
      <c r="C36" s="385">
        <f t="shared" ref="C36:AF36" si="10">C33*(C32-C23)/(C41-B41)*$E$64</f>
        <v>2874.7769776204987</v>
      </c>
      <c r="D36" s="385">
        <f t="shared" si="10"/>
        <v>2931.7019235679963</v>
      </c>
      <c r="E36" s="385">
        <f t="shared" si="10"/>
        <v>2985.6345622573531</v>
      </c>
      <c r="F36" s="385">
        <f t="shared" si="10"/>
        <v>3060.9477673998367</v>
      </c>
      <c r="G36" s="385">
        <f t="shared" si="10"/>
        <v>3135.0990038495265</v>
      </c>
      <c r="H36" s="385">
        <f t="shared" si="10"/>
        <v>3216.2270297934656</v>
      </c>
      <c r="I36" s="385">
        <f t="shared" si="10"/>
        <v>3296.4649067959699</v>
      </c>
      <c r="J36" s="385">
        <f t="shared" si="10"/>
        <v>3402.0527975119462</v>
      </c>
      <c r="K36" s="385">
        <f t="shared" si="10"/>
        <v>3508.2468944916181</v>
      </c>
      <c r="L36" s="385">
        <f t="shared" si="10"/>
        <v>3624.207893371196</v>
      </c>
      <c r="M36" s="385">
        <f t="shared" si="10"/>
        <v>3741.1602532682728</v>
      </c>
      <c r="N36" s="385">
        <f t="shared" si="10"/>
        <v>3889.0374527517538</v>
      </c>
      <c r="O36" s="385">
        <f t="shared" si="10"/>
        <v>4039.9369393517391</v>
      </c>
      <c r="P36" s="385">
        <f t="shared" si="10"/>
        <v>4204.4704331471885</v>
      </c>
      <c r="Q36" s="385">
        <f t="shared" si="10"/>
        <v>4372.563651804312</v>
      </c>
      <c r="R36" s="385">
        <f t="shared" si="10"/>
        <v>4579.3851520996868</v>
      </c>
      <c r="S36" s="385">
        <f t="shared" si="10"/>
        <v>4792.5372476861585</v>
      </c>
      <c r="T36" s="385">
        <f t="shared" si="10"/>
        <v>5024.680038091733</v>
      </c>
      <c r="U36" s="385">
        <f t="shared" si="10"/>
        <v>5263.8964601852749</v>
      </c>
      <c r="V36" s="385">
        <f t="shared" si="10"/>
        <v>5602.1597567073377</v>
      </c>
      <c r="W36" s="385">
        <f t="shared" si="10"/>
        <v>6053.0081192995967</v>
      </c>
      <c r="X36" s="385">
        <f t="shared" si="10"/>
        <v>6600.8424385459384</v>
      </c>
      <c r="Y36" s="385">
        <f t="shared" si="10"/>
        <v>7187.824796769467</v>
      </c>
      <c r="Z36" s="385">
        <f t="shared" si="10"/>
        <v>7864.1200742335777</v>
      </c>
      <c r="AA36" s="385">
        <f t="shared" si="10"/>
        <v>8578.5977092846788</v>
      </c>
      <c r="AB36" s="385">
        <f t="shared" si="10"/>
        <v>9354.6252111960239</v>
      </c>
      <c r="AC36" s="385">
        <f t="shared" si="10"/>
        <v>10171.210904779535</v>
      </c>
      <c r="AD36" s="385">
        <f t="shared" si="10"/>
        <v>11112.613395686336</v>
      </c>
      <c r="AE36" s="385">
        <f t="shared" si="10"/>
        <v>12106.338267922029</v>
      </c>
      <c r="AF36" s="385">
        <f t="shared" si="10"/>
        <v>2162.7389894014832</v>
      </c>
      <c r="AG36"/>
    </row>
    <row r="37" spans="1:39">
      <c r="A37" s="48" t="s">
        <v>57</v>
      </c>
      <c r="B37" s="161">
        <f>MAX(B33+B34+B36-B13,0)</f>
        <v>68857.685601877543</v>
      </c>
      <c r="C37" s="161">
        <f>MAX(C33+C34+C36-0.5*C13,0)</f>
        <v>70187.761084147336</v>
      </c>
      <c r="D37" s="161">
        <f t="shared" ref="D37:AF37" si="11">MAX(D33+D34+D36-0.5*D13,0)</f>
        <v>71611.382250037801</v>
      </c>
      <c r="E37" s="161">
        <f t="shared" si="11"/>
        <v>73174.297755199543</v>
      </c>
      <c r="F37" s="161">
        <f t="shared" si="11"/>
        <v>74884.690224892765</v>
      </c>
      <c r="G37" s="161">
        <f t="shared" si="11"/>
        <v>76759.364827924568</v>
      </c>
      <c r="H37" s="161">
        <f t="shared" si="11"/>
        <v>78811.432619899206</v>
      </c>
      <c r="I37" s="161">
        <f t="shared" si="11"/>
        <v>81058.23318264258</v>
      </c>
      <c r="J37" s="161">
        <f t="shared" si="11"/>
        <v>83511.220292761427</v>
      </c>
      <c r="K37" s="161">
        <f t="shared" si="11"/>
        <v>86193.700395952052</v>
      </c>
      <c r="L37" s="161">
        <f t="shared" si="11"/>
        <v>89123.821989197168</v>
      </c>
      <c r="M37" s="161">
        <f t="shared" si="11"/>
        <v>92325.560057593771</v>
      </c>
      <c r="N37" s="161">
        <f t="shared" si="11"/>
        <v>95814.872667872594</v>
      </c>
      <c r="O37" s="161">
        <f t="shared" si="11"/>
        <v>99624.079968647799</v>
      </c>
      <c r="P37" s="161">
        <f t="shared" si="11"/>
        <v>103778.29224610774</v>
      </c>
      <c r="Q37" s="161">
        <f t="shared" si="11"/>
        <v>108310.67085903342</v>
      </c>
      <c r="R37" s="161">
        <f t="shared" si="11"/>
        <v>113243.38029640241</v>
      </c>
      <c r="S37" s="161">
        <f t="shared" si="11"/>
        <v>118621.22962168278</v>
      </c>
      <c r="T37" s="161">
        <f t="shared" si="11"/>
        <v>124478.95011151925</v>
      </c>
      <c r="U37" s="161">
        <f t="shared" si="11"/>
        <v>130862.41649198689</v>
      </c>
      <c r="V37" s="161">
        <f t="shared" si="11"/>
        <v>140241.54825294012</v>
      </c>
      <c r="W37" s="161">
        <f t="shared" si="11"/>
        <v>152719.67107152136</v>
      </c>
      <c r="X37" s="161">
        <f t="shared" si="11"/>
        <v>166765.16131583141</v>
      </c>
      <c r="Y37" s="161">
        <f t="shared" si="11"/>
        <v>182034.82490366913</v>
      </c>
      <c r="Z37" s="161">
        <f t="shared" si="11"/>
        <v>198600.05355598763</v>
      </c>
      <c r="AA37" s="161">
        <f t="shared" si="11"/>
        <v>216604.32036061634</v>
      </c>
      <c r="AB37" s="161">
        <f t="shared" si="11"/>
        <v>236158.21351142836</v>
      </c>
      <c r="AC37" s="161">
        <f t="shared" si="11"/>
        <v>257407.819076168</v>
      </c>
      <c r="AD37" s="161">
        <f t="shared" si="11"/>
        <v>280451.54192391277</v>
      </c>
      <c r="AE37" s="161">
        <f t="shared" si="11"/>
        <v>305488.08769771113</v>
      </c>
      <c r="AF37" s="161">
        <f t="shared" si="11"/>
        <v>322006.56464438635</v>
      </c>
      <c r="AG37"/>
    </row>
    <row r="38" spans="1:39">
      <c r="A38" s="48" t="s">
        <v>323</v>
      </c>
      <c r="B38" s="161">
        <f>(B32-Assumptions!H17)/(Debt!B41-Assumptions!H17)*IS!C33</f>
        <v>2332.2049180327881</v>
      </c>
      <c r="C38" s="161">
        <f>(C32-C23)/(C41-B41)*IS!D33</f>
        <v>2873.3005479452036</v>
      </c>
      <c r="D38" s="161">
        <f>(D32-D23)/(D41-C41)*IS!E33</f>
        <v>2862.0212301369875</v>
      </c>
      <c r="E38" s="161">
        <f>(E32-E23)/(E41-D41)*IS!F33</f>
        <v>2842.6461449999997</v>
      </c>
      <c r="F38" s="161">
        <f>(F32-F23)/(F41-E41)*IS!G33</f>
        <v>2838.53089023041</v>
      </c>
      <c r="G38" s="161">
        <f>(G32-G23)/(G41-F41)*IS!H33</f>
        <v>2826.3023875012682</v>
      </c>
      <c r="H38" s="161">
        <f>(H32-H23)/(H41-G41)*IS!I33</f>
        <v>2813.7395916220785</v>
      </c>
      <c r="I38" s="161">
        <f>(I32-I23)/(I41-H41)*IS!J33</f>
        <v>2793.1805755150181</v>
      </c>
      <c r="J38" s="161">
        <f>(J32-J23)/(J41-I41)*IS!K33</f>
        <v>2787.5733418881928</v>
      </c>
      <c r="K38" s="161">
        <f>(K32-K23)/(K41-J41)*IS!L33</f>
        <v>2773.9503202274987</v>
      </c>
      <c r="L38" s="161">
        <f>(L32-L23)/(L41-K41)*IS!M33</f>
        <v>2759.9538539991809</v>
      </c>
      <c r="M38" s="161">
        <f>(M32-M23)/(M41-L41)*IS!N33</f>
        <v>2738.0718779988229</v>
      </c>
      <c r="N38" s="161">
        <f>(N32-N23)/(N41-M41)*IS!O33</f>
        <v>2730.7982933241224</v>
      </c>
      <c r="O38" s="161">
        <f>(O32-O23)/(O41-N41)*IS!P33</f>
        <v>2715.6172907408754</v>
      </c>
      <c r="P38" s="161">
        <f>(P32-P23)/(P41-O41)*IS!Q33</f>
        <v>2700.0190095730172</v>
      </c>
      <c r="Q38" s="161">
        <f>(Q32-Q23)/(Q41-P41)*IS!R33</f>
        <v>2676.6583838521738</v>
      </c>
      <c r="R38" s="161">
        <f>(R32-R23)/(R41-Q41)*IS!S33</f>
        <v>2667.5232527735157</v>
      </c>
      <c r="S38" s="161">
        <f>(S32-S23)/(S41-R41)*IS!T33</f>
        <v>2650.6012444720504</v>
      </c>
      <c r="T38" s="161">
        <f>(T32-T23)/(T41-S41)*IS!U33</f>
        <v>2633.212872324395</v>
      </c>
      <c r="U38" s="161">
        <f>(U32-U23)/(U41-T41)*IS!V33</f>
        <v>2608.1992200553987</v>
      </c>
      <c r="V38" s="161">
        <f>(V32-V23)/(V41-U41)*IS!W33</f>
        <v>522.06667258676168</v>
      </c>
      <c r="W38" s="161">
        <f>(W32-W23)/(W41-V41)*IS!X33</f>
        <v>-742.95795284958922</v>
      </c>
      <c r="X38" s="161">
        <f>(X32-X23)/(X41-W41)*IS!Y33</f>
        <v>-762.34727000274722</v>
      </c>
      <c r="Y38" s="161">
        <f>(Y32-Y23)/(Y41-X41)*IS!Z33</f>
        <v>-780.13531507726066</v>
      </c>
      <c r="Z38" s="161">
        <f>(Z32-Z23)/(Z41-Y41)*IS!AA33</f>
        <v>-802.74932981310883</v>
      </c>
      <c r="AA38" s="161">
        <f>(AA32-AA23)/(AA41-Z41)*IS!AB33</f>
        <v>-823.79285066650993</v>
      </c>
      <c r="AB38" s="161">
        <f>(AB32-AB23)/(AB41-AA41)*IS!AC33</f>
        <v>-845.41929182770696</v>
      </c>
      <c r="AC38" s="161">
        <f>(AC32-AC23)/(AC41-AB41)*IS!AD33</f>
        <v>-865.2745579722573</v>
      </c>
      <c r="AD38" s="161">
        <f>(AD32-AD23)/(AD41-AC41)*IS!AE33</f>
        <v>-890.48749092796083</v>
      </c>
      <c r="AE38" s="161">
        <f>(AE32-AE23)/(AE41-AD41)*IS!AF33</f>
        <v>-913.96373130185532</v>
      </c>
      <c r="AF38" s="161">
        <f>(AF32-AF23)/(AG23-AE41)*IS!AG33</f>
        <v>-463.89857478384971</v>
      </c>
      <c r="AG38"/>
    </row>
    <row r="39" spans="1:39">
      <c r="A39" s="405" t="s">
        <v>0</v>
      </c>
      <c r="B39" s="406">
        <f t="shared" ref="B39:AF39" si="12">IF(B37&gt;0.1,B38/(B36+B35)," ")</f>
        <v>1.3000000000000005</v>
      </c>
      <c r="C39" s="406">
        <f t="shared" si="12"/>
        <v>1.3131097083059893</v>
      </c>
      <c r="D39" s="406">
        <f t="shared" si="12"/>
        <v>1.3022820752378712</v>
      </c>
      <c r="E39" s="406">
        <f t="shared" si="12"/>
        <v>1.2978006764685168</v>
      </c>
      <c r="F39" s="406">
        <f t="shared" si="12"/>
        <v>1.3030906380360943</v>
      </c>
      <c r="G39" s="406">
        <f t="shared" si="12"/>
        <v>1.3021569989673689</v>
      </c>
      <c r="H39" s="406">
        <f t="shared" si="12"/>
        <v>1.3021122068469155</v>
      </c>
      <c r="I39" s="406">
        <f t="shared" si="12"/>
        <v>1.2976252772252452</v>
      </c>
      <c r="J39" s="406">
        <f t="shared" si="12"/>
        <v>1.3029082354467907</v>
      </c>
      <c r="K39" s="406">
        <f t="shared" si="12"/>
        <v>1.3019675149012679</v>
      </c>
      <c r="L39" s="406">
        <f t="shared" si="12"/>
        <v>1.3019155752363691</v>
      </c>
      <c r="M39" s="406">
        <f t="shared" si="12"/>
        <v>1.2974219979597232</v>
      </c>
      <c r="N39" s="406">
        <f t="shared" si="12"/>
        <v>1.3026965749826476</v>
      </c>
      <c r="O39" s="406">
        <f t="shared" si="12"/>
        <v>1.3017473521106282</v>
      </c>
      <c r="P39" s="406">
        <f t="shared" si="12"/>
        <v>1.3016868006373241</v>
      </c>
      <c r="Q39" s="406">
        <f t="shared" si="12"/>
        <v>1.2971851594224488</v>
      </c>
      <c r="R39" s="406">
        <f t="shared" si="12"/>
        <v>1.3024496150507783</v>
      </c>
      <c r="S39" s="406">
        <f t="shared" si="12"/>
        <v>1.3014900867833086</v>
      </c>
      <c r="T39" s="406">
        <f t="shared" si="12"/>
        <v>1.3014190559432122</v>
      </c>
      <c r="U39" s="406">
        <f t="shared" si="12"/>
        <v>1.2969075287855891</v>
      </c>
      <c r="V39" s="406">
        <f t="shared" si="12"/>
        <v>0.65300811627909816</v>
      </c>
      <c r="W39" s="406">
        <f t="shared" si="12"/>
        <v>2.2651155375459466</v>
      </c>
      <c r="X39" s="406">
        <f t="shared" si="12"/>
        <v>1.3118802851472118</v>
      </c>
      <c r="Y39" s="406">
        <f t="shared" si="12"/>
        <v>1.3074119252749488</v>
      </c>
      <c r="Z39" s="406">
        <f t="shared" si="12"/>
        <v>1.3127818110603333</v>
      </c>
      <c r="AA39" s="406">
        <f t="shared" si="12"/>
        <v>1.3119168123113574</v>
      </c>
      <c r="AB39" s="406">
        <f t="shared" si="12"/>
        <v>1.311928680234846</v>
      </c>
      <c r="AC39" s="406">
        <f t="shared" si="12"/>
        <v>1.3074595105772793</v>
      </c>
      <c r="AD39" s="406">
        <f t="shared" si="12"/>
        <v>1.3128289222281486</v>
      </c>
      <c r="AE39" s="406">
        <f t="shared" si="12"/>
        <v>1.3119633953231455</v>
      </c>
      <c r="AF39" s="406">
        <f t="shared" si="12"/>
        <v>0.51864732961460569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5">
        <f>B8</f>
        <v>37256</v>
      </c>
      <c r="C41" s="395">
        <f t="shared" ref="C41:AF41" si="13">C8</f>
        <v>37621</v>
      </c>
      <c r="D41" s="395">
        <f t="shared" si="13"/>
        <v>37986</v>
      </c>
      <c r="E41" s="395">
        <f t="shared" si="13"/>
        <v>38352</v>
      </c>
      <c r="F41" s="395">
        <f t="shared" si="13"/>
        <v>38717</v>
      </c>
      <c r="G41" s="395">
        <f t="shared" si="13"/>
        <v>39082</v>
      </c>
      <c r="H41" s="395">
        <f t="shared" si="13"/>
        <v>39447</v>
      </c>
      <c r="I41" s="395">
        <f t="shared" si="13"/>
        <v>39813</v>
      </c>
      <c r="J41" s="395">
        <f t="shared" si="13"/>
        <v>40178</v>
      </c>
      <c r="K41" s="395">
        <f t="shared" si="13"/>
        <v>40543</v>
      </c>
      <c r="L41" s="395">
        <f t="shared" si="13"/>
        <v>40908</v>
      </c>
      <c r="M41" s="395">
        <f t="shared" si="13"/>
        <v>41274</v>
      </c>
      <c r="N41" s="395">
        <f t="shared" si="13"/>
        <v>41639</v>
      </c>
      <c r="O41" s="395">
        <f t="shared" si="13"/>
        <v>42004</v>
      </c>
      <c r="P41" s="395">
        <f t="shared" si="13"/>
        <v>42369</v>
      </c>
      <c r="Q41" s="395">
        <f t="shared" si="13"/>
        <v>42735</v>
      </c>
      <c r="R41" s="395">
        <f t="shared" si="13"/>
        <v>43100</v>
      </c>
      <c r="S41" s="395">
        <f t="shared" si="13"/>
        <v>43465</v>
      </c>
      <c r="T41" s="395">
        <f t="shared" si="13"/>
        <v>43830</v>
      </c>
      <c r="U41" s="395">
        <f t="shared" si="13"/>
        <v>44196</v>
      </c>
      <c r="V41" s="395">
        <f t="shared" si="13"/>
        <v>44561</v>
      </c>
      <c r="W41" s="395">
        <f t="shared" si="13"/>
        <v>44926</v>
      </c>
      <c r="X41" s="395">
        <f t="shared" si="13"/>
        <v>45291</v>
      </c>
      <c r="Y41" s="395">
        <f t="shared" si="13"/>
        <v>45657</v>
      </c>
      <c r="Z41" s="395">
        <f t="shared" si="13"/>
        <v>46022</v>
      </c>
      <c r="AA41" s="395">
        <f t="shared" si="13"/>
        <v>46387</v>
      </c>
      <c r="AB41" s="395">
        <f t="shared" si="13"/>
        <v>46752</v>
      </c>
      <c r="AC41" s="395">
        <f t="shared" si="13"/>
        <v>47118</v>
      </c>
      <c r="AD41" s="395">
        <f t="shared" si="13"/>
        <v>47483</v>
      </c>
      <c r="AE41" s="395">
        <f t="shared" si="13"/>
        <v>47848</v>
      </c>
      <c r="AF41" s="395">
        <f t="shared" si="13"/>
        <v>48213</v>
      </c>
    </row>
    <row r="42" spans="1:39">
      <c r="A42" s="48" t="s">
        <v>54</v>
      </c>
      <c r="B42" s="48">
        <f>B37</f>
        <v>68857.685601877543</v>
      </c>
      <c r="C42" s="48">
        <f>C37</f>
        <v>70187.761084147336</v>
      </c>
      <c r="D42" s="48">
        <f t="shared" ref="D42:AF42" si="14">D37</f>
        <v>71611.382250037801</v>
      </c>
      <c r="E42" s="48">
        <f t="shared" si="14"/>
        <v>73174.297755199543</v>
      </c>
      <c r="F42" s="48">
        <f t="shared" si="14"/>
        <v>74884.690224892765</v>
      </c>
      <c r="G42" s="48">
        <f t="shared" si="14"/>
        <v>76759.364827924568</v>
      </c>
      <c r="H42" s="48">
        <f t="shared" si="14"/>
        <v>78811.432619899206</v>
      </c>
      <c r="I42" s="48">
        <f t="shared" si="14"/>
        <v>81058.23318264258</v>
      </c>
      <c r="J42" s="48">
        <f t="shared" si="14"/>
        <v>83511.220292761427</v>
      </c>
      <c r="K42" s="48">
        <f t="shared" si="14"/>
        <v>86193.700395952052</v>
      </c>
      <c r="L42" s="48">
        <f t="shared" si="14"/>
        <v>89123.821989197168</v>
      </c>
      <c r="M42" s="48">
        <f t="shared" si="14"/>
        <v>92325.560057593771</v>
      </c>
      <c r="N42" s="48">
        <f t="shared" si="14"/>
        <v>95814.872667872594</v>
      </c>
      <c r="O42" s="48">
        <f t="shared" si="14"/>
        <v>99624.079968647799</v>
      </c>
      <c r="P42" s="48">
        <f t="shared" si="14"/>
        <v>103778.29224610774</v>
      </c>
      <c r="Q42" s="48">
        <f t="shared" si="14"/>
        <v>108310.67085903342</v>
      </c>
      <c r="R42" s="48">
        <f t="shared" si="14"/>
        <v>113243.38029640241</v>
      </c>
      <c r="S42" s="48">
        <f t="shared" si="14"/>
        <v>118621.22962168278</v>
      </c>
      <c r="T42" s="48">
        <f t="shared" si="14"/>
        <v>124478.95011151925</v>
      </c>
      <c r="U42" s="48">
        <f t="shared" si="14"/>
        <v>130862.41649198689</v>
      </c>
      <c r="V42" s="48">
        <f t="shared" si="14"/>
        <v>140241.54825294012</v>
      </c>
      <c r="W42" s="48">
        <f t="shared" si="14"/>
        <v>152719.67107152136</v>
      </c>
      <c r="X42" s="48">
        <f t="shared" si="14"/>
        <v>166765.16131583141</v>
      </c>
      <c r="Y42" s="48">
        <f t="shared" si="14"/>
        <v>182034.82490366913</v>
      </c>
      <c r="Z42" s="48">
        <f t="shared" si="14"/>
        <v>198600.05355598763</v>
      </c>
      <c r="AA42" s="48">
        <f t="shared" si="14"/>
        <v>216604.32036061634</v>
      </c>
      <c r="AB42" s="48">
        <f t="shared" si="14"/>
        <v>236158.21351142836</v>
      </c>
      <c r="AC42" s="48">
        <f t="shared" si="14"/>
        <v>257407.819076168</v>
      </c>
      <c r="AD42" s="48">
        <f t="shared" si="14"/>
        <v>280451.54192391277</v>
      </c>
      <c r="AE42" s="48">
        <f t="shared" si="14"/>
        <v>305488.08769771113</v>
      </c>
      <c r="AF42" s="48">
        <f t="shared" si="14"/>
        <v>322006.56464438635</v>
      </c>
    </row>
    <row r="43" spans="1:39">
      <c r="A43" s="48" t="s">
        <v>321</v>
      </c>
      <c r="B43" s="382">
        <v>0</v>
      </c>
      <c r="C43" s="382">
        <v>0</v>
      </c>
      <c r="D43" s="382">
        <v>0</v>
      </c>
      <c r="E43" s="382">
        <v>0</v>
      </c>
      <c r="F43" s="382">
        <v>0</v>
      </c>
      <c r="G43" s="382">
        <v>0</v>
      </c>
      <c r="H43" s="382">
        <v>0</v>
      </c>
      <c r="I43" s="382">
        <v>0</v>
      </c>
      <c r="J43" s="382">
        <v>0</v>
      </c>
      <c r="K43" s="382">
        <v>0</v>
      </c>
      <c r="L43" s="382">
        <v>0</v>
      </c>
      <c r="M43" s="382">
        <v>0</v>
      </c>
      <c r="N43" s="382">
        <v>0</v>
      </c>
      <c r="O43" s="382">
        <v>0</v>
      </c>
      <c r="P43" s="382">
        <v>0</v>
      </c>
      <c r="Q43" s="382">
        <v>0</v>
      </c>
      <c r="R43" s="382">
        <v>0</v>
      </c>
      <c r="S43" s="382">
        <v>0</v>
      </c>
      <c r="T43" s="382">
        <v>0</v>
      </c>
      <c r="U43" s="382">
        <v>0</v>
      </c>
      <c r="V43" s="382">
        <v>0</v>
      </c>
      <c r="W43" s="382">
        <v>0</v>
      </c>
      <c r="X43" s="382">
        <v>0</v>
      </c>
      <c r="Y43" s="382">
        <v>0</v>
      </c>
      <c r="Z43" s="382">
        <v>0</v>
      </c>
      <c r="AA43" s="382">
        <v>0</v>
      </c>
      <c r="AB43" s="382">
        <v>0</v>
      </c>
      <c r="AC43" s="382">
        <v>0</v>
      </c>
      <c r="AD43" s="382">
        <v>0</v>
      </c>
      <c r="AE43" s="382">
        <v>0</v>
      </c>
      <c r="AF43" s="382">
        <v>0</v>
      </c>
    </row>
    <row r="44" spans="1:39">
      <c r="A44" s="48" t="s">
        <v>56</v>
      </c>
      <c r="B44" s="385">
        <f>B42*(B41-B32)/365.25*$E$64</f>
        <v>1415.3294309544028</v>
      </c>
      <c r="C44" s="385">
        <f t="shared" ref="C44:AF44" si="15">C42*(C41-C32)/(C41-B41)*$E$64</f>
        <v>1443.6564831211949</v>
      </c>
      <c r="D44" s="385">
        <f t="shared" si="15"/>
        <v>1472.9382253209831</v>
      </c>
      <c r="E44" s="385">
        <f t="shared" si="15"/>
        <v>1500.9727879703844</v>
      </c>
      <c r="F44" s="385">
        <f t="shared" si="15"/>
        <v>1540.2652379818699</v>
      </c>
      <c r="G44" s="385">
        <f t="shared" si="15"/>
        <v>1578.8244697140924</v>
      </c>
      <c r="H44" s="385">
        <f t="shared" si="15"/>
        <v>1621.0324120380637</v>
      </c>
      <c r="I44" s="385">
        <f t="shared" si="15"/>
        <v>1662.6903978652711</v>
      </c>
      <c r="J44" s="385">
        <f t="shared" si="15"/>
        <v>1717.6999625970041</v>
      </c>
      <c r="K44" s="385">
        <f t="shared" si="15"/>
        <v>1772.8745362263289</v>
      </c>
      <c r="L44" s="385">
        <f t="shared" si="15"/>
        <v>1833.1427221476652</v>
      </c>
      <c r="M44" s="385">
        <f t="shared" si="15"/>
        <v>1893.8091315092495</v>
      </c>
      <c r="N44" s="385">
        <f t="shared" si="15"/>
        <v>1970.7675522028865</v>
      </c>
      <c r="O44" s="385">
        <f t="shared" si="15"/>
        <v>2049.1172064784205</v>
      </c>
      <c r="P44" s="385">
        <f t="shared" si="15"/>
        <v>2134.5630932538465</v>
      </c>
      <c r="Q44" s="385">
        <f t="shared" si="15"/>
        <v>2221.7004411863209</v>
      </c>
      <c r="R44" s="385">
        <f t="shared" si="15"/>
        <v>2329.2456919869619</v>
      </c>
      <c r="S44" s="385">
        <f t="shared" si="15"/>
        <v>2439.8599489994072</v>
      </c>
      <c r="T44" s="385">
        <f t="shared" si="15"/>
        <v>2560.3444327732354</v>
      </c>
      <c r="U44" s="385">
        <f t="shared" si="15"/>
        <v>2684.2885022229279</v>
      </c>
      <c r="V44" s="385">
        <f t="shared" si="15"/>
        <v>2884.5573246820495</v>
      </c>
      <c r="W44" s="385">
        <f t="shared" si="15"/>
        <v>3141.213508409443</v>
      </c>
      <c r="X44" s="385">
        <f t="shared" si="15"/>
        <v>3430.1080782975459</v>
      </c>
      <c r="Y44" s="385">
        <f t="shared" si="15"/>
        <v>3733.9520436182952</v>
      </c>
      <c r="Z44" s="385">
        <f t="shared" si="15"/>
        <v>4084.9038412919917</v>
      </c>
      <c r="AA44" s="385">
        <f t="shared" si="15"/>
        <v>4455.2244797461026</v>
      </c>
      <c r="AB44" s="385">
        <f t="shared" si="15"/>
        <v>4857.4185970878043</v>
      </c>
      <c r="AC44" s="385">
        <f t="shared" si="15"/>
        <v>5280.0251412959879</v>
      </c>
      <c r="AD44" s="385">
        <f t="shared" si="15"/>
        <v>5768.4656191610284</v>
      </c>
      <c r="AE44" s="385">
        <f t="shared" si="15"/>
        <v>6283.4296394262092</v>
      </c>
      <c r="AF44" s="385">
        <f t="shared" si="15"/>
        <v>17758.882592579444</v>
      </c>
    </row>
    <row r="45" spans="1:39">
      <c r="A45" s="48" t="s">
        <v>57</v>
      </c>
      <c r="B45" s="48">
        <f>B42+B43</f>
        <v>68857.685601877543</v>
      </c>
      <c r="C45" s="48">
        <f t="shared" ref="C45:AF45" si="16">C42+C43</f>
        <v>70187.761084147336</v>
      </c>
      <c r="D45" s="48">
        <f t="shared" si="16"/>
        <v>71611.382250037801</v>
      </c>
      <c r="E45" s="48">
        <f t="shared" si="16"/>
        <v>73174.297755199543</v>
      </c>
      <c r="F45" s="48">
        <f t="shared" si="16"/>
        <v>74884.690224892765</v>
      </c>
      <c r="G45" s="48">
        <f t="shared" si="16"/>
        <v>76759.364827924568</v>
      </c>
      <c r="H45" s="48">
        <f t="shared" si="16"/>
        <v>78811.432619899206</v>
      </c>
      <c r="I45" s="48">
        <f t="shared" si="16"/>
        <v>81058.23318264258</v>
      </c>
      <c r="J45" s="48">
        <f t="shared" si="16"/>
        <v>83511.220292761427</v>
      </c>
      <c r="K45" s="48">
        <f t="shared" si="16"/>
        <v>86193.700395952052</v>
      </c>
      <c r="L45" s="48">
        <f t="shared" si="16"/>
        <v>89123.821989197168</v>
      </c>
      <c r="M45" s="48">
        <f t="shared" si="16"/>
        <v>92325.560057593771</v>
      </c>
      <c r="N45" s="48">
        <f t="shared" si="16"/>
        <v>95814.872667872594</v>
      </c>
      <c r="O45" s="48">
        <f t="shared" si="16"/>
        <v>99624.079968647799</v>
      </c>
      <c r="P45" s="48">
        <f t="shared" si="16"/>
        <v>103778.29224610774</v>
      </c>
      <c r="Q45" s="48">
        <f t="shared" si="16"/>
        <v>108310.67085903342</v>
      </c>
      <c r="R45" s="48">
        <f t="shared" si="16"/>
        <v>113243.38029640241</v>
      </c>
      <c r="S45" s="48">
        <f t="shared" si="16"/>
        <v>118621.22962168278</v>
      </c>
      <c r="T45" s="48">
        <f t="shared" si="16"/>
        <v>124478.95011151925</v>
      </c>
      <c r="U45" s="48">
        <f t="shared" si="16"/>
        <v>130862.41649198689</v>
      </c>
      <c r="V45" s="48">
        <f t="shared" si="16"/>
        <v>140241.54825294012</v>
      </c>
      <c r="W45" s="48">
        <f t="shared" si="16"/>
        <v>152719.67107152136</v>
      </c>
      <c r="X45" s="48">
        <f t="shared" si="16"/>
        <v>166765.16131583141</v>
      </c>
      <c r="Y45" s="48">
        <f t="shared" si="16"/>
        <v>182034.82490366913</v>
      </c>
      <c r="Z45" s="48">
        <f t="shared" si="16"/>
        <v>198600.05355598763</v>
      </c>
      <c r="AA45" s="48">
        <f t="shared" si="16"/>
        <v>216604.32036061634</v>
      </c>
      <c r="AB45" s="48">
        <f t="shared" si="16"/>
        <v>236158.21351142836</v>
      </c>
      <c r="AC45" s="48">
        <f t="shared" si="16"/>
        <v>257407.819076168</v>
      </c>
      <c r="AD45" s="48">
        <f t="shared" si="16"/>
        <v>280451.54192391277</v>
      </c>
      <c r="AE45" s="48">
        <f t="shared" si="16"/>
        <v>305488.08769771113</v>
      </c>
      <c r="AF45" s="48">
        <f t="shared" si="16"/>
        <v>322006.56464438635</v>
      </c>
    </row>
    <row r="46" spans="1:39">
      <c r="A46" s="48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</row>
    <row r="47" spans="1:39">
      <c r="A47" s="396" t="s">
        <v>380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381"/>
      <c r="Z47" s="381"/>
      <c r="AA47" s="381"/>
      <c r="AB47" s="381"/>
      <c r="AC47" s="381"/>
      <c r="AD47" s="381"/>
      <c r="AE47" s="381"/>
      <c r="AF47" s="381"/>
      <c r="AG47" s="49"/>
      <c r="AH47" s="49"/>
      <c r="AI47" s="49"/>
      <c r="AJ47" s="49"/>
      <c r="AK47" s="49"/>
      <c r="AL47" s="49"/>
      <c r="AM47" s="49"/>
    </row>
    <row r="48" spans="1:39">
      <c r="A48" s="48" t="s">
        <v>132</v>
      </c>
      <c r="B48" s="161">
        <f>SUM(B35,B26)</f>
        <v>-566.05403868141002</v>
      </c>
      <c r="C48" s="161">
        <f t="shared" ref="C48:AF48" si="17">SUM(C35,C26)</f>
        <v>-1330.0754822697927</v>
      </c>
      <c r="D48" s="161">
        <f t="shared" si="17"/>
        <v>-1423.6211658904649</v>
      </c>
      <c r="E48" s="161">
        <f t="shared" si="17"/>
        <v>-1562.9155051617417</v>
      </c>
      <c r="F48" s="161">
        <f t="shared" si="17"/>
        <v>-1710.3924696932227</v>
      </c>
      <c r="G48" s="161">
        <f t="shared" si="17"/>
        <v>-1874.6746030318027</v>
      </c>
      <c r="H48" s="161">
        <f t="shared" si="17"/>
        <v>-2052.0677919746377</v>
      </c>
      <c r="I48" s="161">
        <f t="shared" si="17"/>
        <v>-2246.800562743374</v>
      </c>
      <c r="J48" s="161">
        <f t="shared" si="17"/>
        <v>-2452.9871101188473</v>
      </c>
      <c r="K48" s="161">
        <f t="shared" si="17"/>
        <v>-2682.4801031906245</v>
      </c>
      <c r="L48" s="161">
        <f t="shared" si="17"/>
        <v>-2930.1215932451159</v>
      </c>
      <c r="M48" s="161">
        <f t="shared" si="17"/>
        <v>-3201.7380683966039</v>
      </c>
      <c r="N48" s="161">
        <f t="shared" si="17"/>
        <v>-3489.3126102788228</v>
      </c>
      <c r="O48" s="161">
        <f t="shared" si="17"/>
        <v>-3809.2073007752042</v>
      </c>
      <c r="P48" s="161">
        <f t="shared" si="17"/>
        <v>-4154.2122774599411</v>
      </c>
      <c r="Q48" s="161">
        <f t="shared" si="17"/>
        <v>-4532.3786129256769</v>
      </c>
      <c r="R48" s="161">
        <f t="shared" si="17"/>
        <v>-4932.7094373689906</v>
      </c>
      <c r="S48" s="161">
        <f t="shared" si="17"/>
        <v>-5377.8493252803746</v>
      </c>
      <c r="T48" s="161">
        <f t="shared" si="17"/>
        <v>-5857.7204898364726</v>
      </c>
      <c r="U48" s="161">
        <f t="shared" si="17"/>
        <v>-6383.4663804676384</v>
      </c>
      <c r="V48" s="161">
        <f t="shared" si="17"/>
        <v>-9379.1317609532271</v>
      </c>
      <c r="W48" s="161">
        <f t="shared" si="17"/>
        <v>-12478.122818581236</v>
      </c>
      <c r="X48" s="161">
        <f t="shared" si="17"/>
        <v>-14045.490244310058</v>
      </c>
      <c r="Y48" s="161">
        <f t="shared" si="17"/>
        <v>-15269.663587837713</v>
      </c>
      <c r="Z48" s="161">
        <f t="shared" si="17"/>
        <v>-16565.228652318503</v>
      </c>
      <c r="AA48" s="161">
        <f t="shared" si="17"/>
        <v>-18004.266804628714</v>
      </c>
      <c r="AB48" s="161">
        <f t="shared" si="17"/>
        <v>-19553.893150812015</v>
      </c>
      <c r="AC48" s="161">
        <f t="shared" si="17"/>
        <v>-21249.605564739642</v>
      </c>
      <c r="AD48" s="161">
        <f t="shared" si="17"/>
        <v>-23043.722847744764</v>
      </c>
      <c r="AE48" s="161">
        <f t="shared" si="17"/>
        <v>-25036.545773798367</v>
      </c>
      <c r="AF48" s="161">
        <f t="shared" si="17"/>
        <v>-16518.476946675219</v>
      </c>
      <c r="AG48" s="49"/>
      <c r="AH48" s="49"/>
      <c r="AI48" s="49"/>
      <c r="AJ48" s="49"/>
      <c r="AK48" s="49"/>
      <c r="AL48" s="49"/>
      <c r="AM48" s="49"/>
    </row>
    <row r="49" spans="1:39">
      <c r="A49" s="396" t="s">
        <v>131</v>
      </c>
      <c r="B49" s="385">
        <f>B36</f>
        <v>2360.0578217835541</v>
      </c>
      <c r="C49" s="385">
        <f t="shared" ref="C49:AF49" si="18">C27+C36+B44</f>
        <v>5706.4052432491362</v>
      </c>
      <c r="D49" s="385">
        <f t="shared" si="18"/>
        <v>5819.0148898103853</v>
      </c>
      <c r="E49" s="385">
        <f t="shared" si="18"/>
        <v>5943.6285014520718</v>
      </c>
      <c r="F49" s="385">
        <f t="shared" si="18"/>
        <v>6067.0055975542227</v>
      </c>
      <c r="G49" s="385">
        <f t="shared" si="18"/>
        <v>6215.6294798132667</v>
      </c>
      <c r="H49" s="385">
        <f t="shared" si="18"/>
        <v>6373.8759692216508</v>
      </c>
      <c r="I49" s="385">
        <f t="shared" si="18"/>
        <v>6551.8655526729272</v>
      </c>
      <c r="J49" s="385">
        <f t="shared" si="18"/>
        <v>6731.9889094010232</v>
      </c>
      <c r="K49" s="385">
        <f t="shared" si="18"/>
        <v>6943.6468196856258</v>
      </c>
      <c r="L49" s="385">
        <f t="shared" si="18"/>
        <v>7169.9569658238543</v>
      </c>
      <c r="M49" s="385">
        <f t="shared" si="18"/>
        <v>7422.5264969951904</v>
      </c>
      <c r="N49" s="385">
        <f t="shared" si="18"/>
        <v>7681.8442339387711</v>
      </c>
      <c r="O49" s="385">
        <f t="shared" si="18"/>
        <v>7981.4720437575124</v>
      </c>
      <c r="P49" s="385">
        <f t="shared" si="18"/>
        <v>8302.7048461040285</v>
      </c>
      <c r="Q49" s="385">
        <f t="shared" si="18"/>
        <v>8659.2503465553109</v>
      </c>
      <c r="R49" s="385">
        <f t="shared" si="18"/>
        <v>9028.8728849961262</v>
      </c>
      <c r="S49" s="385">
        <f t="shared" si="18"/>
        <v>9451.0286316600832</v>
      </c>
      <c r="T49" s="385">
        <f t="shared" si="18"/>
        <v>9904.3999360905473</v>
      </c>
      <c r="U49" s="385">
        <f t="shared" si="18"/>
        <v>10405.648628877721</v>
      </c>
      <c r="V49" s="385">
        <f t="shared" si="18"/>
        <v>10978.090976227777</v>
      </c>
      <c r="W49" s="385">
        <f t="shared" si="18"/>
        <v>11822.122768663696</v>
      </c>
      <c r="X49" s="385">
        <f t="shared" si="18"/>
        <v>12883.269455364823</v>
      </c>
      <c r="Y49" s="385">
        <f t="shared" si="18"/>
        <v>14076.259581042861</v>
      </c>
      <c r="Z49" s="385">
        <f t="shared" si="18"/>
        <v>15342.254167069123</v>
      </c>
      <c r="AA49" s="385">
        <f t="shared" si="18"/>
        <v>16748.405391868662</v>
      </c>
      <c r="AB49" s="385">
        <f t="shared" si="18"/>
        <v>18265.074170688229</v>
      </c>
      <c r="AC49" s="385">
        <f t="shared" si="18"/>
        <v>19926.008847637124</v>
      </c>
      <c r="AD49" s="385">
        <f t="shared" si="18"/>
        <v>21687.129500583233</v>
      </c>
      <c r="AE49" s="385">
        <f t="shared" si="18"/>
        <v>23643.269506244083</v>
      </c>
      <c r="AF49" s="385">
        <f t="shared" si="18"/>
        <v>14729.598268253902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1794.0037831021441</v>
      </c>
      <c r="C50" s="49">
        <f t="shared" si="19"/>
        <v>4376.3297609793435</v>
      </c>
      <c r="D50" s="49">
        <f t="shared" si="19"/>
        <v>4395.3937239199204</v>
      </c>
      <c r="E50" s="49">
        <f t="shared" si="19"/>
        <v>4380.71299629033</v>
      </c>
      <c r="F50" s="49">
        <f t="shared" si="19"/>
        <v>4356.6131278610001</v>
      </c>
      <c r="G50" s="49">
        <f t="shared" si="19"/>
        <v>4340.954876781464</v>
      </c>
      <c r="H50" s="49">
        <f t="shared" si="19"/>
        <v>4321.8081772470132</v>
      </c>
      <c r="I50" s="49">
        <f t="shared" si="19"/>
        <v>4305.0649899295531</v>
      </c>
      <c r="J50" s="49">
        <f t="shared" si="19"/>
        <v>4279.0017992821759</v>
      </c>
      <c r="K50" s="49">
        <f t="shared" si="19"/>
        <v>4261.1667164950013</v>
      </c>
      <c r="L50" s="49">
        <f t="shared" si="19"/>
        <v>4239.8353725787383</v>
      </c>
      <c r="M50" s="49">
        <f t="shared" si="19"/>
        <v>4220.7884285985865</v>
      </c>
      <c r="N50" s="49">
        <f t="shared" si="19"/>
        <v>4192.5316236599483</v>
      </c>
      <c r="O50" s="49">
        <f t="shared" si="19"/>
        <v>4172.2647429823082</v>
      </c>
      <c r="P50" s="49">
        <f t="shared" si="19"/>
        <v>4148.4925686440874</v>
      </c>
      <c r="Q50" s="49">
        <f t="shared" si="19"/>
        <v>4126.871733629634</v>
      </c>
      <c r="R50" s="49">
        <f t="shared" si="19"/>
        <v>4096.1634476271356</v>
      </c>
      <c r="S50" s="49">
        <f t="shared" si="19"/>
        <v>4073.1793063797086</v>
      </c>
      <c r="T50" s="49">
        <f t="shared" si="19"/>
        <v>4046.6794462540747</v>
      </c>
      <c r="U50" s="49">
        <f t="shared" si="19"/>
        <v>4022.182248410083</v>
      </c>
      <c r="V50" s="49">
        <f t="shared" si="19"/>
        <v>1598.9592152745499</v>
      </c>
      <c r="W50" s="49">
        <f t="shared" si="19"/>
        <v>-656.00004991754031</v>
      </c>
      <c r="X50" s="49">
        <f t="shared" si="19"/>
        <v>-1162.2207889452347</v>
      </c>
      <c r="Y50" s="49">
        <f t="shared" si="19"/>
        <v>-1193.4040067948517</v>
      </c>
      <c r="Z50" s="49">
        <f t="shared" si="19"/>
        <v>-1222.9744852493805</v>
      </c>
      <c r="AA50" s="49">
        <f t="shared" si="19"/>
        <v>-1255.8614127600522</v>
      </c>
      <c r="AB50" s="49">
        <f t="shared" si="19"/>
        <v>-1288.8189801237859</v>
      </c>
      <c r="AC50" s="49">
        <f t="shared" si="19"/>
        <v>-1323.5967171025186</v>
      </c>
      <c r="AD50" s="49">
        <f t="shared" si="19"/>
        <v>-1356.5933471615317</v>
      </c>
      <c r="AE50" s="49">
        <f t="shared" si="19"/>
        <v>-1393.2762675542835</v>
      </c>
      <c r="AF50" s="49">
        <f t="shared" si="19"/>
        <v>-1788.8786784213171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395</v>
      </c>
      <c r="B52" s="403">
        <f>IF(B33&gt;0.1,(B38+B29)/B50," ")</f>
        <v>1.3000000000000005</v>
      </c>
      <c r="C52" s="403">
        <f t="shared" ref="C52:AF52" si="20">IF(C33&gt;0.1,(C38+C29)/C50," ")</f>
        <v>1.3</v>
      </c>
      <c r="D52" s="403">
        <f t="shared" si="20"/>
        <v>1.2999999999999987</v>
      </c>
      <c r="E52" s="403">
        <f t="shared" si="20"/>
        <v>1.2999999999999954</v>
      </c>
      <c r="F52" s="403">
        <f t="shared" si="20"/>
        <v>1.3000000000000003</v>
      </c>
      <c r="G52" s="403">
        <f t="shared" si="20"/>
        <v>1.3000000000000056</v>
      </c>
      <c r="H52" s="403">
        <f t="shared" si="20"/>
        <v>1.3000000000000005</v>
      </c>
      <c r="I52" s="403">
        <f t="shared" si="20"/>
        <v>1.299999999999998</v>
      </c>
      <c r="J52" s="403">
        <f t="shared" si="20"/>
        <v>1.3000000000000023</v>
      </c>
      <c r="K52" s="403">
        <f t="shared" si="20"/>
        <v>1.2999999999999992</v>
      </c>
      <c r="L52" s="403">
        <f t="shared" si="20"/>
        <v>1.2999999999999949</v>
      </c>
      <c r="M52" s="403">
        <f t="shared" si="20"/>
        <v>1.2999999999999974</v>
      </c>
      <c r="N52" s="403">
        <f t="shared" si="20"/>
        <v>1.3000000000000009</v>
      </c>
      <c r="O52" s="403">
        <f t="shared" si="20"/>
        <v>1.3000000000000049</v>
      </c>
      <c r="P52" s="464">
        <f t="shared" si="20"/>
        <v>1.2999999999999974</v>
      </c>
      <c r="Q52" s="403">
        <f t="shared" si="20"/>
        <v>1.3000000000000032</v>
      </c>
      <c r="R52" s="403">
        <f t="shared" si="20"/>
        <v>1.299999999999994</v>
      </c>
      <c r="S52" s="403">
        <f t="shared" si="20"/>
        <v>1.2999999999999987</v>
      </c>
      <c r="T52" s="403">
        <f t="shared" si="20"/>
        <v>1.2999999999999952</v>
      </c>
      <c r="U52" s="403">
        <f t="shared" si="20"/>
        <v>1.2999999999999945</v>
      </c>
      <c r="V52" s="403">
        <f t="shared" si="20"/>
        <v>1.2999999999999949</v>
      </c>
      <c r="W52" s="403">
        <f t="shared" si="20"/>
        <v>1.3000000000000775</v>
      </c>
      <c r="X52" s="403">
        <f t="shared" si="20"/>
        <v>1.2999999999999718</v>
      </c>
      <c r="Y52" s="403">
        <f t="shared" si="20"/>
        <v>1.3000000000000065</v>
      </c>
      <c r="Z52" s="403">
        <f t="shared" si="20"/>
        <v>1.2999999999999772</v>
      </c>
      <c r="AA52" s="403">
        <f t="shared" si="20"/>
        <v>1.3000000000000009</v>
      </c>
      <c r="AB52" s="403">
        <f t="shared" si="20"/>
        <v>1.2999999999999807</v>
      </c>
      <c r="AC52" s="403">
        <f t="shared" si="20"/>
        <v>1.300000000000012</v>
      </c>
      <c r="AD52" s="403">
        <f t="shared" si="20"/>
        <v>1.3000000000000334</v>
      </c>
      <c r="AE52" s="403">
        <f t="shared" si="20"/>
        <v>1.2999999999999559</v>
      </c>
      <c r="AF52" s="464">
        <f t="shared" si="20"/>
        <v>1.2999999999999907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  <c r="AA53" s="408"/>
      <c r="AB53" s="408"/>
      <c r="AC53" s="408"/>
      <c r="AD53" s="408"/>
      <c r="AE53" s="408"/>
      <c r="AF53" s="408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408"/>
      <c r="AB54" s="408"/>
      <c r="AC54" s="408"/>
      <c r="AD54" s="408"/>
      <c r="AE54" s="408"/>
      <c r="AF54" s="408"/>
      <c r="AG54" s="50"/>
      <c r="AH54" s="50"/>
      <c r="AI54" s="50"/>
      <c r="AJ54" s="50"/>
      <c r="AK54" s="50"/>
      <c r="AL54" s="50"/>
      <c r="AM54" s="50"/>
    </row>
    <row r="55" spans="1:39">
      <c r="A55" s="396" t="s">
        <v>379</v>
      </c>
      <c r="B55" s="381"/>
      <c r="C55" s="381"/>
      <c r="D55" s="381"/>
      <c r="E55" s="381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  <c r="X55" s="381"/>
      <c r="Y55" s="381"/>
      <c r="Z55" s="381"/>
      <c r="AA55" s="381"/>
      <c r="AB55" s="381"/>
      <c r="AC55" s="381"/>
      <c r="AD55" s="381"/>
      <c r="AE55" s="381"/>
      <c r="AF55" s="381"/>
    </row>
    <row r="56" spans="1:39">
      <c r="A56" s="48" t="s">
        <v>132</v>
      </c>
      <c r="B56" s="161">
        <f t="shared" ref="B56:AF56" si="21">B35+B26</f>
        <v>-566.05403868141002</v>
      </c>
      <c r="C56" s="161">
        <f t="shared" si="21"/>
        <v>-1330.0754822697927</v>
      </c>
      <c r="D56" s="161">
        <f t="shared" si="21"/>
        <v>-1423.6211658904649</v>
      </c>
      <c r="E56" s="161">
        <f t="shared" si="21"/>
        <v>-1562.9155051617417</v>
      </c>
      <c r="F56" s="161">
        <f t="shared" si="21"/>
        <v>-1710.3924696932227</v>
      </c>
      <c r="G56" s="161">
        <f t="shared" si="21"/>
        <v>-1874.6746030318027</v>
      </c>
      <c r="H56" s="161">
        <f t="shared" si="21"/>
        <v>-2052.0677919746377</v>
      </c>
      <c r="I56" s="161">
        <f t="shared" si="21"/>
        <v>-2246.800562743374</v>
      </c>
      <c r="J56" s="161">
        <f t="shared" si="21"/>
        <v>-2452.9871101188473</v>
      </c>
      <c r="K56" s="161">
        <f t="shared" si="21"/>
        <v>-2682.4801031906245</v>
      </c>
      <c r="L56" s="161">
        <f t="shared" si="21"/>
        <v>-2930.1215932451159</v>
      </c>
      <c r="M56" s="161">
        <f t="shared" si="21"/>
        <v>-3201.7380683966039</v>
      </c>
      <c r="N56" s="161">
        <f t="shared" si="21"/>
        <v>-3489.3126102788228</v>
      </c>
      <c r="O56" s="161">
        <f t="shared" si="21"/>
        <v>-3809.2073007752042</v>
      </c>
      <c r="P56" s="161">
        <f t="shared" si="21"/>
        <v>-4154.2122774599411</v>
      </c>
      <c r="Q56" s="161">
        <f t="shared" si="21"/>
        <v>-4532.3786129256769</v>
      </c>
      <c r="R56" s="161">
        <f t="shared" si="21"/>
        <v>-4932.7094373689906</v>
      </c>
      <c r="S56" s="161">
        <f t="shared" si="21"/>
        <v>-5377.8493252803746</v>
      </c>
      <c r="T56" s="161">
        <f t="shared" si="21"/>
        <v>-5857.7204898364726</v>
      </c>
      <c r="U56" s="161">
        <f t="shared" si="21"/>
        <v>-6383.4663804676384</v>
      </c>
      <c r="V56" s="161">
        <f t="shared" si="21"/>
        <v>-9379.1317609532271</v>
      </c>
      <c r="W56" s="161">
        <f t="shared" si="21"/>
        <v>-12478.122818581236</v>
      </c>
      <c r="X56" s="161">
        <f t="shared" si="21"/>
        <v>-14045.490244310058</v>
      </c>
      <c r="Y56" s="161">
        <f t="shared" si="21"/>
        <v>-15269.663587837713</v>
      </c>
      <c r="Z56" s="161">
        <f t="shared" si="21"/>
        <v>-16565.228652318503</v>
      </c>
      <c r="AA56" s="161">
        <f t="shared" si="21"/>
        <v>-18004.266804628714</v>
      </c>
      <c r="AB56" s="161">
        <f t="shared" si="21"/>
        <v>-19553.893150812015</v>
      </c>
      <c r="AC56" s="161">
        <f t="shared" si="21"/>
        <v>-21249.605564739642</v>
      </c>
      <c r="AD56" s="161">
        <f t="shared" si="21"/>
        <v>-23043.722847744764</v>
      </c>
      <c r="AE56" s="161">
        <f t="shared" si="21"/>
        <v>-25036.545773798367</v>
      </c>
      <c r="AF56" s="161">
        <f t="shared" si="21"/>
        <v>-16518.476946675219</v>
      </c>
    </row>
    <row r="57" spans="1:39">
      <c r="A57" s="396" t="s">
        <v>131</v>
      </c>
      <c r="B57" s="385">
        <f t="shared" ref="B57:AF57" si="22">B36+B44+B27</f>
        <v>3775.3872527379572</v>
      </c>
      <c r="C57" s="385">
        <f t="shared" si="22"/>
        <v>5734.7322954159281</v>
      </c>
      <c r="D57" s="385">
        <f t="shared" si="22"/>
        <v>5848.296632010175</v>
      </c>
      <c r="E57" s="385">
        <f t="shared" si="22"/>
        <v>5971.6630641014726</v>
      </c>
      <c r="F57" s="385">
        <f t="shared" si="22"/>
        <v>6106.2980475657077</v>
      </c>
      <c r="G57" s="385">
        <f t="shared" si="22"/>
        <v>6254.1887115454892</v>
      </c>
      <c r="H57" s="385">
        <f t="shared" si="22"/>
        <v>6416.083911545622</v>
      </c>
      <c r="I57" s="385">
        <f t="shared" si="22"/>
        <v>6593.5235385001342</v>
      </c>
      <c r="J57" s="385">
        <f t="shared" si="22"/>
        <v>6786.9984741327571</v>
      </c>
      <c r="K57" s="385">
        <f t="shared" si="22"/>
        <v>6998.8213933149509</v>
      </c>
      <c r="L57" s="385">
        <f t="shared" si="22"/>
        <v>7230.2251517451896</v>
      </c>
      <c r="M57" s="385">
        <f t="shared" si="22"/>
        <v>7483.192906356775</v>
      </c>
      <c r="N57" s="385">
        <f t="shared" si="22"/>
        <v>7758.8026546324081</v>
      </c>
      <c r="O57" s="385">
        <f t="shared" si="22"/>
        <v>8059.8216980330462</v>
      </c>
      <c r="P57" s="385">
        <f t="shared" si="22"/>
        <v>8388.150732879456</v>
      </c>
      <c r="Q57" s="385">
        <f t="shared" si="22"/>
        <v>8746.3876944877848</v>
      </c>
      <c r="R57" s="385">
        <f t="shared" si="22"/>
        <v>9136.4181357967682</v>
      </c>
      <c r="S57" s="385">
        <f t="shared" si="22"/>
        <v>9561.642888672528</v>
      </c>
      <c r="T57" s="385">
        <f t="shared" si="22"/>
        <v>10024.884419864375</v>
      </c>
      <c r="U57" s="385">
        <f t="shared" si="22"/>
        <v>10529.592698327413</v>
      </c>
      <c r="V57" s="385">
        <f t="shared" si="22"/>
        <v>11178.359798686897</v>
      </c>
      <c r="W57" s="385">
        <f t="shared" si="22"/>
        <v>12078.778952391089</v>
      </c>
      <c r="X57" s="385">
        <f t="shared" si="22"/>
        <v>13172.164025252927</v>
      </c>
      <c r="Y57" s="385">
        <f t="shared" si="22"/>
        <v>14380.103546363611</v>
      </c>
      <c r="Z57" s="385">
        <f t="shared" si="22"/>
        <v>15693.205964742818</v>
      </c>
      <c r="AA57" s="385">
        <f t="shared" si="22"/>
        <v>17118.726030322774</v>
      </c>
      <c r="AB57" s="385">
        <f t="shared" si="22"/>
        <v>18667.268288029933</v>
      </c>
      <c r="AC57" s="385">
        <f t="shared" si="22"/>
        <v>20348.615391845306</v>
      </c>
      <c r="AD57" s="385">
        <f t="shared" si="22"/>
        <v>22175.569978448271</v>
      </c>
      <c r="AE57" s="385">
        <f t="shared" si="22"/>
        <v>24158.233526509262</v>
      </c>
      <c r="AF57" s="385">
        <f t="shared" si="22"/>
        <v>26205.051221407139</v>
      </c>
    </row>
    <row r="58" spans="1:39">
      <c r="A58" s="49" t="s">
        <v>58</v>
      </c>
      <c r="B58" s="49">
        <f>SUM(B56:B57)</f>
        <v>3209.3332140565471</v>
      </c>
      <c r="C58" s="49">
        <f t="shared" ref="C58:AF58" si="23">SUM(C56:C57)</f>
        <v>4404.6568131461354</v>
      </c>
      <c r="D58" s="49">
        <f t="shared" si="23"/>
        <v>4424.6754661197101</v>
      </c>
      <c r="E58" s="49">
        <f t="shared" si="23"/>
        <v>4408.7475589397309</v>
      </c>
      <c r="F58" s="49">
        <f t="shared" si="23"/>
        <v>4395.9055778724851</v>
      </c>
      <c r="G58" s="49">
        <f t="shared" si="23"/>
        <v>4379.5141085136866</v>
      </c>
      <c r="H58" s="49">
        <f t="shared" si="23"/>
        <v>4364.0161195709843</v>
      </c>
      <c r="I58" s="49">
        <f t="shared" si="23"/>
        <v>4346.7229757567602</v>
      </c>
      <c r="J58" s="49">
        <f t="shared" si="23"/>
        <v>4334.0113640139098</v>
      </c>
      <c r="K58" s="49">
        <f t="shared" si="23"/>
        <v>4316.3412901243264</v>
      </c>
      <c r="L58" s="49">
        <f t="shared" si="23"/>
        <v>4300.1035585000736</v>
      </c>
      <c r="M58" s="49">
        <f t="shared" si="23"/>
        <v>4281.4548379601711</v>
      </c>
      <c r="N58" s="49">
        <f t="shared" si="23"/>
        <v>4269.4900443535853</v>
      </c>
      <c r="O58" s="49">
        <f t="shared" si="23"/>
        <v>4250.614397257842</v>
      </c>
      <c r="P58" s="49">
        <f t="shared" si="23"/>
        <v>4233.9384554195149</v>
      </c>
      <c r="Q58" s="49">
        <f t="shared" si="23"/>
        <v>4214.0090815621079</v>
      </c>
      <c r="R58" s="49">
        <f t="shared" si="23"/>
        <v>4203.7086984277776</v>
      </c>
      <c r="S58" s="49">
        <f t="shared" si="23"/>
        <v>4183.7935633921534</v>
      </c>
      <c r="T58" s="49">
        <f t="shared" si="23"/>
        <v>4167.1639300279021</v>
      </c>
      <c r="U58" s="49">
        <f t="shared" si="23"/>
        <v>4146.1263178597746</v>
      </c>
      <c r="V58" s="49">
        <f t="shared" si="23"/>
        <v>1799.2280377336701</v>
      </c>
      <c r="W58" s="49">
        <f t="shared" si="23"/>
        <v>-399.34386619014731</v>
      </c>
      <c r="X58" s="49">
        <f t="shared" si="23"/>
        <v>-873.32621905713131</v>
      </c>
      <c r="Y58" s="49">
        <f t="shared" si="23"/>
        <v>-889.56004147410204</v>
      </c>
      <c r="Z58" s="49">
        <f t="shared" si="23"/>
        <v>-872.02268757568527</v>
      </c>
      <c r="AA58" s="49">
        <f t="shared" si="23"/>
        <v>-885.54077430594043</v>
      </c>
      <c r="AB58" s="49">
        <f t="shared" si="23"/>
        <v>-886.62486278208235</v>
      </c>
      <c r="AC58" s="49">
        <f t="shared" si="23"/>
        <v>-900.99017289433687</v>
      </c>
      <c r="AD58" s="49">
        <f t="shared" si="23"/>
        <v>-868.15286929649301</v>
      </c>
      <c r="AE58" s="49">
        <f t="shared" si="23"/>
        <v>-878.31224728910456</v>
      </c>
      <c r="AF58" s="49">
        <f t="shared" si="23"/>
        <v>9686.57427473192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409"/>
      <c r="AB60" s="409"/>
      <c r="AC60" s="409"/>
      <c r="AD60" s="409"/>
      <c r="AE60" s="409"/>
      <c r="AF60" s="409"/>
      <c r="AG60" s="50"/>
      <c r="AH60" s="50"/>
      <c r="AI60" s="50"/>
      <c r="AJ60" s="50"/>
      <c r="AK60" s="50"/>
      <c r="AL60" s="50"/>
      <c r="AM60" s="50"/>
    </row>
    <row r="61" spans="1:39">
      <c r="B61" s="742" t="s">
        <v>322</v>
      </c>
      <c r="C61" s="743"/>
      <c r="D61" s="743"/>
      <c r="E61" s="744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5" t="s">
        <v>383</v>
      </c>
      <c r="C62" s="57"/>
      <c r="D62" s="57"/>
      <c r="E62" s="456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9">
        <f>Assumptions!G38</f>
        <v>1.7500000000000002E-2</v>
      </c>
      <c r="AA63" s="12"/>
      <c r="AB63" s="12"/>
    </row>
    <row r="64" spans="1:39">
      <c r="A64" s="48"/>
      <c r="B64" s="332" t="s">
        <v>384</v>
      </c>
      <c r="C64" s="58"/>
      <c r="D64" s="58"/>
      <c r="E64" s="399">
        <f>E63+E62</f>
        <v>8.2500000000000004E-2</v>
      </c>
      <c r="AA64" s="12"/>
      <c r="AB64" s="12"/>
    </row>
    <row r="65" spans="1:43">
      <c r="B65" s="401" t="s">
        <v>382</v>
      </c>
      <c r="C65" s="57"/>
      <c r="D65" s="57"/>
      <c r="E65" s="400">
        <f>Assumptions!G33</f>
        <v>20</v>
      </c>
      <c r="AA65" s="12"/>
      <c r="AB65" s="12"/>
    </row>
    <row r="66" spans="1:43">
      <c r="B66" s="442" t="s">
        <v>381</v>
      </c>
      <c r="C66" s="13"/>
      <c r="D66" s="13"/>
      <c r="E66" s="457">
        <f>B77</f>
        <v>-83.95089612521214</v>
      </c>
      <c r="AA66" s="12"/>
      <c r="AB66" s="12"/>
    </row>
    <row r="67" spans="1:43">
      <c r="B67" s="332" t="s">
        <v>53</v>
      </c>
      <c r="C67" s="58"/>
      <c r="D67" s="58"/>
      <c r="E67" s="443">
        <f>B19</f>
        <v>68291.631563196133</v>
      </c>
      <c r="AA67" s="12"/>
      <c r="AB67" s="12"/>
    </row>
    <row r="68" spans="1:43">
      <c r="B68" s="329" t="s">
        <v>0</v>
      </c>
      <c r="C68" s="57"/>
      <c r="D68" s="57" t="s">
        <v>377</v>
      </c>
      <c r="E68" s="460">
        <f>AVERAGE(B52:AF52)</f>
        <v>1.2999999999999994</v>
      </c>
      <c r="AA68" s="12"/>
      <c r="AB68" s="12"/>
    </row>
    <row r="69" spans="1:43">
      <c r="B69" s="458"/>
      <c r="C69" s="58"/>
      <c r="D69" s="58" t="s">
        <v>378</v>
      </c>
      <c r="E69" s="461">
        <f>MIN(B52:AF52)</f>
        <v>1.2999999999999559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62">
        <f>(SUMPRODUCT(B74:AF74,B35:AF35)+SUMPRODUCT(B75:AF75,B26:AF26))/E67</f>
        <v>-83.95089612521214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3"/>
      <c r="AB79" s="383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view="pageBreakPreview" zoomScale="60" zoomScaleNormal="75" workbookViewId="0">
      <selection activeCell="B50" sqref="B50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UAE-Lowell</v>
      </c>
    </row>
    <row r="4" spans="1:34" ht="18.75">
      <c r="A4" s="60" t="s">
        <v>93</v>
      </c>
    </row>
    <row r="5" spans="1:34">
      <c r="Z5" s="164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5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246</v>
      </c>
      <c r="B12" s="31">
        <f>Assumptions!$N$39</f>
        <v>15</v>
      </c>
      <c r="C12" s="32"/>
      <c r="D12" s="278">
        <v>0.05</v>
      </c>
      <c r="E12" s="278">
        <v>9.5000000000000001E-2</v>
      </c>
      <c r="F12" s="278">
        <v>8.5500000000000007E-2</v>
      </c>
      <c r="G12" s="278">
        <v>7.6999999999999999E-2</v>
      </c>
      <c r="H12" s="278">
        <v>6.93E-2</v>
      </c>
      <c r="I12" s="278">
        <v>6.2300000000000001E-2</v>
      </c>
      <c r="J12" s="278">
        <v>5.8999999999999997E-2</v>
      </c>
      <c r="K12" s="278">
        <v>5.91E-2</v>
      </c>
      <c r="L12" s="278">
        <v>5.8999999999999997E-2</v>
      </c>
      <c r="M12" s="278">
        <v>5.91E-2</v>
      </c>
      <c r="N12" s="278">
        <v>5.8999999999999997E-2</v>
      </c>
      <c r="O12" s="278">
        <v>5.91E-2</v>
      </c>
      <c r="P12" s="278">
        <v>5.8999999999999997E-2</v>
      </c>
      <c r="Q12" s="278">
        <v>5.91E-2</v>
      </c>
      <c r="R12" s="278">
        <v>5.8999999999999997E-2</v>
      </c>
      <c r="S12" s="278">
        <v>2.9499999999999998E-2</v>
      </c>
      <c r="T12" s="278">
        <v>0</v>
      </c>
      <c r="U12" s="278">
        <v>0</v>
      </c>
      <c r="V12" s="278">
        <v>0</v>
      </c>
      <c r="W12" s="278">
        <v>0</v>
      </c>
      <c r="X12" s="278">
        <v>0</v>
      </c>
      <c r="Y12" s="278">
        <v>0</v>
      </c>
      <c r="Z12" s="278">
        <v>0</v>
      </c>
      <c r="AA12" s="278">
        <v>0</v>
      </c>
      <c r="AB12" s="278">
        <v>0</v>
      </c>
      <c r="AC12" s="278">
        <v>0</v>
      </c>
      <c r="AD12" s="278">
        <v>0</v>
      </c>
      <c r="AE12" s="278">
        <v>0</v>
      </c>
      <c r="AF12" s="278">
        <v>0</v>
      </c>
      <c r="AG12" s="278">
        <v>0</v>
      </c>
      <c r="AH12" s="278">
        <v>0</v>
      </c>
    </row>
    <row r="13" spans="1:34" s="10" customFormat="1">
      <c r="A13" s="21" t="s">
        <v>247</v>
      </c>
      <c r="B13" s="31">
        <f>Assumptions!$N$40</f>
        <v>5</v>
      </c>
      <c r="C13" s="32"/>
      <c r="D13" s="278">
        <f>1/$B$13*D6</f>
        <v>0.13333333333333333</v>
      </c>
      <c r="E13" s="278">
        <f>1/$B$13</f>
        <v>0.2</v>
      </c>
      <c r="F13" s="278">
        <f>1/$B$13</f>
        <v>0.2</v>
      </c>
      <c r="G13" s="278">
        <f>1/$B$13</f>
        <v>0.2</v>
      </c>
      <c r="H13" s="278">
        <f>1/$B$13</f>
        <v>0.2</v>
      </c>
      <c r="I13" s="278">
        <f>1/B13-D13</f>
        <v>6.666666666666668E-2</v>
      </c>
      <c r="J13" s="278">
        <v>0</v>
      </c>
      <c r="K13" s="278">
        <v>0</v>
      </c>
      <c r="L13" s="278">
        <v>0</v>
      </c>
      <c r="M13" s="278">
        <v>0</v>
      </c>
      <c r="N13" s="278">
        <v>0</v>
      </c>
      <c r="O13" s="278">
        <v>0</v>
      </c>
      <c r="P13" s="278">
        <v>0</v>
      </c>
      <c r="Q13" s="278">
        <v>0</v>
      </c>
      <c r="R13" s="278">
        <v>0</v>
      </c>
      <c r="S13" s="278">
        <v>0</v>
      </c>
      <c r="T13" s="278">
        <v>0</v>
      </c>
      <c r="U13" s="278">
        <v>0</v>
      </c>
      <c r="V13" s="278">
        <v>0</v>
      </c>
      <c r="W13" s="278">
        <v>0</v>
      </c>
      <c r="X13" s="278">
        <v>0</v>
      </c>
      <c r="Y13" s="278">
        <v>0</v>
      </c>
      <c r="Z13" s="278">
        <v>0</v>
      </c>
      <c r="AA13" s="278">
        <v>0</v>
      </c>
      <c r="AB13" s="278">
        <v>0</v>
      </c>
      <c r="AC13" s="278">
        <v>0</v>
      </c>
      <c r="AD13" s="278">
        <v>0</v>
      </c>
      <c r="AE13" s="278">
        <v>0</v>
      </c>
      <c r="AF13" s="278">
        <v>0</v>
      </c>
      <c r="AG13" s="278">
        <v>0</v>
      </c>
      <c r="AH13" s="278">
        <v>0</v>
      </c>
    </row>
    <row r="14" spans="1:34" s="70" customFormat="1">
      <c r="A14" s="22" t="s">
        <v>312</v>
      </c>
      <c r="B14" s="68">
        <f>Assumptions!$N$41</f>
        <v>20</v>
      </c>
      <c r="C14" s="69"/>
      <c r="D14" s="278">
        <f>1/Assumptions!$N$41*D6</f>
        <v>3.3333333333333333E-2</v>
      </c>
      <c r="E14" s="278">
        <f>IF(AND(E6&gt;=Assumptions!$N$41,D6&lt;Assumptions!$N$41),1/Assumptions!$N$41-Depreciation!$D$14,IF(E6&lt;Assumptions!$N$41,1/Assumptions!$N$41,0))</f>
        <v>0.05</v>
      </c>
      <c r="F14" s="278">
        <f>IF(AND(F6&gt;=Assumptions!$N$41,E6&lt;Assumptions!$N$41),1/Assumptions!$N$41-Depreciation!$D$14,IF(F6&lt;Assumptions!$N$41,1/Assumptions!$N$41,0))</f>
        <v>0.05</v>
      </c>
      <c r="G14" s="278">
        <f>IF(AND(G6&gt;=Assumptions!$N$41,F6&lt;Assumptions!$N$41),1/Assumptions!$N$41-Depreciation!$D$14,IF(G6&lt;Assumptions!$N$41,1/Assumptions!$N$41,0))</f>
        <v>0.05</v>
      </c>
      <c r="H14" s="278">
        <f>IF(AND(H6&gt;=Assumptions!$N$41,G6&lt;Assumptions!$N$41),1/Assumptions!$N$41-Depreciation!$D$14,IF(H6&lt;Assumptions!$N$41,1/Assumptions!$N$41,0))</f>
        <v>0.05</v>
      </c>
      <c r="I14" s="278">
        <f>IF(AND(I6&gt;=Assumptions!$N$41,H6&lt;Assumptions!$N$41),1/Assumptions!$N$41-Depreciation!$D$14,IF(I6&lt;Assumptions!$N$41,1/Assumptions!$N$41,0))</f>
        <v>0.05</v>
      </c>
      <c r="J14" s="278">
        <f>IF(AND(J6&gt;=Assumptions!$N$41,I6&lt;Assumptions!$N$41),1/Assumptions!$N$41-Depreciation!$D$14,IF(J6&lt;Assumptions!$N$41,1/Assumptions!$N$41,0))</f>
        <v>0.05</v>
      </c>
      <c r="K14" s="278">
        <f>IF(AND(K6&gt;=Assumptions!$N$41,J6&lt;Assumptions!$N$41),1/Assumptions!$N$41-Depreciation!$D$14,IF(K6&lt;Assumptions!$N$41,1/Assumptions!$N$41,0))</f>
        <v>0.05</v>
      </c>
      <c r="L14" s="278">
        <f>IF(AND(L6&gt;=Assumptions!$N$41,K6&lt;Assumptions!$N$41),1/Assumptions!$N$41-Depreciation!$D$14,IF(L6&lt;Assumptions!$N$41,1/Assumptions!$N$41,0))</f>
        <v>0.05</v>
      </c>
      <c r="M14" s="278">
        <f>IF(AND(M6&gt;=Assumptions!$N$41,L6&lt;Assumptions!$N$41),1/Assumptions!$N$41-Depreciation!$D$14,IF(M6&lt;Assumptions!$N$41,1/Assumptions!$N$41,0))</f>
        <v>0.05</v>
      </c>
      <c r="N14" s="278">
        <f>IF(AND(N6&gt;=Assumptions!$N$41,M6&lt;Assumptions!$N$41),1/Assumptions!$N$41-Depreciation!$D$14,IF(N6&lt;Assumptions!$N$41,1/Assumptions!$N$41,0))</f>
        <v>0.05</v>
      </c>
      <c r="O14" s="278">
        <f>IF(AND(O6&gt;=Assumptions!$N$41,N6&lt;Assumptions!$N$41),1/Assumptions!$N$41-Depreciation!$D$14,IF(O6&lt;Assumptions!$N$41,1/Assumptions!$N$41,0))</f>
        <v>0.05</v>
      </c>
      <c r="P14" s="278">
        <f>IF(AND(P6&gt;=Assumptions!$N$41,O6&lt;Assumptions!$N$41),1/Assumptions!$N$41-Depreciation!$D$14,IF(P6&lt;Assumptions!$N$41,1/Assumptions!$N$41,0))</f>
        <v>0.05</v>
      </c>
      <c r="Q14" s="278">
        <f>IF(AND(Q6&gt;=Assumptions!$N$41,P6&lt;Assumptions!$N$41),1/Assumptions!$N$41-Depreciation!$D$14,IF(Q6&lt;Assumptions!$N$41,1/Assumptions!$N$41,0))</f>
        <v>0.05</v>
      </c>
      <c r="R14" s="278">
        <f>IF(AND(R6&gt;=Assumptions!$N$41,Q6&lt;Assumptions!$N$41),1/Assumptions!$N$41-Depreciation!$D$14,IF(R6&lt;Assumptions!$N$41,1/Assumptions!$N$41,0))</f>
        <v>0.05</v>
      </c>
      <c r="S14" s="278">
        <f>IF(AND(S6&gt;=Assumptions!$N$41,R6&lt;Assumptions!$N$41),1/Assumptions!$N$41-Depreciation!$D$14,IF(S6&lt;Assumptions!$N$41,1/Assumptions!$N$41,0))</f>
        <v>0.05</v>
      </c>
      <c r="T14" s="278">
        <f>IF(AND(T6&gt;=Assumptions!$N$41,S6&lt;Assumptions!$N$41),1/Assumptions!$N$41-Depreciation!$D$14,IF(T6&lt;Assumptions!$N$41,1/Assumptions!$N$41,0))</f>
        <v>0.05</v>
      </c>
      <c r="U14" s="278">
        <f>IF(AND(U6&gt;=Assumptions!$N$41,T6&lt;Assumptions!$N$41),1/Assumptions!$N$41-Depreciation!$D$14,IF(U6&lt;Assumptions!$N$41,1/Assumptions!$N$41,0))</f>
        <v>0.05</v>
      </c>
      <c r="V14" s="278">
        <f>IF(AND(V6&gt;=Assumptions!$N$41,U6&lt;Assumptions!$N$41),1/Assumptions!$N$41-Depreciation!$D$14,IF(V6&lt;Assumptions!$N$41,1/Assumptions!$N$41,0))</f>
        <v>0.05</v>
      </c>
      <c r="W14" s="278">
        <f>IF(AND(W6&gt;=Assumptions!$N$41,V6&lt;Assumptions!$N$41),1/Assumptions!$N$41-Depreciation!$D$14,IF(W6&lt;Assumptions!$N$41,1/Assumptions!$N$41,0))</f>
        <v>0.05</v>
      </c>
      <c r="X14" s="278">
        <f>IF(AND(X6&gt;=Assumptions!$N$41,W6&lt;Assumptions!$N$41),1/Assumptions!$N$41-Depreciation!$D$14,IF(X6&lt;Assumptions!$N$41,1/Assumptions!$N$41,0))</f>
        <v>1.666666666666667E-2</v>
      </c>
      <c r="Y14" s="278">
        <f>IF(AND(Y6&gt;=Assumptions!$N$41,X6&lt;Assumptions!$N$41),1/Assumptions!$N$41-Depreciation!$D$14,IF(Y6&lt;Assumptions!$N$41,1/Assumptions!$N$41,0))</f>
        <v>0</v>
      </c>
      <c r="Z14" s="278">
        <f>IF(AND(Z6&gt;=Assumptions!$N$41,Y6&lt;Assumptions!$N$41),1/Assumptions!$N$41-Depreciation!$D$14,IF(Z6&lt;Assumptions!$N$41,1/Assumptions!$N$41,0))</f>
        <v>0</v>
      </c>
      <c r="AA14" s="278">
        <f>IF(AND(AA6&gt;=Assumptions!$N$41,Z6&lt;Assumptions!$N$41),1/Assumptions!$N$41-Depreciation!$D$14,IF(AA6&lt;Assumptions!$N$41,1/Assumptions!$N$41,0))</f>
        <v>0</v>
      </c>
      <c r="AB14" s="278">
        <f>IF(AND(AB6&gt;=Assumptions!$N$41,AA6&lt;Assumptions!$N$41),1/Assumptions!$N$41-Depreciation!$D$14,IF(AB6&lt;Assumptions!$N$41,1/Assumptions!$N$41,0))</f>
        <v>0</v>
      </c>
      <c r="AC14" s="278">
        <f>IF(AND(AC6&gt;=Assumptions!$N$41,AB6&lt;Assumptions!$N$41),1/Assumptions!$N$41-Depreciation!$D$14,IF(AC6&lt;Assumptions!$N$41,1/Assumptions!$N$41,0))</f>
        <v>0</v>
      </c>
      <c r="AD14" s="278">
        <f>IF(AND(AD6&gt;=Assumptions!$N$41,AC6&lt;Assumptions!$N$41),1/Assumptions!$N$41-Depreciation!$D$14,IF(AD6&lt;Assumptions!$N$41,1/Assumptions!$N$41,0))</f>
        <v>0</v>
      </c>
      <c r="AE14" s="278">
        <f>IF(AND(AE6&gt;=Assumptions!$N$41,AD6&lt;Assumptions!$N$41),1/Assumptions!$N$41-Depreciation!$D$14,IF(AE6&lt;Assumptions!$N$41,1/Assumptions!$N$41,0))</f>
        <v>0</v>
      </c>
      <c r="AF14" s="278">
        <f>IF(AND(AF6&gt;=Assumptions!$N$41,AE6&lt;Assumptions!$N$41),1/Assumptions!$N$41-Depreciation!$D$14,IF(AF6&lt;Assumptions!$N$41,1/Assumptions!$N$41,0))</f>
        <v>0</v>
      </c>
      <c r="AG14" s="278">
        <f>IF(AND(AG6&gt;=Assumptions!$N$41,AF6&lt;Assumptions!$N$41),1/Assumptions!$N$41-Depreciation!$D$14,IF(AG6&lt;Assumptions!$N$41,1/Assumptions!$N$41,0))</f>
        <v>0</v>
      </c>
      <c r="AH14" s="278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246</v>
      </c>
      <c r="B16" s="373">
        <f>Assumptions!C36+Assumptions!C49+Assumptions!C41</f>
        <v>47670</v>
      </c>
      <c r="C16" s="302"/>
      <c r="D16" s="18">
        <f>$B$16*D12</f>
        <v>2383.5</v>
      </c>
      <c r="E16" s="18">
        <f t="shared" ref="E16:Y16" si="0">$B$16*E12</f>
        <v>4528.6499999999996</v>
      </c>
      <c r="F16" s="18">
        <f t="shared" si="0"/>
        <v>4075.7850000000003</v>
      </c>
      <c r="G16" s="18">
        <f t="shared" si="0"/>
        <v>3670.59</v>
      </c>
      <c r="H16" s="18">
        <f t="shared" si="0"/>
        <v>3303.5309999999999</v>
      </c>
      <c r="I16" s="18">
        <f t="shared" si="0"/>
        <v>2969.8409999999999</v>
      </c>
      <c r="J16" s="18">
        <f t="shared" si="0"/>
        <v>2812.5299999999997</v>
      </c>
      <c r="K16" s="18">
        <f t="shared" si="0"/>
        <v>2817.297</v>
      </c>
      <c r="L16" s="18">
        <f t="shared" si="0"/>
        <v>2812.5299999999997</v>
      </c>
      <c r="M16" s="18">
        <f t="shared" si="0"/>
        <v>2817.297</v>
      </c>
      <c r="N16" s="18">
        <f t="shared" si="0"/>
        <v>2812.5299999999997</v>
      </c>
      <c r="O16" s="18">
        <f t="shared" si="0"/>
        <v>2817.297</v>
      </c>
      <c r="P16" s="18">
        <f t="shared" si="0"/>
        <v>2812.5299999999997</v>
      </c>
      <c r="Q16" s="18">
        <f t="shared" si="0"/>
        <v>2817.297</v>
      </c>
      <c r="R16" s="18">
        <f t="shared" si="0"/>
        <v>2812.5299999999997</v>
      </c>
      <c r="S16" s="18">
        <f t="shared" si="0"/>
        <v>1406.2649999999999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247</v>
      </c>
      <c r="B17" s="301">
        <f>Assumptions!C53-Assumptions!C49-Assumptions!C50</f>
        <v>7080</v>
      </c>
      <c r="C17" s="302"/>
      <c r="D17" s="299">
        <f>$B$17*D13</f>
        <v>944</v>
      </c>
      <c r="E17" s="299">
        <f t="shared" ref="E17:AH17" si="2">$B$17*E13</f>
        <v>1416</v>
      </c>
      <c r="F17" s="299">
        <f t="shared" si="2"/>
        <v>1416</v>
      </c>
      <c r="G17" s="299">
        <f t="shared" si="2"/>
        <v>1416</v>
      </c>
      <c r="H17" s="299">
        <f t="shared" si="2"/>
        <v>1416</v>
      </c>
      <c r="I17" s="299">
        <f t="shared" si="2"/>
        <v>472.00000000000011</v>
      </c>
      <c r="J17" s="299">
        <f t="shared" si="2"/>
        <v>0</v>
      </c>
      <c r="K17" s="299">
        <f t="shared" si="2"/>
        <v>0</v>
      </c>
      <c r="L17" s="299">
        <f t="shared" si="2"/>
        <v>0</v>
      </c>
      <c r="M17" s="299">
        <f t="shared" si="2"/>
        <v>0</v>
      </c>
      <c r="N17" s="299">
        <f t="shared" si="2"/>
        <v>0</v>
      </c>
      <c r="O17" s="299">
        <f t="shared" si="2"/>
        <v>0</v>
      </c>
      <c r="P17" s="299">
        <f t="shared" si="2"/>
        <v>0</v>
      </c>
      <c r="Q17" s="299">
        <f t="shared" si="2"/>
        <v>0</v>
      </c>
      <c r="R17" s="299">
        <f t="shared" si="2"/>
        <v>0</v>
      </c>
      <c r="S17" s="299">
        <f t="shared" si="2"/>
        <v>0</v>
      </c>
      <c r="T17" s="299">
        <f t="shared" si="2"/>
        <v>0</v>
      </c>
      <c r="U17" s="299">
        <f t="shared" si="2"/>
        <v>0</v>
      </c>
      <c r="V17" s="299">
        <f t="shared" si="2"/>
        <v>0</v>
      </c>
      <c r="W17" s="299">
        <f t="shared" si="2"/>
        <v>0</v>
      </c>
      <c r="X17" s="299">
        <f t="shared" si="2"/>
        <v>0</v>
      </c>
      <c r="Y17" s="299">
        <f t="shared" si="2"/>
        <v>0</v>
      </c>
      <c r="Z17" s="299">
        <f t="shared" si="2"/>
        <v>0</v>
      </c>
      <c r="AA17" s="299">
        <f t="shared" si="2"/>
        <v>0</v>
      </c>
      <c r="AB17" s="299">
        <f t="shared" si="2"/>
        <v>0</v>
      </c>
      <c r="AC17" s="299">
        <f t="shared" si="2"/>
        <v>0</v>
      </c>
      <c r="AD17" s="299">
        <f t="shared" si="2"/>
        <v>0</v>
      </c>
      <c r="AE17" s="299">
        <f t="shared" si="2"/>
        <v>0</v>
      </c>
      <c r="AF17" s="299">
        <f t="shared" si="2"/>
        <v>0</v>
      </c>
      <c r="AG17" s="299">
        <f t="shared" si="2"/>
        <v>0</v>
      </c>
      <c r="AH17" s="299">
        <f t="shared" si="2"/>
        <v>0</v>
      </c>
    </row>
    <row r="18" spans="1:36" s="10" customFormat="1" ht="15">
      <c r="A18" s="22" t="s">
        <v>312</v>
      </c>
      <c r="B18" s="374">
        <f>Assumptions!$C$59</f>
        <v>0</v>
      </c>
      <c r="C18" s="302"/>
      <c r="D18" s="375">
        <f>$B$18*D14</f>
        <v>0</v>
      </c>
      <c r="E18" s="375">
        <f t="shared" ref="E18:Y18" si="3">$B$18*E14</f>
        <v>0</v>
      </c>
      <c r="F18" s="375">
        <f t="shared" si="3"/>
        <v>0</v>
      </c>
      <c r="G18" s="375">
        <f t="shared" si="3"/>
        <v>0</v>
      </c>
      <c r="H18" s="375">
        <f t="shared" si="3"/>
        <v>0</v>
      </c>
      <c r="I18" s="375">
        <f t="shared" si="3"/>
        <v>0</v>
      </c>
      <c r="J18" s="375">
        <f t="shared" si="3"/>
        <v>0</v>
      </c>
      <c r="K18" s="375">
        <f t="shared" si="3"/>
        <v>0</v>
      </c>
      <c r="L18" s="375">
        <f t="shared" si="3"/>
        <v>0</v>
      </c>
      <c r="M18" s="375">
        <f t="shared" si="3"/>
        <v>0</v>
      </c>
      <c r="N18" s="375">
        <f t="shared" si="3"/>
        <v>0</v>
      </c>
      <c r="O18" s="375">
        <f t="shared" si="3"/>
        <v>0</v>
      </c>
      <c r="P18" s="375">
        <f t="shared" si="3"/>
        <v>0</v>
      </c>
      <c r="Q18" s="375">
        <f t="shared" si="3"/>
        <v>0</v>
      </c>
      <c r="R18" s="375">
        <f t="shared" si="3"/>
        <v>0</v>
      </c>
      <c r="S18" s="375">
        <f t="shared" si="3"/>
        <v>0</v>
      </c>
      <c r="T18" s="375">
        <f t="shared" si="3"/>
        <v>0</v>
      </c>
      <c r="U18" s="375">
        <f t="shared" si="3"/>
        <v>0</v>
      </c>
      <c r="V18" s="375">
        <f t="shared" si="3"/>
        <v>0</v>
      </c>
      <c r="W18" s="375">
        <f t="shared" si="3"/>
        <v>0</v>
      </c>
      <c r="X18" s="375">
        <f t="shared" si="3"/>
        <v>0</v>
      </c>
      <c r="Y18" s="375">
        <f t="shared" si="3"/>
        <v>0</v>
      </c>
      <c r="Z18" s="375">
        <f t="shared" ref="Z18:AH18" si="4">$B$18*Z14</f>
        <v>0</v>
      </c>
      <c r="AA18" s="375">
        <f t="shared" si="4"/>
        <v>0</v>
      </c>
      <c r="AB18" s="375">
        <f t="shared" si="4"/>
        <v>0</v>
      </c>
      <c r="AC18" s="375">
        <f t="shared" si="4"/>
        <v>0</v>
      </c>
      <c r="AD18" s="375">
        <f t="shared" si="4"/>
        <v>0</v>
      </c>
      <c r="AE18" s="375">
        <f t="shared" si="4"/>
        <v>0</v>
      </c>
      <c r="AF18" s="375">
        <f t="shared" si="4"/>
        <v>0</v>
      </c>
      <c r="AG18" s="375">
        <f t="shared" si="4"/>
        <v>0</v>
      </c>
      <c r="AH18" s="375">
        <f t="shared" si="4"/>
        <v>0</v>
      </c>
    </row>
    <row r="19" spans="1:36" s="10" customFormat="1">
      <c r="A19" s="22" t="s">
        <v>61</v>
      </c>
      <c r="B19" s="18">
        <f>SUM(B16:B18)</f>
        <v>54750</v>
      </c>
      <c r="C19" s="302"/>
      <c r="D19" s="18">
        <f t="shared" ref="D19:Y19" si="5">SUM(D16:D18)</f>
        <v>3327.5</v>
      </c>
      <c r="E19" s="18">
        <f t="shared" si="5"/>
        <v>5944.65</v>
      </c>
      <c r="F19" s="18">
        <f t="shared" si="5"/>
        <v>5491.7849999999999</v>
      </c>
      <c r="G19" s="18">
        <f t="shared" si="5"/>
        <v>5086.59</v>
      </c>
      <c r="H19" s="18">
        <f t="shared" si="5"/>
        <v>4719.5309999999999</v>
      </c>
      <c r="I19" s="18">
        <f t="shared" si="5"/>
        <v>3441.8409999999999</v>
      </c>
      <c r="J19" s="18">
        <f t="shared" si="5"/>
        <v>2812.5299999999997</v>
      </c>
      <c r="K19" s="18">
        <f t="shared" si="5"/>
        <v>2817.297</v>
      </c>
      <c r="L19" s="18">
        <f t="shared" si="5"/>
        <v>2812.5299999999997</v>
      </c>
      <c r="M19" s="18">
        <f t="shared" si="5"/>
        <v>2817.297</v>
      </c>
      <c r="N19" s="18">
        <f t="shared" si="5"/>
        <v>2812.5299999999997</v>
      </c>
      <c r="O19" s="18">
        <f t="shared" si="5"/>
        <v>2817.297</v>
      </c>
      <c r="P19" s="18">
        <f t="shared" si="5"/>
        <v>2812.5299999999997</v>
      </c>
      <c r="Q19" s="18">
        <f t="shared" si="5"/>
        <v>2817.297</v>
      </c>
      <c r="R19" s="18">
        <f t="shared" si="5"/>
        <v>2812.5299999999997</v>
      </c>
      <c r="S19" s="18">
        <f t="shared" si="5"/>
        <v>1406.2649999999999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3">
        <f>B19</f>
        <v>54750</v>
      </c>
      <c r="C21" s="376"/>
      <c r="D21" s="303">
        <f>B19-D19</f>
        <v>51422.5</v>
      </c>
      <c r="E21" s="303">
        <f>D21-E19</f>
        <v>45477.85</v>
      </c>
      <c r="F21" s="303">
        <f t="shared" ref="F21:X21" si="7">E21-F19</f>
        <v>39986.065000000002</v>
      </c>
      <c r="G21" s="303">
        <f t="shared" si="7"/>
        <v>34899.475000000006</v>
      </c>
      <c r="H21" s="303">
        <f t="shared" si="7"/>
        <v>30179.944000000007</v>
      </c>
      <c r="I21" s="303">
        <f t="shared" si="7"/>
        <v>26738.103000000006</v>
      </c>
      <c r="J21" s="303">
        <f t="shared" si="7"/>
        <v>23925.573000000008</v>
      </c>
      <c r="K21" s="303">
        <f t="shared" si="7"/>
        <v>21108.276000000009</v>
      </c>
      <c r="L21" s="303">
        <f t="shared" si="7"/>
        <v>18295.74600000001</v>
      </c>
      <c r="M21" s="303">
        <f t="shared" si="7"/>
        <v>15478.44900000001</v>
      </c>
      <c r="N21" s="303">
        <f t="shared" si="7"/>
        <v>12665.919000000009</v>
      </c>
      <c r="O21" s="303">
        <f t="shared" si="7"/>
        <v>9848.6220000000085</v>
      </c>
      <c r="P21" s="303">
        <f t="shared" si="7"/>
        <v>7036.0920000000087</v>
      </c>
      <c r="Q21" s="303">
        <f t="shared" si="7"/>
        <v>4218.7950000000092</v>
      </c>
      <c r="R21" s="303">
        <f t="shared" si="7"/>
        <v>1406.2650000000094</v>
      </c>
      <c r="S21" s="303">
        <f t="shared" si="7"/>
        <v>9.5496943686157465E-12</v>
      </c>
      <c r="T21" s="303">
        <f t="shared" si="7"/>
        <v>9.5496943686157465E-12</v>
      </c>
      <c r="U21" s="303">
        <f t="shared" si="7"/>
        <v>9.5496943686157465E-12</v>
      </c>
      <c r="V21" s="303">
        <f t="shared" si="7"/>
        <v>9.5496943686157465E-12</v>
      </c>
      <c r="W21" s="303">
        <f t="shared" si="7"/>
        <v>9.5496943686157465E-12</v>
      </c>
      <c r="X21" s="303">
        <f t="shared" si="7"/>
        <v>9.5496943686157465E-12</v>
      </c>
      <c r="Y21" s="303">
        <f>X21-Y19</f>
        <v>9.5496943686157465E-12</v>
      </c>
      <c r="Z21" s="303">
        <f t="shared" ref="Z21:AH21" si="8">Y21-Z19</f>
        <v>9.5496943686157465E-12</v>
      </c>
      <c r="AA21" s="303">
        <f t="shared" si="8"/>
        <v>9.5496943686157465E-12</v>
      </c>
      <c r="AB21" s="303">
        <f t="shared" si="8"/>
        <v>9.5496943686157465E-12</v>
      </c>
      <c r="AC21" s="303">
        <f t="shared" si="8"/>
        <v>9.5496943686157465E-12</v>
      </c>
      <c r="AD21" s="303">
        <f t="shared" si="8"/>
        <v>9.5496943686157465E-12</v>
      </c>
      <c r="AE21" s="303">
        <f t="shared" si="8"/>
        <v>9.5496943686157465E-12</v>
      </c>
      <c r="AF21" s="303">
        <f t="shared" si="8"/>
        <v>9.5496943686157465E-12</v>
      </c>
      <c r="AG21" s="303">
        <f t="shared" si="8"/>
        <v>9.5496943686157465E-12</v>
      </c>
      <c r="AH21" s="303">
        <f t="shared" si="8"/>
        <v>9.5496943686157465E-12</v>
      </c>
      <c r="AI21" s="300"/>
      <c r="AJ21" s="300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247</v>
      </c>
      <c r="B27" s="31">
        <f>Assumptions!$N$40</f>
        <v>5</v>
      </c>
      <c r="C27" s="32"/>
      <c r="D27" s="278">
        <f>D13</f>
        <v>0.13333333333333333</v>
      </c>
      <c r="E27" s="278">
        <f t="shared" ref="E27:AH27" si="11">E13</f>
        <v>0.2</v>
      </c>
      <c r="F27" s="278">
        <f t="shared" si="11"/>
        <v>0.2</v>
      </c>
      <c r="G27" s="278">
        <f t="shared" si="11"/>
        <v>0.2</v>
      </c>
      <c r="H27" s="278">
        <f t="shared" si="11"/>
        <v>0.2</v>
      </c>
      <c r="I27" s="278">
        <f t="shared" si="11"/>
        <v>6.666666666666668E-2</v>
      </c>
      <c r="J27" s="278">
        <f t="shared" si="11"/>
        <v>0</v>
      </c>
      <c r="K27" s="278">
        <f t="shared" si="11"/>
        <v>0</v>
      </c>
      <c r="L27" s="278">
        <f t="shared" si="11"/>
        <v>0</v>
      </c>
      <c r="M27" s="278">
        <f t="shared" si="11"/>
        <v>0</v>
      </c>
      <c r="N27" s="278">
        <f t="shared" si="11"/>
        <v>0</v>
      </c>
      <c r="O27" s="278">
        <f t="shared" si="11"/>
        <v>0</v>
      </c>
      <c r="P27" s="278">
        <f t="shared" si="11"/>
        <v>0</v>
      </c>
      <c r="Q27" s="278">
        <f t="shared" si="11"/>
        <v>0</v>
      </c>
      <c r="R27" s="278">
        <f t="shared" si="11"/>
        <v>0</v>
      </c>
      <c r="S27" s="278">
        <f t="shared" si="11"/>
        <v>0</v>
      </c>
      <c r="T27" s="278">
        <f t="shared" si="11"/>
        <v>0</v>
      </c>
      <c r="U27" s="278">
        <f t="shared" si="11"/>
        <v>0</v>
      </c>
      <c r="V27" s="278">
        <f t="shared" si="11"/>
        <v>0</v>
      </c>
      <c r="W27" s="278">
        <f t="shared" si="11"/>
        <v>0</v>
      </c>
      <c r="X27" s="278">
        <f t="shared" si="11"/>
        <v>0</v>
      </c>
      <c r="Y27" s="278">
        <f t="shared" si="11"/>
        <v>0</v>
      </c>
      <c r="Z27" s="278">
        <f t="shared" si="11"/>
        <v>0</v>
      </c>
      <c r="AA27" s="278">
        <f t="shared" si="11"/>
        <v>0</v>
      </c>
      <c r="AB27" s="278">
        <f t="shared" si="11"/>
        <v>0</v>
      </c>
      <c r="AC27" s="278">
        <f t="shared" si="11"/>
        <v>0</v>
      </c>
      <c r="AD27" s="278">
        <f t="shared" si="11"/>
        <v>0</v>
      </c>
      <c r="AE27" s="278">
        <f t="shared" si="11"/>
        <v>0</v>
      </c>
      <c r="AF27" s="278">
        <f t="shared" si="11"/>
        <v>0</v>
      </c>
      <c r="AG27" s="278">
        <f t="shared" si="11"/>
        <v>0</v>
      </c>
      <c r="AH27" s="278">
        <f t="shared" si="11"/>
        <v>0</v>
      </c>
    </row>
    <row r="28" spans="1:36" s="10" customFormat="1">
      <c r="A28" s="22" t="s">
        <v>312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246</v>
      </c>
      <c r="B31" s="373">
        <f>B16</f>
        <v>47670</v>
      </c>
      <c r="C31" s="302"/>
      <c r="D31" s="18">
        <f>$B$31*D26</f>
        <v>2383.5</v>
      </c>
      <c r="E31" s="18">
        <f t="shared" ref="E31:Y31" si="14">$B$31*E26</f>
        <v>4528.6499999999996</v>
      </c>
      <c r="F31" s="18">
        <f t="shared" si="14"/>
        <v>4075.7850000000003</v>
      </c>
      <c r="G31" s="18">
        <f t="shared" si="14"/>
        <v>3670.59</v>
      </c>
      <c r="H31" s="18">
        <f t="shared" si="14"/>
        <v>3303.5309999999999</v>
      </c>
      <c r="I31" s="18">
        <f t="shared" si="14"/>
        <v>2969.8409999999999</v>
      </c>
      <c r="J31" s="18">
        <f t="shared" si="14"/>
        <v>2812.5299999999997</v>
      </c>
      <c r="K31" s="18">
        <f t="shared" si="14"/>
        <v>2817.297</v>
      </c>
      <c r="L31" s="18">
        <f t="shared" si="14"/>
        <v>2812.5299999999997</v>
      </c>
      <c r="M31" s="18">
        <f t="shared" si="14"/>
        <v>2817.297</v>
      </c>
      <c r="N31" s="18">
        <f t="shared" si="14"/>
        <v>2812.5299999999997</v>
      </c>
      <c r="O31" s="18">
        <f t="shared" si="14"/>
        <v>2817.297</v>
      </c>
      <c r="P31" s="18">
        <f t="shared" si="14"/>
        <v>2812.5299999999997</v>
      </c>
      <c r="Q31" s="18">
        <f t="shared" si="14"/>
        <v>2817.297</v>
      </c>
      <c r="R31" s="18">
        <f t="shared" si="14"/>
        <v>2812.5299999999997</v>
      </c>
      <c r="S31" s="18">
        <f t="shared" si="14"/>
        <v>1406.2649999999999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247</v>
      </c>
      <c r="B32" s="301">
        <f>B17</f>
        <v>7080</v>
      </c>
      <c r="C32" s="302"/>
      <c r="D32" s="299">
        <f>D27*$B$32</f>
        <v>944</v>
      </c>
      <c r="E32" s="299">
        <f t="shared" ref="E32:AH32" si="16">E27*$B$32</f>
        <v>1416</v>
      </c>
      <c r="F32" s="299">
        <f t="shared" si="16"/>
        <v>1416</v>
      </c>
      <c r="G32" s="299">
        <f t="shared" si="16"/>
        <v>1416</v>
      </c>
      <c r="H32" s="299">
        <f t="shared" si="16"/>
        <v>1416</v>
      </c>
      <c r="I32" s="299">
        <f t="shared" si="16"/>
        <v>472.00000000000011</v>
      </c>
      <c r="J32" s="299">
        <f t="shared" si="16"/>
        <v>0</v>
      </c>
      <c r="K32" s="299">
        <f t="shared" si="16"/>
        <v>0</v>
      </c>
      <c r="L32" s="299">
        <f t="shared" si="16"/>
        <v>0</v>
      </c>
      <c r="M32" s="299">
        <f t="shared" si="16"/>
        <v>0</v>
      </c>
      <c r="N32" s="299">
        <f t="shared" si="16"/>
        <v>0</v>
      </c>
      <c r="O32" s="299">
        <f t="shared" si="16"/>
        <v>0</v>
      </c>
      <c r="P32" s="299">
        <f t="shared" si="16"/>
        <v>0</v>
      </c>
      <c r="Q32" s="299">
        <f t="shared" si="16"/>
        <v>0</v>
      </c>
      <c r="R32" s="299">
        <f t="shared" si="16"/>
        <v>0</v>
      </c>
      <c r="S32" s="299">
        <f t="shared" si="16"/>
        <v>0</v>
      </c>
      <c r="T32" s="299">
        <f t="shared" si="16"/>
        <v>0</v>
      </c>
      <c r="U32" s="299">
        <f t="shared" si="16"/>
        <v>0</v>
      </c>
      <c r="V32" s="299">
        <f t="shared" si="16"/>
        <v>0</v>
      </c>
      <c r="W32" s="299">
        <f t="shared" si="16"/>
        <v>0</v>
      </c>
      <c r="X32" s="299">
        <f t="shared" si="16"/>
        <v>0</v>
      </c>
      <c r="Y32" s="299">
        <f t="shared" si="16"/>
        <v>0</v>
      </c>
      <c r="Z32" s="299">
        <f t="shared" si="16"/>
        <v>0</v>
      </c>
      <c r="AA32" s="299">
        <f t="shared" si="16"/>
        <v>0</v>
      </c>
      <c r="AB32" s="299">
        <f t="shared" si="16"/>
        <v>0</v>
      </c>
      <c r="AC32" s="299">
        <f t="shared" si="16"/>
        <v>0</v>
      </c>
      <c r="AD32" s="299">
        <f t="shared" si="16"/>
        <v>0</v>
      </c>
      <c r="AE32" s="299">
        <f t="shared" si="16"/>
        <v>0</v>
      </c>
      <c r="AF32" s="299">
        <f t="shared" si="16"/>
        <v>0</v>
      </c>
      <c r="AG32" s="299">
        <f t="shared" si="16"/>
        <v>0</v>
      </c>
      <c r="AH32" s="299">
        <f t="shared" si="16"/>
        <v>0</v>
      </c>
    </row>
    <row r="33" spans="1:38" s="10" customFormat="1" ht="15">
      <c r="A33" s="22" t="s">
        <v>312</v>
      </c>
      <c r="B33" s="374">
        <f>B18</f>
        <v>0</v>
      </c>
      <c r="C33" s="302"/>
      <c r="D33" s="375">
        <f t="shared" ref="D33:Y33" si="17">$B33*D28</f>
        <v>0</v>
      </c>
      <c r="E33" s="375">
        <f t="shared" si="17"/>
        <v>0</v>
      </c>
      <c r="F33" s="375">
        <f t="shared" si="17"/>
        <v>0</v>
      </c>
      <c r="G33" s="375">
        <f t="shared" si="17"/>
        <v>0</v>
      </c>
      <c r="H33" s="375">
        <f t="shared" si="17"/>
        <v>0</v>
      </c>
      <c r="I33" s="375">
        <f t="shared" si="17"/>
        <v>0</v>
      </c>
      <c r="J33" s="375">
        <f t="shared" si="17"/>
        <v>0</v>
      </c>
      <c r="K33" s="375">
        <f t="shared" si="17"/>
        <v>0</v>
      </c>
      <c r="L33" s="375">
        <f t="shared" si="17"/>
        <v>0</v>
      </c>
      <c r="M33" s="375">
        <f t="shared" si="17"/>
        <v>0</v>
      </c>
      <c r="N33" s="375">
        <f t="shared" si="17"/>
        <v>0</v>
      </c>
      <c r="O33" s="375">
        <f t="shared" si="17"/>
        <v>0</v>
      </c>
      <c r="P33" s="375">
        <f t="shared" si="17"/>
        <v>0</v>
      </c>
      <c r="Q33" s="375">
        <f t="shared" si="17"/>
        <v>0</v>
      </c>
      <c r="R33" s="375">
        <f t="shared" si="17"/>
        <v>0</v>
      </c>
      <c r="S33" s="375">
        <f t="shared" si="17"/>
        <v>0</v>
      </c>
      <c r="T33" s="375">
        <f t="shared" si="17"/>
        <v>0</v>
      </c>
      <c r="U33" s="375">
        <f t="shared" si="17"/>
        <v>0</v>
      </c>
      <c r="V33" s="375">
        <f t="shared" si="17"/>
        <v>0</v>
      </c>
      <c r="W33" s="375">
        <f t="shared" si="17"/>
        <v>0</v>
      </c>
      <c r="X33" s="375">
        <f t="shared" si="17"/>
        <v>0</v>
      </c>
      <c r="Y33" s="375">
        <f t="shared" si="17"/>
        <v>0</v>
      </c>
      <c r="Z33" s="375">
        <f t="shared" ref="Z33:AH33" si="18">$B33*Z28</f>
        <v>0</v>
      </c>
      <c r="AA33" s="375">
        <f t="shared" si="18"/>
        <v>0</v>
      </c>
      <c r="AB33" s="375">
        <f t="shared" si="18"/>
        <v>0</v>
      </c>
      <c r="AC33" s="375">
        <f t="shared" si="18"/>
        <v>0</v>
      </c>
      <c r="AD33" s="375">
        <f t="shared" si="18"/>
        <v>0</v>
      </c>
      <c r="AE33" s="375">
        <f t="shared" si="18"/>
        <v>0</v>
      </c>
      <c r="AF33" s="375">
        <f t="shared" si="18"/>
        <v>0</v>
      </c>
      <c r="AG33" s="375">
        <f t="shared" si="18"/>
        <v>0</v>
      </c>
      <c r="AH33" s="375">
        <f t="shared" si="18"/>
        <v>0</v>
      </c>
    </row>
    <row r="34" spans="1:38" s="10" customFormat="1">
      <c r="A34" s="16" t="s">
        <v>61</v>
      </c>
      <c r="B34" s="18">
        <f>SUM(B31:B33)</f>
        <v>54750</v>
      </c>
      <c r="C34" s="302"/>
      <c r="D34" s="18">
        <f t="shared" ref="D34:Y34" si="19">SUM(D31:D33)</f>
        <v>3327.5</v>
      </c>
      <c r="E34" s="18">
        <f t="shared" si="19"/>
        <v>5944.65</v>
      </c>
      <c r="F34" s="18">
        <f t="shared" si="19"/>
        <v>5491.7849999999999</v>
      </c>
      <c r="G34" s="18">
        <f t="shared" si="19"/>
        <v>5086.59</v>
      </c>
      <c r="H34" s="18">
        <f t="shared" si="19"/>
        <v>4719.5309999999999</v>
      </c>
      <c r="I34" s="18">
        <f t="shared" si="19"/>
        <v>3441.8409999999999</v>
      </c>
      <c r="J34" s="18">
        <f t="shared" si="19"/>
        <v>2812.5299999999997</v>
      </c>
      <c r="K34" s="18">
        <f t="shared" si="19"/>
        <v>2817.297</v>
      </c>
      <c r="L34" s="18">
        <f t="shared" si="19"/>
        <v>2812.5299999999997</v>
      </c>
      <c r="M34" s="18">
        <f t="shared" si="19"/>
        <v>2817.297</v>
      </c>
      <c r="N34" s="18">
        <f t="shared" si="19"/>
        <v>2812.5299999999997</v>
      </c>
      <c r="O34" s="18">
        <f t="shared" si="19"/>
        <v>2817.297</v>
      </c>
      <c r="P34" s="18">
        <f t="shared" si="19"/>
        <v>2812.5299999999997</v>
      </c>
      <c r="Q34" s="18">
        <f t="shared" si="19"/>
        <v>2817.297</v>
      </c>
      <c r="R34" s="18">
        <f t="shared" si="19"/>
        <v>2812.5299999999997</v>
      </c>
      <c r="S34" s="18">
        <f t="shared" si="19"/>
        <v>1406.2649999999999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3">
        <f>B34</f>
        <v>54750</v>
      </c>
      <c r="C36" s="378"/>
      <c r="D36" s="303">
        <f>B34-D34</f>
        <v>51422.5</v>
      </c>
      <c r="E36" s="303">
        <f>D36-E34</f>
        <v>45477.85</v>
      </c>
      <c r="F36" s="303">
        <f t="shared" ref="F36:W36" si="21">E36-F34</f>
        <v>39986.065000000002</v>
      </c>
      <c r="G36" s="303">
        <f t="shared" si="21"/>
        <v>34899.475000000006</v>
      </c>
      <c r="H36" s="303">
        <f t="shared" si="21"/>
        <v>30179.944000000007</v>
      </c>
      <c r="I36" s="303">
        <f t="shared" si="21"/>
        <v>26738.103000000006</v>
      </c>
      <c r="J36" s="303">
        <f t="shared" si="21"/>
        <v>23925.573000000008</v>
      </c>
      <c r="K36" s="303">
        <f t="shared" si="21"/>
        <v>21108.276000000009</v>
      </c>
      <c r="L36" s="303">
        <f t="shared" si="21"/>
        <v>18295.74600000001</v>
      </c>
      <c r="M36" s="303">
        <f t="shared" si="21"/>
        <v>15478.44900000001</v>
      </c>
      <c r="N36" s="303">
        <f t="shared" si="21"/>
        <v>12665.919000000009</v>
      </c>
      <c r="O36" s="303">
        <f t="shared" si="21"/>
        <v>9848.6220000000085</v>
      </c>
      <c r="P36" s="303">
        <f t="shared" si="21"/>
        <v>7036.0920000000087</v>
      </c>
      <c r="Q36" s="303">
        <f t="shared" si="21"/>
        <v>4218.7950000000092</v>
      </c>
      <c r="R36" s="303">
        <f t="shared" si="21"/>
        <v>1406.2650000000094</v>
      </c>
      <c r="S36" s="303">
        <f t="shared" si="21"/>
        <v>9.5496943686157465E-12</v>
      </c>
      <c r="T36" s="303">
        <f t="shared" si="21"/>
        <v>9.5496943686157465E-12</v>
      </c>
      <c r="U36" s="303">
        <f t="shared" si="21"/>
        <v>9.5496943686157465E-12</v>
      </c>
      <c r="V36" s="303">
        <f t="shared" si="21"/>
        <v>9.5496943686157465E-12</v>
      </c>
      <c r="W36" s="303">
        <f t="shared" si="21"/>
        <v>9.5496943686157465E-12</v>
      </c>
      <c r="X36" s="303">
        <f>W36-X34</f>
        <v>9.5496943686157465E-12</v>
      </c>
      <c r="Y36" s="303">
        <f>X36-Y34</f>
        <v>9.5496943686157465E-12</v>
      </c>
      <c r="Z36" s="303">
        <f t="shared" ref="Z36:AH36" si="22">Y36-Z34</f>
        <v>9.5496943686157465E-12</v>
      </c>
      <c r="AA36" s="303">
        <f t="shared" si="22"/>
        <v>9.5496943686157465E-12</v>
      </c>
      <c r="AB36" s="303">
        <f t="shared" si="22"/>
        <v>9.5496943686157465E-12</v>
      </c>
      <c r="AC36" s="303">
        <f t="shared" si="22"/>
        <v>9.5496943686157465E-12</v>
      </c>
      <c r="AD36" s="303">
        <f t="shared" si="22"/>
        <v>9.5496943686157465E-12</v>
      </c>
      <c r="AE36" s="303">
        <f t="shared" si="22"/>
        <v>9.5496943686157465E-12</v>
      </c>
      <c r="AF36" s="303">
        <f t="shared" si="22"/>
        <v>9.5496943686157465E-12</v>
      </c>
      <c r="AG36" s="303">
        <f t="shared" si="22"/>
        <v>9.5496943686157465E-12</v>
      </c>
      <c r="AH36" s="303">
        <f t="shared" si="22"/>
        <v>9.5496943686157465E-12</v>
      </c>
      <c r="AI36" s="300"/>
      <c r="AJ36" s="300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71" t="s">
        <v>65</v>
      </c>
    </row>
    <row r="41" spans="1:38" s="10" customFormat="1">
      <c r="A41" s="21" t="s">
        <v>367</v>
      </c>
      <c r="B41" s="31">
        <f>Assumptions!$N$44</f>
        <v>30</v>
      </c>
      <c r="C41" s="372">
        <f>Assumptions!P44</f>
        <v>0.1</v>
      </c>
      <c r="D41" s="278">
        <f>1/Assumptions!$N$44*D6*(1-$C$41)</f>
        <v>1.9999999999999997E-2</v>
      </c>
      <c r="E41" s="278">
        <f>IF(AND(E6&gt;=Assumptions!$N$44,D6&lt;Assumptions!$N$44),1/Assumptions!$N$44*(1-$C$41)-Depreciation!$D$41,IF(AND(D6&gt;Assumptions!$N$44,E6&lt;Assumptions!$N$44),0,1/Assumptions!$N$44*(1-$C$41)))</f>
        <v>0.03</v>
      </c>
      <c r="F41" s="278">
        <f>IF(AND(F6&gt;=Assumptions!$N$44,E6&lt;Assumptions!$N$44),1/Assumptions!$N$44*(1-$C$41)-Depreciation!$D$41,IF(AND(E6&gt;Assumptions!$N$44,F6&lt;Assumptions!$N$44),0,1/Assumptions!$N$44*(1-$C$41)))</f>
        <v>0.03</v>
      </c>
      <c r="G41" s="278">
        <f>IF(AND(G6&gt;=Assumptions!$N$44,F6&lt;Assumptions!$N$44),1/Assumptions!$N$44*(1-$C$41)-Depreciation!$D$41,IF(AND(F6&gt;Assumptions!$N$44,G6&lt;Assumptions!$N$44),0,1/Assumptions!$N$44*(1-$C$41)))</f>
        <v>0.03</v>
      </c>
      <c r="H41" s="278">
        <f>IF(AND(H6&gt;=Assumptions!$N$44,G6&lt;Assumptions!$N$44),1/Assumptions!$N$44*(1-$C$41)-Depreciation!$D$41,IF(AND(G6&gt;Assumptions!$N$44,H6&lt;Assumptions!$N$44),0,1/Assumptions!$N$44*(1-$C$41)))</f>
        <v>0.03</v>
      </c>
      <c r="I41" s="278">
        <f>IF(AND(I6&gt;=Assumptions!$N$44,H6&lt;Assumptions!$N$44),1/Assumptions!$N$44*(1-$C$41)-Depreciation!$D$41,IF(AND(H6&gt;Assumptions!$N$44,I6&lt;Assumptions!$N$44),0,1/Assumptions!$N$44*(1-$C$41)))</f>
        <v>0.03</v>
      </c>
      <c r="J41" s="278">
        <f>IF(AND(J6&gt;=Assumptions!$N$44,I6&lt;Assumptions!$N$44),1/Assumptions!$N$44*(1-$C$41)-Depreciation!$D$41,IF(AND(I6&gt;Assumptions!$N$44,J6&lt;Assumptions!$N$44),0,1/Assumptions!$N$44*(1-$C$41)))</f>
        <v>0.03</v>
      </c>
      <c r="K41" s="278">
        <f>IF(AND(K6&gt;=Assumptions!$N$44,J6&lt;Assumptions!$N$44),1/Assumptions!$N$44*(1-$C$41)-Depreciation!$D$41,IF(AND(J6&gt;Assumptions!$N$44,K6&lt;Assumptions!$N$44),0,1/Assumptions!$N$44*(1-$C$41)))</f>
        <v>0.03</v>
      </c>
      <c r="L41" s="278">
        <f>IF(AND(L6&gt;=Assumptions!$N$44,K6&lt;Assumptions!$N$44),1/Assumptions!$N$44*(1-$C$41)-Depreciation!$D$41,IF(AND(K6&gt;Assumptions!$N$44,L6&lt;Assumptions!$N$44),0,1/Assumptions!$N$44*(1-$C$41)))</f>
        <v>0.03</v>
      </c>
      <c r="M41" s="278">
        <f>IF(AND(M6&gt;=Assumptions!$N$44,L6&lt;Assumptions!$N$44),1/Assumptions!$N$44*(1-$C$41)-Depreciation!$D$41,IF(AND(L6&gt;Assumptions!$N$44,M6&lt;Assumptions!$N$44),0,1/Assumptions!$N$44*(1-$C$41)))</f>
        <v>0.03</v>
      </c>
      <c r="N41" s="278">
        <f>IF(AND(N6&gt;=Assumptions!$N$44,M6&lt;Assumptions!$N$44),1/Assumptions!$N$44*(1-$C$41)-Depreciation!$D$41,IF(AND(M6&gt;Assumptions!$N$44,N6&lt;Assumptions!$N$44),0,1/Assumptions!$N$44*(1-$C$41)))</f>
        <v>0.03</v>
      </c>
      <c r="O41" s="278">
        <f>IF(AND(O6&gt;=Assumptions!$N$44,N6&lt;Assumptions!$N$44),1/Assumptions!$N$44*(1-$C$41)-Depreciation!$D$41,IF(AND(N6&gt;Assumptions!$N$44,O6&lt;Assumptions!$N$44),0,1/Assumptions!$N$44*(1-$C$41)))</f>
        <v>0.03</v>
      </c>
      <c r="P41" s="278">
        <f>IF(AND(P6&gt;=Assumptions!$N$44,O6&lt;Assumptions!$N$44),1/Assumptions!$N$44*(1-$C$41)-Depreciation!$D$41,IF(AND(O6&gt;Assumptions!$N$44,P6&lt;Assumptions!$N$44),0,1/Assumptions!$N$44*(1-$C$41)))</f>
        <v>0.03</v>
      </c>
      <c r="Q41" s="278">
        <f>IF(AND(Q6&gt;=Assumptions!$N$44,P6&lt;Assumptions!$N$44),1/Assumptions!$N$44*(1-$C$41)-Depreciation!$D$41,IF(AND(P6&gt;Assumptions!$N$44,Q6&lt;Assumptions!$N$44),0,1/Assumptions!$N$44*(1-$C$41)))</f>
        <v>0.03</v>
      </c>
      <c r="R41" s="278">
        <f>IF(AND(R6&gt;=Assumptions!$N$44,Q6&lt;Assumptions!$N$44),1/Assumptions!$N$44*(1-$C$41)-Depreciation!$D$41,IF(AND(Q6&gt;Assumptions!$N$44,R6&lt;Assumptions!$N$44),0,1/Assumptions!$N$44*(1-$C$41)))</f>
        <v>0.03</v>
      </c>
      <c r="S41" s="278">
        <f>IF(AND(S6&gt;=Assumptions!$N$44,R6&lt;Assumptions!$N$44),1/Assumptions!$N$44*(1-$C$41)-Depreciation!$D$41,IF(AND(R6&gt;Assumptions!$N$44,S6&lt;Assumptions!$N$44),0,1/Assumptions!$N$44*(1-$C$41)))</f>
        <v>0.03</v>
      </c>
      <c r="T41" s="278">
        <f>IF(AND(T6&gt;=Assumptions!$N$44,S6&lt;Assumptions!$N$44),1/Assumptions!$N$44*(1-$C$41)-Depreciation!$D$41,IF(AND(S6&gt;Assumptions!$N$44,T6&lt;Assumptions!$N$44),0,1/Assumptions!$N$44*(1-$C$41)))</f>
        <v>0.03</v>
      </c>
      <c r="U41" s="278">
        <f>IF(AND(U6&gt;=Assumptions!$N$44,T6&lt;Assumptions!$N$44),1/Assumptions!$N$44*(1-$C$41)-Depreciation!$D$41,IF(AND(T6&gt;Assumptions!$N$44,U6&lt;Assumptions!$N$44),0,1/Assumptions!$N$44*(1-$C$41)))</f>
        <v>0.03</v>
      </c>
      <c r="V41" s="278">
        <f>IF(AND(V6&gt;=Assumptions!$N$44,U6&lt;Assumptions!$N$44),1/Assumptions!$N$44*(1-$C$41)-Depreciation!$D$41,IF(AND(U6&gt;Assumptions!$N$44,V6&lt;Assumptions!$N$44),0,1/Assumptions!$N$44*(1-$C$41)))</f>
        <v>0.03</v>
      </c>
      <c r="W41" s="278">
        <f>IF(AND(W6&gt;=Assumptions!$N$44,V6&lt;Assumptions!$N$44),1/Assumptions!$N$44*(1-$C$41)-Depreciation!$D$41,IF(AND(V6&gt;Assumptions!$N$44,W6&lt;Assumptions!$N$44),0,1/Assumptions!$N$44*(1-$C$41)))</f>
        <v>0.03</v>
      </c>
      <c r="X41" s="278">
        <f>IF(AND(X6&gt;=Assumptions!$N$44,W6&lt;Assumptions!$N$44),1/Assumptions!$N$44*(1-$C$41)-Depreciation!$D$41,IF(AND(W6&gt;Assumptions!$N$44,X6&lt;Assumptions!$N$44),0,1/Assumptions!$N$44*(1-$C$41)))</f>
        <v>0.03</v>
      </c>
      <c r="Y41" s="278">
        <f>IF(AND(Y6&gt;=Assumptions!$N$44,X6&lt;Assumptions!$N$44),1/Assumptions!$N$44*(1-$C$41)-Depreciation!$D$41,IF(AND(X6&gt;Assumptions!$N$44,Y6&lt;Assumptions!$N$44),0,1/Assumptions!$N$44*(1-$C$41)))</f>
        <v>0.03</v>
      </c>
      <c r="Z41" s="278">
        <f>IF(AND(Z6&gt;=Assumptions!$N$44,Y6&lt;Assumptions!$N$44),1/Assumptions!$N$44*(1-$C$41)-Depreciation!$D$41,IF(AND(Y6&gt;Assumptions!$N$44,Z6&lt;Assumptions!$N$44),0,1/Assumptions!$N$44*(1-$C$41)))</f>
        <v>0.03</v>
      </c>
      <c r="AA41" s="278">
        <f>IF(AND(AA6&gt;=Assumptions!$N$44,Z6&lt;Assumptions!$N$44),1/Assumptions!$N$44*(1-$C$41)-Depreciation!$D$41,IF(AND(Z6&gt;Assumptions!$N$44,AA6&lt;Assumptions!$N$44),0,1/Assumptions!$N$44*(1-$C$41)))</f>
        <v>0.03</v>
      </c>
      <c r="AB41" s="278">
        <f>IF(AND(AB6&gt;=Assumptions!$N$44,AA6&lt;Assumptions!$N$44),1/Assumptions!$N$44*(1-$C$41)-Depreciation!$D$41,IF(AND(AA6&gt;Assumptions!$N$44,AB6&lt;Assumptions!$N$44),0,1/Assumptions!$N$44*(1-$C$41)))</f>
        <v>0.03</v>
      </c>
      <c r="AC41" s="278">
        <f>IF(AND(AC6&gt;=Assumptions!$N$44,AB6&lt;Assumptions!$N$44),1/Assumptions!$N$44*(1-$C$41)-Depreciation!$D$41,IF(AND(AB6&gt;Assumptions!$N$44,AC6&lt;Assumptions!$N$44),0,1/Assumptions!$N$44*(1-$C$41)))</f>
        <v>0.03</v>
      </c>
      <c r="AD41" s="278">
        <f>IF(AND(AD6&gt;=Assumptions!$N$44,AC6&lt;Assumptions!$N$44),1/Assumptions!$N$44*(1-$C$41)-Depreciation!$D$41,IF(AND(AC6&gt;Assumptions!$N$44,AD6&lt;Assumptions!$N$44),0,1/Assumptions!$N$44*(1-$C$41)))</f>
        <v>0.03</v>
      </c>
      <c r="AE41" s="278">
        <f>IF(AND(AE6&gt;=Assumptions!$N$44,AD6&lt;Assumptions!$N$44),1/Assumptions!$N$44*(1-$C$41)-Depreciation!$D$41,IF(AND(AD6&gt;Assumptions!$N$44,AE6&lt;Assumptions!$N$44),0,1/Assumptions!$N$44*(1-$C$41)))</f>
        <v>0.03</v>
      </c>
      <c r="AF41" s="278">
        <f>IF(AND(AF6&gt;=Assumptions!$N$44,AE6&lt;Assumptions!$N$44),1/Assumptions!$N$44*(1-$C$41)-Depreciation!$D$41,IF(AND(AE6&gt;Assumptions!$N$44,AF6&lt;Assumptions!$N$44),0,1/Assumptions!$N$44*(1-$C$41)))</f>
        <v>0.03</v>
      </c>
      <c r="AG41" s="278">
        <f>IF(AND(AG6&gt;=Assumptions!$N$44,AF6&lt;Assumptions!$N$44),1/Assumptions!$N$44*(1-$C$41)-Depreciation!$D$41,IF(AND(AF6&gt;Assumptions!$N$44,AG6&lt;Assumptions!$N$44),0,1/Assumptions!$N$44*(1-$C$41)))</f>
        <v>0.03</v>
      </c>
      <c r="AH41" s="278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247</v>
      </c>
      <c r="B42" s="31">
        <f>Assumptions!$N$40</f>
        <v>5</v>
      </c>
      <c r="C42" s="32"/>
      <c r="D42" s="278">
        <f>D13</f>
        <v>0.13333333333333333</v>
      </c>
      <c r="E42" s="278">
        <f t="shared" ref="E42:AH42" si="23">E13</f>
        <v>0.2</v>
      </c>
      <c r="F42" s="278">
        <f t="shared" si="23"/>
        <v>0.2</v>
      </c>
      <c r="G42" s="278">
        <f t="shared" si="23"/>
        <v>0.2</v>
      </c>
      <c r="H42" s="278">
        <f t="shared" si="23"/>
        <v>0.2</v>
      </c>
      <c r="I42" s="278">
        <f t="shared" si="23"/>
        <v>6.666666666666668E-2</v>
      </c>
      <c r="J42" s="278">
        <f t="shared" si="23"/>
        <v>0</v>
      </c>
      <c r="K42" s="278">
        <f t="shared" si="23"/>
        <v>0</v>
      </c>
      <c r="L42" s="278">
        <f t="shared" si="23"/>
        <v>0</v>
      </c>
      <c r="M42" s="278">
        <f t="shared" si="23"/>
        <v>0</v>
      </c>
      <c r="N42" s="278">
        <f t="shared" si="23"/>
        <v>0</v>
      </c>
      <c r="O42" s="278">
        <f t="shared" si="23"/>
        <v>0</v>
      </c>
      <c r="P42" s="278">
        <f t="shared" si="23"/>
        <v>0</v>
      </c>
      <c r="Q42" s="278">
        <f t="shared" si="23"/>
        <v>0</v>
      </c>
      <c r="R42" s="278">
        <f t="shared" si="23"/>
        <v>0</v>
      </c>
      <c r="S42" s="278">
        <f t="shared" si="23"/>
        <v>0</v>
      </c>
      <c r="T42" s="278">
        <f t="shared" si="23"/>
        <v>0</v>
      </c>
      <c r="U42" s="278">
        <f t="shared" si="23"/>
        <v>0</v>
      </c>
      <c r="V42" s="278">
        <f t="shared" si="23"/>
        <v>0</v>
      </c>
      <c r="W42" s="278">
        <f t="shared" si="23"/>
        <v>0</v>
      </c>
      <c r="X42" s="278">
        <f t="shared" si="23"/>
        <v>0</v>
      </c>
      <c r="Y42" s="278">
        <f t="shared" si="23"/>
        <v>0</v>
      </c>
      <c r="Z42" s="278">
        <f t="shared" si="23"/>
        <v>0</v>
      </c>
      <c r="AA42" s="278">
        <f t="shared" si="23"/>
        <v>0</v>
      </c>
      <c r="AB42" s="278">
        <f t="shared" si="23"/>
        <v>0</v>
      </c>
      <c r="AC42" s="278">
        <f t="shared" si="23"/>
        <v>0</v>
      </c>
      <c r="AD42" s="278">
        <f t="shared" si="23"/>
        <v>0</v>
      </c>
      <c r="AE42" s="278">
        <f t="shared" si="23"/>
        <v>0</v>
      </c>
      <c r="AF42" s="278">
        <f t="shared" si="23"/>
        <v>0</v>
      </c>
      <c r="AG42" s="278">
        <f t="shared" si="23"/>
        <v>0</v>
      </c>
      <c r="AH42" s="278">
        <f t="shared" si="23"/>
        <v>0</v>
      </c>
    </row>
    <row r="43" spans="1:38" s="10" customFormat="1">
      <c r="A43" s="22" t="s">
        <v>312</v>
      </c>
      <c r="B43" s="34">
        <f>Assumptions!$N$46</f>
        <v>20</v>
      </c>
      <c r="C43" s="24"/>
      <c r="D43" s="278">
        <f>1/Assumptions!$N$46*D6</f>
        <v>3.3333333333333333E-2</v>
      </c>
      <c r="E43" s="278">
        <f>IF(AND(E6&gt;=Assumptions!$N$46, D6&lt;Assumptions!$N$46),1/Assumptions!$N$46-Depreciation!$D$43,IF(E6&lt;Assumptions!$N$46,1/Assumptions!$N$46,0))</f>
        <v>0.05</v>
      </c>
      <c r="F43" s="278">
        <f>IF(AND(F6&gt;=Assumptions!$N$46, E6&lt;Assumptions!$N$46),1/Assumptions!$N$46-Depreciation!$D$43,IF(F6&lt;Assumptions!$N$46,1/Assumptions!$N$46,0))</f>
        <v>0.05</v>
      </c>
      <c r="G43" s="278">
        <f>IF(AND(G6&gt;=Assumptions!$N$46, F6&lt;Assumptions!$N$46),1/Assumptions!$N$46-Depreciation!$D$43,IF(G6&lt;Assumptions!$N$46,1/Assumptions!$N$46,0))</f>
        <v>0.05</v>
      </c>
      <c r="H43" s="278">
        <f>IF(AND(H6&gt;=Assumptions!$N$46, G6&lt;Assumptions!$N$46),1/Assumptions!$N$46-Depreciation!$D$43,IF(H6&lt;Assumptions!$N$46,1/Assumptions!$N$46,0))</f>
        <v>0.05</v>
      </c>
      <c r="I43" s="278">
        <f>IF(AND(I6&gt;=Assumptions!$N$46, H6&lt;Assumptions!$N$46),1/Assumptions!$N$46-Depreciation!$D$43,IF(I6&lt;Assumptions!$N$46,1/Assumptions!$N$46,0))</f>
        <v>0.05</v>
      </c>
      <c r="J43" s="278">
        <f>IF(AND(J6&gt;=Assumptions!$N$46, I6&lt;Assumptions!$N$46),1/Assumptions!$N$46-Depreciation!$D$43,IF(J6&lt;Assumptions!$N$46,1/Assumptions!$N$46,0))</f>
        <v>0.05</v>
      </c>
      <c r="K43" s="278">
        <f>IF(AND(K6&gt;=Assumptions!$N$46, J6&lt;Assumptions!$N$46),1/Assumptions!$N$46-Depreciation!$D$43,IF(K6&lt;Assumptions!$N$46,1/Assumptions!$N$46,0))</f>
        <v>0.05</v>
      </c>
      <c r="L43" s="278">
        <f>IF(AND(L6&gt;=Assumptions!$N$46, K6&lt;Assumptions!$N$46),1/Assumptions!$N$46-Depreciation!$D$43,IF(L6&lt;Assumptions!$N$46,1/Assumptions!$N$46,0))</f>
        <v>0.05</v>
      </c>
      <c r="M43" s="278">
        <f>IF(AND(M6&gt;=Assumptions!$N$46, L6&lt;Assumptions!$N$46),1/Assumptions!$N$46-Depreciation!$D$43,IF(M6&lt;Assumptions!$N$46,1/Assumptions!$N$46,0))</f>
        <v>0.05</v>
      </c>
      <c r="N43" s="278">
        <f>IF(AND(N6&gt;=Assumptions!$N$46, M6&lt;Assumptions!$N$46),1/Assumptions!$N$46-Depreciation!$D$43,IF(N6&lt;Assumptions!$N$46,1/Assumptions!$N$46,0))</f>
        <v>0.05</v>
      </c>
      <c r="O43" s="278">
        <f>IF(AND(O6&gt;=Assumptions!$N$46, N6&lt;Assumptions!$N$46),1/Assumptions!$N$46-Depreciation!$D$43,IF(O6&lt;Assumptions!$N$46,1/Assumptions!$N$46,0))</f>
        <v>0.05</v>
      </c>
      <c r="P43" s="278">
        <f>IF(AND(P6&gt;=Assumptions!$N$46, O6&lt;Assumptions!$N$46),1/Assumptions!$N$46-Depreciation!$D$43,IF(P6&lt;Assumptions!$N$46,1/Assumptions!$N$46,0))</f>
        <v>0.05</v>
      </c>
      <c r="Q43" s="278">
        <f>IF(AND(Q6&gt;=Assumptions!$N$46, P6&lt;Assumptions!$N$46),1/Assumptions!$N$46-Depreciation!$D$43,IF(Q6&lt;Assumptions!$N$46,1/Assumptions!$N$46,0))</f>
        <v>0.05</v>
      </c>
      <c r="R43" s="278">
        <f>IF(AND(R6&gt;=Assumptions!$N$46, Q6&lt;Assumptions!$N$46),1/Assumptions!$N$46-Depreciation!$D$43,IF(R6&lt;Assumptions!$N$46,1/Assumptions!$N$46,0))</f>
        <v>0.05</v>
      </c>
      <c r="S43" s="278">
        <f>IF(AND(S6&gt;=Assumptions!$N$46, R6&lt;Assumptions!$N$46),1/Assumptions!$N$46-Depreciation!$D$43,IF(S6&lt;Assumptions!$N$46,1/Assumptions!$N$46,0))</f>
        <v>0.05</v>
      </c>
      <c r="T43" s="278">
        <f>IF(AND(T6&gt;=Assumptions!$N$46, S6&lt;Assumptions!$N$46),1/Assumptions!$N$46-Depreciation!$D$43,IF(T6&lt;Assumptions!$N$46,1/Assumptions!$N$46,0))</f>
        <v>0.05</v>
      </c>
      <c r="U43" s="278">
        <f>IF(AND(U6&gt;=Assumptions!$N$46, T6&lt;Assumptions!$N$46),1/Assumptions!$N$46-Depreciation!$D$43,IF(U6&lt;Assumptions!$N$46,1/Assumptions!$N$46,0))</f>
        <v>0.05</v>
      </c>
      <c r="V43" s="278">
        <f>IF(AND(V6&gt;=Assumptions!$N$46, U6&lt;Assumptions!$N$46),1/Assumptions!$N$46-Depreciation!$D$43,IF(V6&lt;Assumptions!$N$46,1/Assumptions!$N$46,0))</f>
        <v>0.05</v>
      </c>
      <c r="W43" s="278">
        <f>IF(AND(W6&gt;=Assumptions!$N$46, V6&lt;Assumptions!$N$46),1/Assumptions!$N$46-Depreciation!$D$43,IF(W6&lt;Assumptions!$N$46,1/Assumptions!$N$46,0))</f>
        <v>0.05</v>
      </c>
      <c r="X43" s="278">
        <f>IF(AND(X6&gt;=Assumptions!$N$46, W6&lt;Assumptions!$N$46),1/Assumptions!$N$46-Depreciation!$D$43,IF(X6&lt;Assumptions!$N$46,1/Assumptions!$N$46,0))</f>
        <v>1.666666666666667E-2</v>
      </c>
      <c r="Y43" s="278">
        <f>IF(AND(Y6&gt;=Assumptions!$N$46, X6&lt;Assumptions!$N$46),1/Assumptions!$N$46-Depreciation!$D$43,IF(Y6&lt;Assumptions!$N$46,1/Assumptions!$N$46,0))</f>
        <v>0</v>
      </c>
      <c r="Z43" s="278">
        <f>IF(AND(Z6&gt;=Assumptions!$N$46, Y6&lt;Assumptions!$N$46),1/Assumptions!$N$46-Depreciation!$D$43,IF(Z6&lt;Assumptions!$N$46,1/Assumptions!$N$46,0))</f>
        <v>0</v>
      </c>
      <c r="AA43" s="278">
        <f>IF(AND(AA6&gt;=Assumptions!$N$46, Z6&lt;Assumptions!$N$46),1/Assumptions!$N$46-Depreciation!$D$43,IF(AA6&lt;Assumptions!$N$46,1/Assumptions!$N$46,0))</f>
        <v>0</v>
      </c>
      <c r="AB43" s="278">
        <f>IF(AND(AB6&gt;=Assumptions!$N$46, AA6&lt;Assumptions!$N$46),1/Assumptions!$N$46-Depreciation!$D$43,IF(AB6&lt;Assumptions!$N$46,1/Assumptions!$N$46,0))</f>
        <v>0</v>
      </c>
      <c r="AC43" s="278">
        <f>IF(AND(AC6&gt;=Assumptions!$N$46, AB6&lt;Assumptions!$N$46),1/Assumptions!$N$46-Depreciation!$D$43,IF(AC6&lt;Assumptions!$N$46,1/Assumptions!$N$46,0))</f>
        <v>0</v>
      </c>
      <c r="AD43" s="278">
        <f>IF(AND(AD6&gt;=Assumptions!$N$46, AC6&lt;Assumptions!$N$46),1/Assumptions!$N$46-Depreciation!$D$43,IF(AD6&lt;Assumptions!$N$46,1/Assumptions!$N$46,0))</f>
        <v>0</v>
      </c>
      <c r="AE43" s="278">
        <f>IF(AND(AE6&gt;=Assumptions!$N$46, AD6&lt;Assumptions!$N$46),1/Assumptions!$N$46-Depreciation!$D$43,IF(AE6&lt;Assumptions!$N$46,1/Assumptions!$N$46,0))</f>
        <v>0</v>
      </c>
      <c r="AF43" s="278">
        <f>IF(AND(AF6&gt;=Assumptions!$N$46, AE6&lt;Assumptions!$N$46),1/Assumptions!$N$46-Depreciation!$D$43,IF(AF6&lt;Assumptions!$N$46,1/Assumptions!$N$46,0))</f>
        <v>0</v>
      </c>
      <c r="AG43" s="278">
        <f>IF(AND(AG6&gt;=Assumptions!$N$46, AF6&lt;Assumptions!$N$46),1/Assumptions!$N$46-Depreciation!$D$43,IF(AG6&lt;Assumptions!$N$46,1/Assumptions!$N$46,0))</f>
        <v>0</v>
      </c>
      <c r="AH43" s="278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246</v>
      </c>
      <c r="B45" s="373">
        <f>B16</f>
        <v>47670</v>
      </c>
      <c r="C45" s="302"/>
      <c r="D45" s="18">
        <f t="shared" ref="D45:Y45" si="24">D41*$B$45</f>
        <v>953.39999999999986</v>
      </c>
      <c r="E45" s="18">
        <f t="shared" si="24"/>
        <v>1430.1</v>
      </c>
      <c r="F45" s="18">
        <f t="shared" si="24"/>
        <v>1430.1</v>
      </c>
      <c r="G45" s="18">
        <f t="shared" si="24"/>
        <v>1430.1</v>
      </c>
      <c r="H45" s="18">
        <f t="shared" si="24"/>
        <v>1430.1</v>
      </c>
      <c r="I45" s="18">
        <f t="shared" si="24"/>
        <v>1430.1</v>
      </c>
      <c r="J45" s="18">
        <f t="shared" si="24"/>
        <v>1430.1</v>
      </c>
      <c r="K45" s="18">
        <f t="shared" si="24"/>
        <v>1430.1</v>
      </c>
      <c r="L45" s="18">
        <f t="shared" si="24"/>
        <v>1430.1</v>
      </c>
      <c r="M45" s="18">
        <f t="shared" si="24"/>
        <v>1430.1</v>
      </c>
      <c r="N45" s="18">
        <f t="shared" si="24"/>
        <v>1430.1</v>
      </c>
      <c r="O45" s="18">
        <f t="shared" si="24"/>
        <v>1430.1</v>
      </c>
      <c r="P45" s="18">
        <f t="shared" si="24"/>
        <v>1430.1</v>
      </c>
      <c r="Q45" s="18">
        <f t="shared" si="24"/>
        <v>1430.1</v>
      </c>
      <c r="R45" s="18">
        <f t="shared" si="24"/>
        <v>1430.1</v>
      </c>
      <c r="S45" s="18">
        <f t="shared" si="24"/>
        <v>1430.1</v>
      </c>
      <c r="T45" s="18">
        <f t="shared" si="24"/>
        <v>1430.1</v>
      </c>
      <c r="U45" s="18">
        <f t="shared" si="24"/>
        <v>1430.1</v>
      </c>
      <c r="V45" s="18">
        <f t="shared" si="24"/>
        <v>1430.1</v>
      </c>
      <c r="W45" s="18">
        <f t="shared" si="24"/>
        <v>1430.1</v>
      </c>
      <c r="X45" s="18">
        <f t="shared" si="24"/>
        <v>1430.1</v>
      </c>
      <c r="Y45" s="18">
        <f t="shared" si="24"/>
        <v>1430.1</v>
      </c>
      <c r="Z45" s="18">
        <f t="shared" ref="Z45:AH45" si="25">Z41*$B$45</f>
        <v>1430.1</v>
      </c>
      <c r="AA45" s="18">
        <f t="shared" si="25"/>
        <v>1430.1</v>
      </c>
      <c r="AB45" s="18">
        <f t="shared" si="25"/>
        <v>1430.1</v>
      </c>
      <c r="AC45" s="18">
        <f t="shared" si="25"/>
        <v>1430.1</v>
      </c>
      <c r="AD45" s="18">
        <f t="shared" si="25"/>
        <v>1430.1</v>
      </c>
      <c r="AE45" s="18">
        <f t="shared" si="25"/>
        <v>1430.1</v>
      </c>
      <c r="AF45" s="18">
        <f t="shared" si="25"/>
        <v>1430.1</v>
      </c>
      <c r="AG45" s="18">
        <f t="shared" si="25"/>
        <v>1430.1</v>
      </c>
      <c r="AH45" s="18">
        <f t="shared" si="25"/>
        <v>476.7000000000001</v>
      </c>
      <c r="AI45" s="20"/>
      <c r="AJ45" s="20"/>
      <c r="AK45" s="20"/>
      <c r="AL45" s="20"/>
    </row>
    <row r="46" spans="1:38" s="10" customFormat="1">
      <c r="A46" s="21" t="s">
        <v>247</v>
      </c>
      <c r="B46" s="301">
        <f>B17</f>
        <v>7080</v>
      </c>
      <c r="C46" s="302"/>
      <c r="D46" s="299">
        <f>D42*$B$46</f>
        <v>944</v>
      </c>
      <c r="E46" s="299">
        <f t="shared" ref="E46:AH46" si="26">E42*$B$46</f>
        <v>1416</v>
      </c>
      <c r="F46" s="299">
        <f t="shared" si="26"/>
        <v>1416</v>
      </c>
      <c r="G46" s="299">
        <f t="shared" si="26"/>
        <v>1416</v>
      </c>
      <c r="H46" s="299">
        <f t="shared" si="26"/>
        <v>1416</v>
      </c>
      <c r="I46" s="299">
        <f t="shared" si="26"/>
        <v>472.00000000000011</v>
      </c>
      <c r="J46" s="299">
        <f t="shared" si="26"/>
        <v>0</v>
      </c>
      <c r="K46" s="299">
        <f t="shared" si="26"/>
        <v>0</v>
      </c>
      <c r="L46" s="299">
        <f t="shared" si="26"/>
        <v>0</v>
      </c>
      <c r="M46" s="299">
        <f t="shared" si="26"/>
        <v>0</v>
      </c>
      <c r="N46" s="299">
        <f t="shared" si="26"/>
        <v>0</v>
      </c>
      <c r="O46" s="299">
        <f t="shared" si="26"/>
        <v>0</v>
      </c>
      <c r="P46" s="299">
        <f t="shared" si="26"/>
        <v>0</v>
      </c>
      <c r="Q46" s="299">
        <f t="shared" si="26"/>
        <v>0</v>
      </c>
      <c r="R46" s="299">
        <f t="shared" si="26"/>
        <v>0</v>
      </c>
      <c r="S46" s="299">
        <f t="shared" si="26"/>
        <v>0</v>
      </c>
      <c r="T46" s="299">
        <f t="shared" si="26"/>
        <v>0</v>
      </c>
      <c r="U46" s="299">
        <f t="shared" si="26"/>
        <v>0</v>
      </c>
      <c r="V46" s="299">
        <f t="shared" si="26"/>
        <v>0</v>
      </c>
      <c r="W46" s="299">
        <f t="shared" si="26"/>
        <v>0</v>
      </c>
      <c r="X46" s="299">
        <f t="shared" si="26"/>
        <v>0</v>
      </c>
      <c r="Y46" s="299">
        <f t="shared" si="26"/>
        <v>0</v>
      </c>
      <c r="Z46" s="299">
        <f t="shared" si="26"/>
        <v>0</v>
      </c>
      <c r="AA46" s="299">
        <f t="shared" si="26"/>
        <v>0</v>
      </c>
      <c r="AB46" s="299">
        <f t="shared" si="26"/>
        <v>0</v>
      </c>
      <c r="AC46" s="299">
        <f t="shared" si="26"/>
        <v>0</v>
      </c>
      <c r="AD46" s="299">
        <f t="shared" si="26"/>
        <v>0</v>
      </c>
      <c r="AE46" s="299">
        <f t="shared" si="26"/>
        <v>0</v>
      </c>
      <c r="AF46" s="299">
        <f t="shared" si="26"/>
        <v>0</v>
      </c>
      <c r="AG46" s="299">
        <f t="shared" si="26"/>
        <v>0</v>
      </c>
      <c r="AH46" s="299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312</v>
      </c>
      <c r="B47" s="374">
        <f>B18</f>
        <v>0</v>
      </c>
      <c r="C47" s="302"/>
      <c r="D47" s="375">
        <f t="shared" ref="D47:Y47" si="27">D43*$B$47</f>
        <v>0</v>
      </c>
      <c r="E47" s="375">
        <f t="shared" si="27"/>
        <v>0</v>
      </c>
      <c r="F47" s="375">
        <f t="shared" si="27"/>
        <v>0</v>
      </c>
      <c r="G47" s="375">
        <f t="shared" si="27"/>
        <v>0</v>
      </c>
      <c r="H47" s="375">
        <f t="shared" si="27"/>
        <v>0</v>
      </c>
      <c r="I47" s="375">
        <f t="shared" si="27"/>
        <v>0</v>
      </c>
      <c r="J47" s="375">
        <f t="shared" si="27"/>
        <v>0</v>
      </c>
      <c r="K47" s="375">
        <f t="shared" si="27"/>
        <v>0</v>
      </c>
      <c r="L47" s="375">
        <f t="shared" si="27"/>
        <v>0</v>
      </c>
      <c r="M47" s="375">
        <f t="shared" si="27"/>
        <v>0</v>
      </c>
      <c r="N47" s="375">
        <f t="shared" si="27"/>
        <v>0</v>
      </c>
      <c r="O47" s="375">
        <f t="shared" si="27"/>
        <v>0</v>
      </c>
      <c r="P47" s="375">
        <f t="shared" si="27"/>
        <v>0</v>
      </c>
      <c r="Q47" s="375">
        <f t="shared" si="27"/>
        <v>0</v>
      </c>
      <c r="R47" s="375">
        <f t="shared" si="27"/>
        <v>0</v>
      </c>
      <c r="S47" s="375">
        <f t="shared" si="27"/>
        <v>0</v>
      </c>
      <c r="T47" s="375">
        <f t="shared" si="27"/>
        <v>0</v>
      </c>
      <c r="U47" s="375">
        <f t="shared" si="27"/>
        <v>0</v>
      </c>
      <c r="V47" s="375">
        <f t="shared" si="27"/>
        <v>0</v>
      </c>
      <c r="W47" s="375">
        <f t="shared" si="27"/>
        <v>0</v>
      </c>
      <c r="X47" s="375">
        <f t="shared" si="27"/>
        <v>0</v>
      </c>
      <c r="Y47" s="375">
        <f t="shared" si="27"/>
        <v>0</v>
      </c>
      <c r="Z47" s="375">
        <f t="shared" ref="Z47:AH47" si="28">Z43*$B$47</f>
        <v>0</v>
      </c>
      <c r="AA47" s="375">
        <f t="shared" si="28"/>
        <v>0</v>
      </c>
      <c r="AB47" s="375">
        <f t="shared" si="28"/>
        <v>0</v>
      </c>
      <c r="AC47" s="375">
        <f t="shared" si="28"/>
        <v>0</v>
      </c>
      <c r="AD47" s="375">
        <f t="shared" si="28"/>
        <v>0</v>
      </c>
      <c r="AE47" s="375">
        <f t="shared" si="28"/>
        <v>0</v>
      </c>
      <c r="AF47" s="375">
        <f t="shared" si="28"/>
        <v>0</v>
      </c>
      <c r="AG47" s="375">
        <f t="shared" si="28"/>
        <v>0</v>
      </c>
      <c r="AH47" s="375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54750</v>
      </c>
      <c r="C48" s="302"/>
      <c r="D48" s="18">
        <f t="shared" ref="D48:Y48" si="29">SUM(D45:D47)</f>
        <v>1897.3999999999999</v>
      </c>
      <c r="E48" s="18">
        <f t="shared" si="29"/>
        <v>2846.1</v>
      </c>
      <c r="F48" s="18">
        <f t="shared" si="29"/>
        <v>2846.1</v>
      </c>
      <c r="G48" s="18">
        <f t="shared" si="29"/>
        <v>2846.1</v>
      </c>
      <c r="H48" s="18">
        <f t="shared" si="29"/>
        <v>2846.1</v>
      </c>
      <c r="I48" s="18">
        <f t="shared" si="29"/>
        <v>1902.1</v>
      </c>
      <c r="J48" s="18">
        <f t="shared" si="29"/>
        <v>1430.1</v>
      </c>
      <c r="K48" s="18">
        <f t="shared" si="29"/>
        <v>1430.1</v>
      </c>
      <c r="L48" s="18">
        <f t="shared" si="29"/>
        <v>1430.1</v>
      </c>
      <c r="M48" s="18">
        <f t="shared" si="29"/>
        <v>1430.1</v>
      </c>
      <c r="N48" s="18">
        <f t="shared" si="29"/>
        <v>1430.1</v>
      </c>
      <c r="O48" s="18">
        <f t="shared" si="29"/>
        <v>1430.1</v>
      </c>
      <c r="P48" s="18">
        <f t="shared" si="29"/>
        <v>1430.1</v>
      </c>
      <c r="Q48" s="18">
        <f t="shared" si="29"/>
        <v>1430.1</v>
      </c>
      <c r="R48" s="18">
        <f t="shared" si="29"/>
        <v>1430.1</v>
      </c>
      <c r="S48" s="18">
        <f t="shared" si="29"/>
        <v>1430.1</v>
      </c>
      <c r="T48" s="18">
        <f t="shared" si="29"/>
        <v>1430.1</v>
      </c>
      <c r="U48" s="18">
        <f t="shared" si="29"/>
        <v>1430.1</v>
      </c>
      <c r="V48" s="18">
        <f t="shared" si="29"/>
        <v>1430.1</v>
      </c>
      <c r="W48" s="18">
        <f t="shared" si="29"/>
        <v>1430.1</v>
      </c>
      <c r="X48" s="18">
        <f t="shared" si="29"/>
        <v>1430.1</v>
      </c>
      <c r="Y48" s="18">
        <f t="shared" si="29"/>
        <v>1430.1</v>
      </c>
      <c r="Z48" s="18">
        <f t="shared" ref="Z48:AH48" si="30">SUM(Z45:Z47)</f>
        <v>1430.1</v>
      </c>
      <c r="AA48" s="18">
        <f t="shared" si="30"/>
        <v>1430.1</v>
      </c>
      <c r="AB48" s="18">
        <f t="shared" si="30"/>
        <v>1430.1</v>
      </c>
      <c r="AC48" s="18">
        <f t="shared" si="30"/>
        <v>1430.1</v>
      </c>
      <c r="AD48" s="18">
        <f t="shared" si="30"/>
        <v>1430.1</v>
      </c>
      <c r="AE48" s="18">
        <f t="shared" si="30"/>
        <v>1430.1</v>
      </c>
      <c r="AF48" s="18">
        <f t="shared" si="30"/>
        <v>1430.1</v>
      </c>
      <c r="AG48" s="18">
        <f t="shared" si="30"/>
        <v>1430.1</v>
      </c>
      <c r="AH48" s="18">
        <f t="shared" si="30"/>
        <v>476.7000000000001</v>
      </c>
      <c r="AI48" s="20"/>
      <c r="AJ48" s="20"/>
      <c r="AK48" s="20"/>
      <c r="AL48" s="20"/>
    </row>
    <row r="49" spans="1:38">
      <c r="A49" s="22"/>
      <c r="B49" s="18"/>
      <c r="C49" s="37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4" t="s">
        <v>66</v>
      </c>
      <c r="B50" s="379">
        <f>B48</f>
        <v>54750</v>
      </c>
      <c r="C50" s="378"/>
      <c r="D50" s="303">
        <f>B48-D48</f>
        <v>52852.6</v>
      </c>
      <c r="E50" s="303">
        <f>D50-E48</f>
        <v>50006.5</v>
      </c>
      <c r="F50" s="303">
        <f t="shared" ref="F50:Y50" si="31">E50-F48</f>
        <v>47160.4</v>
      </c>
      <c r="G50" s="303">
        <f t="shared" si="31"/>
        <v>44314.3</v>
      </c>
      <c r="H50" s="303">
        <f t="shared" si="31"/>
        <v>41468.200000000004</v>
      </c>
      <c r="I50" s="303">
        <f t="shared" si="31"/>
        <v>39566.100000000006</v>
      </c>
      <c r="J50" s="303">
        <f t="shared" si="31"/>
        <v>38136.000000000007</v>
      </c>
      <c r="K50" s="303">
        <f t="shared" si="31"/>
        <v>36705.900000000009</v>
      </c>
      <c r="L50" s="303">
        <f t="shared" si="31"/>
        <v>35275.80000000001</v>
      </c>
      <c r="M50" s="303">
        <f t="shared" si="31"/>
        <v>33845.700000000012</v>
      </c>
      <c r="N50" s="303">
        <f t="shared" si="31"/>
        <v>32415.600000000013</v>
      </c>
      <c r="O50" s="303">
        <f t="shared" si="31"/>
        <v>30985.500000000015</v>
      </c>
      <c r="P50" s="303">
        <f t="shared" si="31"/>
        <v>29555.400000000016</v>
      </c>
      <c r="Q50" s="303">
        <f t="shared" si="31"/>
        <v>28125.300000000017</v>
      </c>
      <c r="R50" s="303">
        <f t="shared" si="31"/>
        <v>26695.200000000019</v>
      </c>
      <c r="S50" s="303">
        <f t="shared" si="31"/>
        <v>25265.10000000002</v>
      </c>
      <c r="T50" s="303">
        <f t="shared" si="31"/>
        <v>23835.000000000022</v>
      </c>
      <c r="U50" s="303">
        <f t="shared" si="31"/>
        <v>22404.900000000023</v>
      </c>
      <c r="V50" s="303">
        <f t="shared" si="31"/>
        <v>20974.800000000025</v>
      </c>
      <c r="W50" s="303">
        <f t="shared" si="31"/>
        <v>19544.700000000026</v>
      </c>
      <c r="X50" s="303">
        <f t="shared" si="31"/>
        <v>18114.600000000028</v>
      </c>
      <c r="Y50" s="303">
        <f t="shared" si="31"/>
        <v>16684.500000000029</v>
      </c>
      <c r="Z50" s="303">
        <f t="shared" ref="Z50:AH50" si="32">Y50-Z48</f>
        <v>15254.400000000029</v>
      </c>
      <c r="AA50" s="303">
        <f t="shared" si="32"/>
        <v>13824.300000000028</v>
      </c>
      <c r="AB50" s="303">
        <f t="shared" si="32"/>
        <v>12394.200000000028</v>
      </c>
      <c r="AC50" s="303">
        <f t="shared" si="32"/>
        <v>10964.100000000028</v>
      </c>
      <c r="AD50" s="303">
        <f t="shared" si="32"/>
        <v>9534.0000000000273</v>
      </c>
      <c r="AE50" s="303">
        <f t="shared" si="32"/>
        <v>8103.9000000000269</v>
      </c>
      <c r="AF50" s="303">
        <f t="shared" si="32"/>
        <v>6673.8000000000266</v>
      </c>
      <c r="AG50" s="303">
        <f t="shared" si="32"/>
        <v>5243.7000000000262</v>
      </c>
      <c r="AH50" s="303">
        <f t="shared" si="32"/>
        <v>4767.0000000000264</v>
      </c>
      <c r="AI50" s="240"/>
      <c r="AJ50" s="240"/>
      <c r="AK50" s="240"/>
      <c r="AL50" s="240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9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topLeftCell="A5" zoomScale="75" zoomScaleNormal="75" workbookViewId="0">
      <selection activeCell="I24" sqref="I24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UAE-Lowell</v>
      </c>
    </row>
    <row r="4" spans="1:32" ht="18.75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5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207</v>
      </c>
      <c r="B10" s="19">
        <f>IS!C41</f>
        <v>-1953.4539194046213</v>
      </c>
      <c r="C10" s="19">
        <f>IS!D41</f>
        <v>-2849.932295415932</v>
      </c>
      <c r="D10" s="19">
        <f>IS!E41</f>
        <v>-2985.9936320101729</v>
      </c>
      <c r="E10" s="19">
        <f>IS!F41</f>
        <v>-3132.4707741014731</v>
      </c>
      <c r="F10" s="19">
        <f>IS!G41</f>
        <v>-3290.8473648657105</v>
      </c>
      <c r="G10" s="19">
        <f>IS!H41</f>
        <v>-2519.1282118844906</v>
      </c>
      <c r="H10" s="19">
        <f>IS!I41</f>
        <v>-2234.0803544851933</v>
      </c>
      <c r="I10" s="19">
        <f>IS!J41</f>
        <v>-2437.2623874700985</v>
      </c>
      <c r="J10" s="19">
        <f>IS!K41</f>
        <v>-2657.1844315688759</v>
      </c>
      <c r="K10" s="19">
        <f>IS!L41</f>
        <v>-2896.1789513311433</v>
      </c>
      <c r="L10" s="19">
        <f>IS!M41</f>
        <v>-3155.4991587960044</v>
      </c>
      <c r="M10" s="19">
        <f>IS!N41</f>
        <v>-3437.1491503591292</v>
      </c>
      <c r="N10" s="19">
        <f>IS!O41</f>
        <v>-3742.2284630296513</v>
      </c>
      <c r="O10" s="19">
        <f>IS!P41</f>
        <v>-4073.5265552985134</v>
      </c>
      <c r="P10" s="19">
        <f>IS!Q41</f>
        <v>-4432.9669159715268</v>
      </c>
      <c r="Q10" s="19">
        <f>IS!R41</f>
        <v>-4823.1709267834376</v>
      </c>
      <c r="R10" s="19">
        <f>IS!S41</f>
        <v>-5246.0482600463147</v>
      </c>
      <c r="S10" s="19">
        <f>IS!T41</f>
        <v>-5705.0245595342858</v>
      </c>
      <c r="T10" s="19">
        <f>IS!U41</f>
        <v>-6202.9478165944074</v>
      </c>
      <c r="U10" s="19">
        <f>IS!V41</f>
        <v>-6743.2942582166161</v>
      </c>
      <c r="V10" s="19">
        <f>IS!W41</f>
        <v>-11567.179276860843</v>
      </c>
      <c r="W10" s="19">
        <f>IS!X41</f>
        <v>-14990.734978566499</v>
      </c>
      <c r="X10" s="19">
        <f>IS!Y41</f>
        <v>-16122.792733181903</v>
      </c>
      <c r="Y10" s="19">
        <f>IS!Z41</f>
        <v>-17370.474176518132</v>
      </c>
      <c r="Z10" s="19">
        <f>IS!AA41</f>
        <v>-18724.4180160094</v>
      </c>
      <c r="AA10" s="19">
        <f>IS!AB41</f>
        <v>-20191.910131378929</v>
      </c>
      <c r="AB10" s="19">
        <f>IS!AC41</f>
        <v>-21783.587094134375</v>
      </c>
      <c r="AC10" s="19">
        <f>IS!AD41</f>
        <v>-23509.26450778982</v>
      </c>
      <c r="AD10" s="19">
        <f>IS!AE41</f>
        <v>-25381.7789084412</v>
      </c>
      <c r="AE10" s="19">
        <f>IS!AF41</f>
        <v>-27411.266651783455</v>
      </c>
      <c r="AF10" s="19">
        <f>IS!AG41</f>
        <v>-28552.808806368666</v>
      </c>
    </row>
    <row r="11" spans="1:32">
      <c r="A11" s="21" t="s">
        <v>68</v>
      </c>
      <c r="B11" s="19">
        <f>IS!C35</f>
        <v>1897.3999999999999</v>
      </c>
      <c r="C11" s="19">
        <f>IS!D35</f>
        <v>2846.1</v>
      </c>
      <c r="D11" s="19">
        <f>IS!E35</f>
        <v>2846.1</v>
      </c>
      <c r="E11" s="19">
        <f>IS!F35</f>
        <v>2846.1</v>
      </c>
      <c r="F11" s="19">
        <f>IS!G35</f>
        <v>2846.1</v>
      </c>
      <c r="G11" s="19">
        <f>IS!H35</f>
        <v>1902.1</v>
      </c>
      <c r="H11" s="19">
        <f>IS!I35</f>
        <v>1430.1</v>
      </c>
      <c r="I11" s="19">
        <f>IS!J35</f>
        <v>1430.1</v>
      </c>
      <c r="J11" s="19">
        <f>IS!K35</f>
        <v>1430.1</v>
      </c>
      <c r="K11" s="19">
        <f>IS!L35</f>
        <v>1430.1</v>
      </c>
      <c r="L11" s="19">
        <f>IS!M35</f>
        <v>1430.1</v>
      </c>
      <c r="M11" s="19">
        <f>IS!N35</f>
        <v>1430.1</v>
      </c>
      <c r="N11" s="19">
        <f>IS!O35</f>
        <v>1430.1</v>
      </c>
      <c r="O11" s="19">
        <f>IS!P35</f>
        <v>1430.1</v>
      </c>
      <c r="P11" s="19">
        <f>IS!Q35</f>
        <v>1430.1</v>
      </c>
      <c r="Q11" s="19">
        <f>IS!R35</f>
        <v>1430.1</v>
      </c>
      <c r="R11" s="19">
        <f>IS!S35</f>
        <v>1430.1</v>
      </c>
      <c r="S11" s="19">
        <f>IS!T35</f>
        <v>1430.1</v>
      </c>
      <c r="T11" s="19">
        <f>IS!U35</f>
        <v>1430.1</v>
      </c>
      <c r="U11" s="19">
        <f>IS!V35</f>
        <v>1430.1</v>
      </c>
      <c r="V11" s="19">
        <f>IS!W35</f>
        <v>1430.1</v>
      </c>
      <c r="W11" s="19">
        <f>IS!X35</f>
        <v>1430.1</v>
      </c>
      <c r="X11" s="19">
        <f>IS!Y35</f>
        <v>1430.1</v>
      </c>
      <c r="Y11" s="19">
        <f>IS!Z35</f>
        <v>1430.1</v>
      </c>
      <c r="Z11" s="19">
        <f>IS!AA35</f>
        <v>1430.1</v>
      </c>
      <c r="AA11" s="19">
        <f>IS!AB35</f>
        <v>1430.1</v>
      </c>
      <c r="AB11" s="19">
        <f>IS!AC35</f>
        <v>1430.1</v>
      </c>
      <c r="AC11" s="19">
        <f>IS!AD35</f>
        <v>1430.1</v>
      </c>
      <c r="AD11" s="19">
        <f>IS!AE35</f>
        <v>1430.1</v>
      </c>
      <c r="AE11" s="19">
        <f>IS!AF35</f>
        <v>1430.1</v>
      </c>
      <c r="AF11" s="19">
        <f>IS!AG35</f>
        <v>476.7000000000001</v>
      </c>
    </row>
    <row r="12" spans="1:32" ht="15">
      <c r="A12" s="21" t="s">
        <v>69</v>
      </c>
      <c r="B12" s="130">
        <f>-Depreciation!D34</f>
        <v>-3327.5</v>
      </c>
      <c r="C12" s="130">
        <f>-Depreciation!E34</f>
        <v>-5944.65</v>
      </c>
      <c r="D12" s="130">
        <f>-Depreciation!F34</f>
        <v>-5491.7849999999999</v>
      </c>
      <c r="E12" s="130">
        <f>-Depreciation!G34</f>
        <v>-5086.59</v>
      </c>
      <c r="F12" s="130">
        <f>-Depreciation!H34</f>
        <v>-4719.5309999999999</v>
      </c>
      <c r="G12" s="130">
        <f>-Depreciation!I34</f>
        <v>-3441.8409999999999</v>
      </c>
      <c r="H12" s="130">
        <f>-Depreciation!J34</f>
        <v>-2812.5299999999997</v>
      </c>
      <c r="I12" s="130">
        <f>-Depreciation!K34</f>
        <v>-2817.297</v>
      </c>
      <c r="J12" s="130">
        <f>-Depreciation!L34</f>
        <v>-2812.5299999999997</v>
      </c>
      <c r="K12" s="130">
        <f>-Depreciation!M34</f>
        <v>-2817.297</v>
      </c>
      <c r="L12" s="130">
        <f>-Depreciation!N34</f>
        <v>-2812.5299999999997</v>
      </c>
      <c r="M12" s="130">
        <f>-Depreciation!O34</f>
        <v>-2817.297</v>
      </c>
      <c r="N12" s="130">
        <f>-Depreciation!P34</f>
        <v>-2812.5299999999997</v>
      </c>
      <c r="O12" s="130">
        <f>-Depreciation!Q34</f>
        <v>-2817.297</v>
      </c>
      <c r="P12" s="130">
        <f>-Depreciation!R34</f>
        <v>-2812.5299999999997</v>
      </c>
      <c r="Q12" s="130">
        <f>-Depreciation!S34</f>
        <v>-1406.2649999999999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-3383.5539194046214</v>
      </c>
      <c r="C13" s="23">
        <f t="shared" ref="C13:W13" si="0">SUM(C10:C12)</f>
        <v>-5948.4822954159317</v>
      </c>
      <c r="D13" s="23">
        <f t="shared" si="0"/>
        <v>-5631.6786320101728</v>
      </c>
      <c r="E13" s="23">
        <f t="shared" si="0"/>
        <v>-5372.9607741014734</v>
      </c>
      <c r="F13" s="23">
        <f t="shared" si="0"/>
        <v>-5164.2783648657105</v>
      </c>
      <c r="G13" s="23">
        <f t="shared" si="0"/>
        <v>-4058.8692118844906</v>
      </c>
      <c r="H13" s="23">
        <f t="shared" si="0"/>
        <v>-3616.5103544851931</v>
      </c>
      <c r="I13" s="23">
        <f t="shared" si="0"/>
        <v>-3824.4593874700986</v>
      </c>
      <c r="J13" s="23">
        <f t="shared" si="0"/>
        <v>-4039.6144315688757</v>
      </c>
      <c r="K13" s="23">
        <f t="shared" si="0"/>
        <v>-4283.3759513311434</v>
      </c>
      <c r="L13" s="23">
        <f t="shared" si="0"/>
        <v>-4537.9291587960042</v>
      </c>
      <c r="M13" s="23">
        <f t="shared" si="0"/>
        <v>-4824.3461503591298</v>
      </c>
      <c r="N13" s="23">
        <f t="shared" si="0"/>
        <v>-5124.6584630296511</v>
      </c>
      <c r="O13" s="23">
        <f t="shared" si="0"/>
        <v>-5460.723555298513</v>
      </c>
      <c r="P13" s="23">
        <f t="shared" si="0"/>
        <v>-5815.3969159715271</v>
      </c>
      <c r="Q13" s="23">
        <f t="shared" si="0"/>
        <v>-4799.3359267834376</v>
      </c>
      <c r="R13" s="23">
        <f t="shared" si="0"/>
        <v>-3815.9482600463148</v>
      </c>
      <c r="S13" s="23">
        <f t="shared" si="0"/>
        <v>-4274.9245595342854</v>
      </c>
      <c r="T13" s="23">
        <f t="shared" si="0"/>
        <v>-4772.847816594407</v>
      </c>
      <c r="U13" s="23">
        <f t="shared" si="0"/>
        <v>-5313.1942582166157</v>
      </c>
      <c r="V13" s="23">
        <f t="shared" si="0"/>
        <v>-10137.079276860843</v>
      </c>
      <c r="W13" s="23">
        <f t="shared" si="0"/>
        <v>-13560.634978566499</v>
      </c>
      <c r="X13" s="23">
        <f t="shared" ref="X13:AF13" si="1">SUM(X10:X12)</f>
        <v>-14692.692733181902</v>
      </c>
      <c r="Y13" s="23">
        <f t="shared" si="1"/>
        <v>-15940.374176518131</v>
      </c>
      <c r="Z13" s="23">
        <f t="shared" si="1"/>
        <v>-17294.318016009402</v>
      </c>
      <c r="AA13" s="23">
        <f t="shared" si="1"/>
        <v>-18761.81013137893</v>
      </c>
      <c r="AB13" s="23">
        <f t="shared" si="1"/>
        <v>-20353.487094134376</v>
      </c>
      <c r="AC13" s="23">
        <f t="shared" si="1"/>
        <v>-22079.164507789821</v>
      </c>
      <c r="AD13" s="23">
        <f t="shared" si="1"/>
        <v>-23951.678908441201</v>
      </c>
      <c r="AE13" s="23">
        <f t="shared" si="1"/>
        <v>-25981.166651783456</v>
      </c>
      <c r="AF13" s="23">
        <f t="shared" si="1"/>
        <v>-28076.108806368666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-236.84877435832351</v>
      </c>
      <c r="C16" s="19">
        <f t="shared" si="2"/>
        <v>-416.39376067911525</v>
      </c>
      <c r="D16" s="19">
        <f t="shared" si="2"/>
        <v>-394.21750424071212</v>
      </c>
      <c r="E16" s="19">
        <f t="shared" si="2"/>
        <v>-376.10725418710319</v>
      </c>
      <c r="F16" s="19">
        <f t="shared" si="2"/>
        <v>-361.49948554059978</v>
      </c>
      <c r="G16" s="19">
        <f t="shared" si="2"/>
        <v>-284.12084483191438</v>
      </c>
      <c r="H16" s="19">
        <f t="shared" si="2"/>
        <v>-253.15572481396353</v>
      </c>
      <c r="I16" s="19">
        <f t="shared" si="2"/>
        <v>-267.71215712290694</v>
      </c>
      <c r="J16" s="19">
        <f t="shared" si="2"/>
        <v>-282.77301020982134</v>
      </c>
      <c r="K16" s="19">
        <f t="shared" si="2"/>
        <v>-299.83631659318007</v>
      </c>
      <c r="L16" s="19">
        <f t="shared" si="2"/>
        <v>-317.65504111572034</v>
      </c>
      <c r="M16" s="19">
        <f t="shared" si="2"/>
        <v>-337.70423052513911</v>
      </c>
      <c r="N16" s="19">
        <f t="shared" si="2"/>
        <v>-358.72609241207562</v>
      </c>
      <c r="O16" s="19">
        <f t="shared" si="2"/>
        <v>-382.25064887089593</v>
      </c>
      <c r="P16" s="19">
        <f t="shared" si="2"/>
        <v>-407.07778411800695</v>
      </c>
      <c r="Q16" s="19">
        <f t="shared" si="2"/>
        <v>-335.95351487484066</v>
      </c>
      <c r="R16" s="19">
        <f t="shared" si="2"/>
        <v>-267.11637820324205</v>
      </c>
      <c r="S16" s="19">
        <f t="shared" si="2"/>
        <v>-299.24471916740004</v>
      </c>
      <c r="T16" s="19">
        <f t="shared" si="2"/>
        <v>-334.09934716160853</v>
      </c>
      <c r="U16" s="19">
        <f t="shared" si="2"/>
        <v>-371.92359807516311</v>
      </c>
      <c r="V16" s="19">
        <f t="shared" si="2"/>
        <v>-709.59554938025906</v>
      </c>
      <c r="W16" s="19">
        <f t="shared" si="2"/>
        <v>-949.24444849965505</v>
      </c>
      <c r="X16" s="19">
        <f t="shared" si="2"/>
        <v>-1028.4884913227334</v>
      </c>
      <c r="Y16" s="19">
        <f t="shared" si="2"/>
        <v>-1115.8261923562693</v>
      </c>
      <c r="Z16" s="19">
        <f t="shared" si="2"/>
        <v>-1210.6022611206583</v>
      </c>
      <c r="AA16" s="19">
        <f t="shared" si="2"/>
        <v>-1313.3267091965251</v>
      </c>
      <c r="AB16" s="19">
        <f t="shared" si="2"/>
        <v>-1424.7440965894064</v>
      </c>
      <c r="AC16" s="19">
        <f t="shared" si="2"/>
        <v>-1545.5415155452877</v>
      </c>
      <c r="AD16" s="19">
        <f t="shared" si="2"/>
        <v>-1676.6175235908843</v>
      </c>
      <c r="AE16" s="19">
        <f t="shared" si="2"/>
        <v>-1818.681665624842</v>
      </c>
      <c r="AF16" s="19">
        <f t="shared" si="2"/>
        <v>-1965.3276164458068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236.84877435832351</v>
      </c>
      <c r="D18" s="19">
        <f t="shared" ref="D18:W18" si="3">C22</f>
        <v>653.24253503743876</v>
      </c>
      <c r="E18" s="19">
        <f t="shared" si="3"/>
        <v>1047.4600392781508</v>
      </c>
      <c r="F18" s="19">
        <f t="shared" si="3"/>
        <v>1423.5672934652539</v>
      </c>
      <c r="G18" s="19">
        <f t="shared" si="3"/>
        <v>1785.0667790058537</v>
      </c>
      <c r="H18" s="19">
        <f t="shared" si="3"/>
        <v>2069.1876238377681</v>
      </c>
      <c r="I18" s="19">
        <f t="shared" si="3"/>
        <v>2322.3433486517315</v>
      </c>
      <c r="J18" s="19">
        <f t="shared" si="3"/>
        <v>2590.0555057746383</v>
      </c>
      <c r="K18" s="19">
        <f t="shared" si="3"/>
        <v>2635.9797416261358</v>
      </c>
      <c r="L18" s="19">
        <f t="shared" si="3"/>
        <v>2756.271071898524</v>
      </c>
      <c r="M18" s="19">
        <f t="shared" si="3"/>
        <v>3073.9261130142445</v>
      </c>
      <c r="N18" s="19">
        <f t="shared" si="3"/>
        <v>3411.6303435393838</v>
      </c>
      <c r="O18" s="19">
        <f t="shared" si="3"/>
        <v>3770.3564359514594</v>
      </c>
      <c r="P18" s="19">
        <f>O22</f>
        <v>4152.6070848223553</v>
      </c>
      <c r="Q18" s="19">
        <f t="shared" si="3"/>
        <v>4559.6848689403623</v>
      </c>
      <c r="R18" s="19">
        <f t="shared" si="3"/>
        <v>4895.6383838152033</v>
      </c>
      <c r="S18" s="19">
        <f t="shared" si="3"/>
        <v>5162.754762018445</v>
      </c>
      <c r="T18" s="19">
        <v>0</v>
      </c>
      <c r="U18" s="19">
        <f t="shared" si="3"/>
        <v>136.73563631827653</v>
      </c>
      <c r="V18" s="19">
        <f t="shared" si="3"/>
        <v>488.61004498402087</v>
      </c>
      <c r="W18" s="19">
        <f t="shared" si="3"/>
        <v>1177.1837324773435</v>
      </c>
      <c r="X18" s="19">
        <f t="shared" ref="X18:AF18" si="4">W22</f>
        <v>2102.9036245181783</v>
      </c>
      <c r="Y18" s="19">
        <f t="shared" si="4"/>
        <v>3106.5649805938006</v>
      </c>
      <c r="Z18" s="19">
        <f t="shared" si="4"/>
        <v>4222.3911729500696</v>
      </c>
      <c r="AA18" s="19">
        <f t="shared" si="4"/>
        <v>5432.9934340707277</v>
      </c>
      <c r="AB18" s="19">
        <f t="shared" si="4"/>
        <v>6746.3201432672531</v>
      </c>
      <c r="AC18" s="19">
        <f t="shared" si="4"/>
        <v>8123.7513465406701</v>
      </c>
      <c r="AD18" s="19">
        <f t="shared" si="4"/>
        <v>9434.1049003290718</v>
      </c>
      <c r="AE18" s="19">
        <f t="shared" si="4"/>
        <v>10753.001283205442</v>
      </c>
      <c r="AF18" s="19">
        <f t="shared" si="4"/>
        <v>12311.01218782395</v>
      </c>
    </row>
    <row r="19" spans="1:32">
      <c r="A19" s="21" t="s">
        <v>73</v>
      </c>
      <c r="B19" s="139">
        <f>IF(B16&lt;0,-B16,0)</f>
        <v>236.84877435832351</v>
      </c>
      <c r="C19" s="139">
        <f t="shared" ref="C19:W19" si="5">IF(C16&lt;0,-C16,0)</f>
        <v>416.39376067911525</v>
      </c>
      <c r="D19" s="139">
        <f t="shared" si="5"/>
        <v>394.21750424071212</v>
      </c>
      <c r="E19" s="139">
        <f t="shared" si="5"/>
        <v>376.10725418710319</v>
      </c>
      <c r="F19" s="139">
        <f t="shared" si="5"/>
        <v>361.49948554059978</v>
      </c>
      <c r="G19" s="139">
        <f t="shared" si="5"/>
        <v>284.12084483191438</v>
      </c>
      <c r="H19" s="139">
        <f t="shared" si="5"/>
        <v>253.15572481396353</v>
      </c>
      <c r="I19" s="139">
        <f t="shared" si="5"/>
        <v>267.71215712290694</v>
      </c>
      <c r="J19" s="139">
        <f t="shared" si="5"/>
        <v>282.77301020982134</v>
      </c>
      <c r="K19" s="139">
        <f t="shared" si="5"/>
        <v>299.83631659318007</v>
      </c>
      <c r="L19" s="139">
        <f t="shared" si="5"/>
        <v>317.65504111572034</v>
      </c>
      <c r="M19" s="139">
        <f t="shared" si="5"/>
        <v>337.70423052513911</v>
      </c>
      <c r="N19" s="139">
        <f t="shared" si="5"/>
        <v>358.72609241207562</v>
      </c>
      <c r="O19" s="139">
        <f t="shared" si="5"/>
        <v>382.25064887089593</v>
      </c>
      <c r="P19" s="139">
        <f t="shared" si="5"/>
        <v>407.07778411800695</v>
      </c>
      <c r="Q19" s="139">
        <f t="shared" si="5"/>
        <v>335.95351487484066</v>
      </c>
      <c r="R19" s="139">
        <f t="shared" si="5"/>
        <v>267.11637820324205</v>
      </c>
      <c r="S19" s="139">
        <f t="shared" si="5"/>
        <v>299.24471916740004</v>
      </c>
      <c r="T19" s="139">
        <f t="shared" si="5"/>
        <v>334.09934716160853</v>
      </c>
      <c r="U19" s="139">
        <f t="shared" si="5"/>
        <v>371.92359807516311</v>
      </c>
      <c r="V19" s="139">
        <f t="shared" si="5"/>
        <v>709.59554938025906</v>
      </c>
      <c r="W19" s="139">
        <f t="shared" si="5"/>
        <v>949.24444849965505</v>
      </c>
      <c r="X19" s="139">
        <f t="shared" ref="X19:AF19" si="6">IF(X16&lt;0,-X16,0)</f>
        <v>1028.4884913227334</v>
      </c>
      <c r="Y19" s="139">
        <f t="shared" si="6"/>
        <v>1115.8261923562693</v>
      </c>
      <c r="Z19" s="139">
        <f t="shared" si="6"/>
        <v>1210.6022611206583</v>
      </c>
      <c r="AA19" s="139">
        <f t="shared" si="6"/>
        <v>1313.3267091965251</v>
      </c>
      <c r="AB19" s="139">
        <f t="shared" si="6"/>
        <v>1424.7440965894064</v>
      </c>
      <c r="AC19" s="139">
        <f t="shared" si="6"/>
        <v>1545.5415155452877</v>
      </c>
      <c r="AD19" s="139">
        <f t="shared" si="6"/>
        <v>1676.6175235908843</v>
      </c>
      <c r="AE19" s="139">
        <f t="shared" si="6"/>
        <v>1818.681665624842</v>
      </c>
      <c r="AF19" s="139">
        <f t="shared" si="6"/>
        <v>1965.3276164458068</v>
      </c>
    </row>
    <row r="20" spans="1:32">
      <c r="A20" s="13" t="s">
        <v>284</v>
      </c>
      <c r="B20" s="465">
        <v>0</v>
      </c>
      <c r="C20" s="466">
        <v>0</v>
      </c>
      <c r="D20" s="466">
        <v>0</v>
      </c>
      <c r="E20" s="466">
        <v>0</v>
      </c>
      <c r="F20" s="466">
        <v>0</v>
      </c>
      <c r="G20" s="466">
        <v>0</v>
      </c>
      <c r="H20" s="466">
        <v>0</v>
      </c>
      <c r="I20" s="467">
        <v>0</v>
      </c>
      <c r="J20" s="468">
        <f>IF(-SUM(B21:I21, B20:I20)&gt;B19,0,-B19-SUM(B21:I21,B20:I20))</f>
        <v>-236.84877435832351</v>
      </c>
      <c r="K20" s="468">
        <f t="shared" ref="K20:AF20" si="7">IF(-SUM(C21:J21, C20:J20)&gt;C19,0,-C19-SUM(C21:J21,C20:J20))</f>
        <v>-179.54498632079174</v>
      </c>
      <c r="L20" s="468">
        <f t="shared" si="7"/>
        <v>0</v>
      </c>
      <c r="M20" s="468">
        <f t="shared" si="7"/>
        <v>0</v>
      </c>
      <c r="N20" s="468">
        <f t="shared" si="7"/>
        <v>0</v>
      </c>
      <c r="O20" s="468">
        <f t="shared" si="7"/>
        <v>0</v>
      </c>
      <c r="P20" s="468">
        <f t="shared" si="7"/>
        <v>0</v>
      </c>
      <c r="Q20" s="468">
        <f t="shared" si="7"/>
        <v>0</v>
      </c>
      <c r="R20" s="468">
        <f t="shared" si="7"/>
        <v>0</v>
      </c>
      <c r="S20" s="468">
        <f t="shared" si="7"/>
        <v>-120.29133027238834</v>
      </c>
      <c r="T20" s="468">
        <f t="shared" si="7"/>
        <v>-197.363710843332</v>
      </c>
      <c r="U20" s="468">
        <f t="shared" si="7"/>
        <v>-20.049189409418773</v>
      </c>
      <c r="V20" s="468">
        <f t="shared" si="7"/>
        <v>-21.021861886936506</v>
      </c>
      <c r="W20" s="468">
        <f t="shared" si="7"/>
        <v>-23.524556458820314</v>
      </c>
      <c r="X20" s="468">
        <f t="shared" si="7"/>
        <v>-24.827135247111016</v>
      </c>
      <c r="Y20" s="468">
        <f t="shared" si="7"/>
        <v>0</v>
      </c>
      <c r="Z20" s="468">
        <f t="shared" si="7"/>
        <v>0</v>
      </c>
      <c r="AA20" s="468">
        <f t="shared" si="7"/>
        <v>0</v>
      </c>
      <c r="AB20" s="468">
        <f t="shared" si="7"/>
        <v>-47.312893315989925</v>
      </c>
      <c r="AC20" s="468">
        <f t="shared" si="7"/>
        <v>-235.18796175688658</v>
      </c>
      <c r="AD20" s="468">
        <f t="shared" si="7"/>
        <v>-357.72114071451472</v>
      </c>
      <c r="AE20" s="468">
        <f t="shared" si="7"/>
        <v>-260.67076100633255</v>
      </c>
      <c r="AF20" s="468">
        <f t="shared" si="7"/>
        <v>-102.76859928189856</v>
      </c>
    </row>
    <row r="21" spans="1:32">
      <c r="A21" s="13" t="s">
        <v>283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0</v>
      </c>
      <c r="R21" s="132">
        <f t="shared" si="8"/>
        <v>0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236.84877435832351</v>
      </c>
      <c r="C22" s="132">
        <f t="shared" si="10"/>
        <v>653.24253503743876</v>
      </c>
      <c r="D22" s="132">
        <f t="shared" si="10"/>
        <v>1047.4600392781508</v>
      </c>
      <c r="E22" s="132">
        <f t="shared" si="10"/>
        <v>1423.5672934652539</v>
      </c>
      <c r="F22" s="132">
        <f t="shared" si="10"/>
        <v>1785.0667790058537</v>
      </c>
      <c r="G22" s="132">
        <f t="shared" si="10"/>
        <v>2069.1876238377681</v>
      </c>
      <c r="H22" s="132">
        <f t="shared" si="10"/>
        <v>2322.3433486517315</v>
      </c>
      <c r="I22" s="132">
        <f t="shared" si="10"/>
        <v>2590.0555057746383</v>
      </c>
      <c r="J22" s="132">
        <f t="shared" si="10"/>
        <v>2635.9797416261358</v>
      </c>
      <c r="K22" s="132">
        <f t="shared" si="10"/>
        <v>2756.271071898524</v>
      </c>
      <c r="L22" s="132">
        <f t="shared" si="10"/>
        <v>3073.9261130142445</v>
      </c>
      <c r="M22" s="132">
        <f t="shared" si="10"/>
        <v>3411.6303435393838</v>
      </c>
      <c r="N22" s="132">
        <f t="shared" si="10"/>
        <v>3770.3564359514594</v>
      </c>
      <c r="O22" s="132">
        <f t="shared" si="10"/>
        <v>4152.6070848223553</v>
      </c>
      <c r="P22" s="132">
        <f t="shared" si="10"/>
        <v>4559.6848689403623</v>
      </c>
      <c r="Q22" s="132">
        <f t="shared" si="10"/>
        <v>4895.6383838152033</v>
      </c>
      <c r="R22" s="132">
        <f t="shared" si="10"/>
        <v>5162.754762018445</v>
      </c>
      <c r="S22" s="132">
        <f t="shared" si="10"/>
        <v>5341.7081509134568</v>
      </c>
      <c r="T22" s="132">
        <f t="shared" si="10"/>
        <v>136.73563631827653</v>
      </c>
      <c r="U22" s="132">
        <f t="shared" si="10"/>
        <v>488.61004498402087</v>
      </c>
      <c r="V22" s="132">
        <f t="shared" si="10"/>
        <v>1177.1837324773435</v>
      </c>
      <c r="W22" s="132">
        <f t="shared" si="10"/>
        <v>2102.9036245181783</v>
      </c>
      <c r="X22" s="132">
        <f t="shared" si="10"/>
        <v>3106.5649805938006</v>
      </c>
      <c r="Y22" s="132">
        <f t="shared" si="10"/>
        <v>4222.3911729500696</v>
      </c>
      <c r="Z22" s="132">
        <f t="shared" si="10"/>
        <v>5432.9934340707277</v>
      </c>
      <c r="AA22" s="132">
        <f t="shared" si="10"/>
        <v>6746.3201432672531</v>
      </c>
      <c r="AB22" s="132">
        <f t="shared" si="10"/>
        <v>8123.7513465406701</v>
      </c>
      <c r="AC22" s="132">
        <f t="shared" si="10"/>
        <v>9434.1049003290718</v>
      </c>
      <c r="AD22" s="132">
        <f t="shared" si="10"/>
        <v>10753.001283205442</v>
      </c>
      <c r="AE22" s="132">
        <f t="shared" si="10"/>
        <v>12311.01218782395</v>
      </c>
      <c r="AF22" s="132">
        <f t="shared" si="10"/>
        <v>14173.571204987858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209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0</v>
      </c>
      <c r="S24" s="136">
        <f t="shared" si="11"/>
        <v>0</v>
      </c>
      <c r="T24" s="136">
        <f t="shared" si="11"/>
        <v>0</v>
      </c>
      <c r="U24" s="136">
        <f t="shared" si="11"/>
        <v>0</v>
      </c>
      <c r="V24" s="136">
        <f t="shared" si="11"/>
        <v>0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-3383.5539194046214</v>
      </c>
      <c r="C28" s="19">
        <f t="shared" ref="C28:AF28" si="12">C13</f>
        <v>-5948.4822954159317</v>
      </c>
      <c r="D28" s="19">
        <f t="shared" si="12"/>
        <v>-5631.6786320101728</v>
      </c>
      <c r="E28" s="19">
        <f t="shared" si="12"/>
        <v>-5372.9607741014734</v>
      </c>
      <c r="F28" s="19">
        <f t="shared" si="12"/>
        <v>-5164.2783648657105</v>
      </c>
      <c r="G28" s="19">
        <f t="shared" si="12"/>
        <v>-4058.8692118844906</v>
      </c>
      <c r="H28" s="19">
        <f t="shared" si="12"/>
        <v>-3616.5103544851931</v>
      </c>
      <c r="I28" s="19">
        <f t="shared" si="12"/>
        <v>-3824.4593874700986</v>
      </c>
      <c r="J28" s="19">
        <f t="shared" si="12"/>
        <v>-4039.6144315688757</v>
      </c>
      <c r="K28" s="19">
        <f t="shared" si="12"/>
        <v>-4283.3759513311434</v>
      </c>
      <c r="L28" s="19">
        <f t="shared" si="12"/>
        <v>-4537.9291587960042</v>
      </c>
      <c r="M28" s="19">
        <f t="shared" si="12"/>
        <v>-4824.3461503591298</v>
      </c>
      <c r="N28" s="19">
        <f t="shared" si="12"/>
        <v>-5124.6584630296511</v>
      </c>
      <c r="O28" s="19">
        <f t="shared" si="12"/>
        <v>-5460.723555298513</v>
      </c>
      <c r="P28" s="19">
        <f t="shared" si="12"/>
        <v>-5815.3969159715271</v>
      </c>
      <c r="Q28" s="19">
        <f t="shared" si="12"/>
        <v>-4799.3359267834376</v>
      </c>
      <c r="R28" s="19">
        <f t="shared" si="12"/>
        <v>-3815.9482600463148</v>
      </c>
      <c r="S28" s="19">
        <f t="shared" si="12"/>
        <v>-4274.9245595342854</v>
      </c>
      <c r="T28" s="19">
        <f t="shared" si="12"/>
        <v>-4772.847816594407</v>
      </c>
      <c r="U28" s="19">
        <f t="shared" si="12"/>
        <v>-5313.1942582166157</v>
      </c>
      <c r="V28" s="19">
        <f t="shared" si="12"/>
        <v>-10137.079276860843</v>
      </c>
      <c r="W28" s="19">
        <f t="shared" si="12"/>
        <v>-13560.634978566499</v>
      </c>
      <c r="X28" s="19">
        <f t="shared" si="12"/>
        <v>-14692.692733181902</v>
      </c>
      <c r="Y28" s="19">
        <f t="shared" si="12"/>
        <v>-15940.374176518131</v>
      </c>
      <c r="Z28" s="19">
        <f t="shared" si="12"/>
        <v>-17294.318016009402</v>
      </c>
      <c r="AA28" s="19">
        <f t="shared" si="12"/>
        <v>-18761.81013137893</v>
      </c>
      <c r="AB28" s="19">
        <f t="shared" si="12"/>
        <v>-20353.487094134376</v>
      </c>
      <c r="AC28" s="19">
        <f t="shared" si="12"/>
        <v>-22079.164507789821</v>
      </c>
      <c r="AD28" s="19">
        <f t="shared" si="12"/>
        <v>-23951.678908441201</v>
      </c>
      <c r="AE28" s="19">
        <f t="shared" si="12"/>
        <v>-25981.166651783456</v>
      </c>
      <c r="AF28" s="19">
        <f t="shared" si="12"/>
        <v>-28076.108806368666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0</v>
      </c>
      <c r="S29" s="134">
        <f t="shared" si="13"/>
        <v>0</v>
      </c>
      <c r="T29" s="134">
        <f t="shared" si="13"/>
        <v>0</v>
      </c>
      <c r="U29" s="134">
        <f t="shared" si="13"/>
        <v>0</v>
      </c>
      <c r="V29" s="134">
        <f t="shared" si="13"/>
        <v>0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208</v>
      </c>
      <c r="B30" s="44">
        <f t="shared" ref="B30:AF30" si="14">SUM(B28:B29)</f>
        <v>-3383.5539194046214</v>
      </c>
      <c r="C30" s="44">
        <f t="shared" si="14"/>
        <v>-5948.4822954159317</v>
      </c>
      <c r="D30" s="44">
        <f t="shared" si="14"/>
        <v>-5631.6786320101728</v>
      </c>
      <c r="E30" s="44">
        <f t="shared" si="14"/>
        <v>-5372.9607741014734</v>
      </c>
      <c r="F30" s="44">
        <f t="shared" si="14"/>
        <v>-5164.2783648657105</v>
      </c>
      <c r="G30" s="44">
        <f t="shared" si="14"/>
        <v>-4058.8692118844906</v>
      </c>
      <c r="H30" s="44">
        <f t="shared" si="14"/>
        <v>-3616.5103544851931</v>
      </c>
      <c r="I30" s="44">
        <f t="shared" si="14"/>
        <v>-3824.4593874700986</v>
      </c>
      <c r="J30" s="44">
        <f t="shared" si="14"/>
        <v>-4039.6144315688757</v>
      </c>
      <c r="K30" s="44">
        <f t="shared" si="14"/>
        <v>-4283.3759513311434</v>
      </c>
      <c r="L30" s="44">
        <f t="shared" si="14"/>
        <v>-4537.9291587960042</v>
      </c>
      <c r="M30" s="44">
        <f t="shared" si="14"/>
        <v>-4824.3461503591298</v>
      </c>
      <c r="N30" s="44">
        <f t="shared" si="14"/>
        <v>-5124.6584630296511</v>
      </c>
      <c r="O30" s="44">
        <f t="shared" si="14"/>
        <v>-5460.723555298513</v>
      </c>
      <c r="P30" s="44">
        <f t="shared" si="14"/>
        <v>-5815.3969159715271</v>
      </c>
      <c r="Q30" s="44">
        <f t="shared" si="14"/>
        <v>-4799.3359267834376</v>
      </c>
      <c r="R30" s="44">
        <f t="shared" si="14"/>
        <v>-3815.9482600463148</v>
      </c>
      <c r="S30" s="44">
        <f t="shared" si="14"/>
        <v>-4274.9245595342854</v>
      </c>
      <c r="T30" s="44">
        <f t="shared" si="14"/>
        <v>-4772.847816594407</v>
      </c>
      <c r="U30" s="44">
        <f t="shared" si="14"/>
        <v>-5313.1942582166157</v>
      </c>
      <c r="V30" s="44">
        <f t="shared" si="14"/>
        <v>-10137.079276860843</v>
      </c>
      <c r="W30" s="44">
        <f t="shared" si="14"/>
        <v>-13560.634978566499</v>
      </c>
      <c r="X30" s="44">
        <f t="shared" si="14"/>
        <v>-14692.692733181902</v>
      </c>
      <c r="Y30" s="44">
        <f t="shared" si="14"/>
        <v>-15940.374176518131</v>
      </c>
      <c r="Z30" s="44">
        <f t="shared" si="14"/>
        <v>-17294.318016009402</v>
      </c>
      <c r="AA30" s="44">
        <f t="shared" si="14"/>
        <v>-18761.81013137893</v>
      </c>
      <c r="AB30" s="44">
        <f t="shared" si="14"/>
        <v>-20353.487094134376</v>
      </c>
      <c r="AC30" s="44">
        <f t="shared" si="14"/>
        <v>-22079.164507789821</v>
      </c>
      <c r="AD30" s="44">
        <f t="shared" si="14"/>
        <v>-23951.678908441201</v>
      </c>
      <c r="AE30" s="44">
        <f t="shared" si="14"/>
        <v>-25981.166651783456</v>
      </c>
      <c r="AF30" s="44">
        <f t="shared" si="14"/>
        <v>-28076.108806368666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-1184.2438717916175</v>
      </c>
      <c r="C33" s="19">
        <f t="shared" ref="C33:W33" si="15">C30*C32</f>
        <v>-2081.9688033955758</v>
      </c>
      <c r="D33" s="19">
        <f t="shared" si="15"/>
        <v>-1971.0875212035603</v>
      </c>
      <c r="E33" s="19">
        <f t="shared" si="15"/>
        <v>-1880.5362709355156</v>
      </c>
      <c r="F33" s="19">
        <f t="shared" si="15"/>
        <v>-1807.4974277029985</v>
      </c>
      <c r="G33" s="19">
        <f t="shared" si="15"/>
        <v>-1420.6042241595717</v>
      </c>
      <c r="H33" s="19">
        <f t="shared" si="15"/>
        <v>-1265.7786240698176</v>
      </c>
      <c r="I33" s="19">
        <f t="shared" si="15"/>
        <v>-1338.5607856145343</v>
      </c>
      <c r="J33" s="19">
        <f t="shared" si="15"/>
        <v>-1413.8650510491063</v>
      </c>
      <c r="K33" s="19">
        <f t="shared" si="15"/>
        <v>-1499.1815829659001</v>
      </c>
      <c r="L33" s="19">
        <f t="shared" si="15"/>
        <v>-1588.2752055786013</v>
      </c>
      <c r="M33" s="19">
        <f t="shared" si="15"/>
        <v>-1688.5211526256953</v>
      </c>
      <c r="N33" s="19">
        <f t="shared" si="15"/>
        <v>-1793.6304620603778</v>
      </c>
      <c r="O33" s="19">
        <f t="shared" si="15"/>
        <v>-1911.2532443544794</v>
      </c>
      <c r="P33" s="19">
        <f t="shared" si="15"/>
        <v>-2035.3889205900343</v>
      </c>
      <c r="Q33" s="19">
        <f t="shared" si="15"/>
        <v>-1679.7675743742032</v>
      </c>
      <c r="R33" s="19">
        <f t="shared" si="15"/>
        <v>-1335.5818910162102</v>
      </c>
      <c r="S33" s="19">
        <f t="shared" si="15"/>
        <v>-1496.2235958369997</v>
      </c>
      <c r="T33" s="19">
        <f t="shared" si="15"/>
        <v>-1670.4967358080423</v>
      </c>
      <c r="U33" s="19">
        <f t="shared" si="15"/>
        <v>-1859.6179903758155</v>
      </c>
      <c r="V33" s="19">
        <f t="shared" si="15"/>
        <v>-3547.9777469012947</v>
      </c>
      <c r="W33" s="19">
        <f t="shared" si="15"/>
        <v>-4746.2222424982747</v>
      </c>
      <c r="X33" s="19">
        <f t="shared" ref="X33:AF33" si="16">X30*X32</f>
        <v>-5142.4424566136659</v>
      </c>
      <c r="Y33" s="19">
        <f t="shared" si="16"/>
        <v>-5579.1309617813458</v>
      </c>
      <c r="Z33" s="19">
        <f t="shared" si="16"/>
        <v>-6053.0113056032906</v>
      </c>
      <c r="AA33" s="19">
        <f t="shared" si="16"/>
        <v>-6566.633545982625</v>
      </c>
      <c r="AB33" s="19">
        <f t="shared" si="16"/>
        <v>-7123.7204829470311</v>
      </c>
      <c r="AC33" s="19">
        <f t="shared" si="16"/>
        <v>-7727.7075777264372</v>
      </c>
      <c r="AD33" s="19">
        <f t="shared" si="16"/>
        <v>-8383.0876179544193</v>
      </c>
      <c r="AE33" s="19">
        <f t="shared" si="16"/>
        <v>-9093.4083281242092</v>
      </c>
      <c r="AF33" s="19">
        <f t="shared" si="16"/>
        <v>-9826.6380822290321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1184.2438717916175</v>
      </c>
      <c r="D35" s="19">
        <f t="shared" si="17"/>
        <v>3266.2126751871933</v>
      </c>
      <c r="E35" s="19">
        <f t="shared" si="17"/>
        <v>5237.3001963907536</v>
      </c>
      <c r="F35" s="19">
        <f t="shared" si="17"/>
        <v>7117.8364673262695</v>
      </c>
      <c r="G35" s="19">
        <f t="shared" si="17"/>
        <v>8925.3338950292673</v>
      </c>
      <c r="H35" s="19">
        <f t="shared" si="17"/>
        <v>10345.938119188839</v>
      </c>
      <c r="I35" s="19">
        <f t="shared" si="17"/>
        <v>11611.716743258656</v>
      </c>
      <c r="J35" s="19">
        <f t="shared" si="17"/>
        <v>12950.27752887319</v>
      </c>
      <c r="K35" s="19">
        <f t="shared" si="17"/>
        <v>14364.142579922296</v>
      </c>
      <c r="L35" s="19">
        <f t="shared" si="17"/>
        <v>15863.324162888197</v>
      </c>
      <c r="M35" s="19">
        <f t="shared" si="17"/>
        <v>17451.599368466799</v>
      </c>
      <c r="N35" s="19">
        <f t="shared" si="17"/>
        <v>19140.120521092496</v>
      </c>
      <c r="O35" s="19">
        <f t="shared" si="17"/>
        <v>20933.750983152873</v>
      </c>
      <c r="P35" s="19">
        <f t="shared" si="17"/>
        <v>22845.004227507354</v>
      </c>
      <c r="Q35" s="19">
        <f t="shared" si="17"/>
        <v>24880.393148097388</v>
      </c>
      <c r="R35" s="19">
        <f t="shared" si="17"/>
        <v>25375.916850679976</v>
      </c>
      <c r="S35" s="19">
        <f t="shared" si="17"/>
        <v>25813.773810092225</v>
      </c>
      <c r="T35" s="19">
        <v>0</v>
      </c>
      <c r="U35" s="19">
        <f t="shared" ref="U35:AF35" si="18">T39</f>
        <v>1670.4967358080423</v>
      </c>
      <c r="V35" s="19">
        <f t="shared" si="18"/>
        <v>3530.1147261838578</v>
      </c>
      <c r="W35" s="19">
        <f t="shared" si="18"/>
        <v>7078.092473085153</v>
      </c>
      <c r="X35" s="19">
        <f t="shared" si="18"/>
        <v>11824.314715583427</v>
      </c>
      <c r="Y35" s="19">
        <f t="shared" si="18"/>
        <v>16966.757172197093</v>
      </c>
      <c r="Z35" s="19">
        <f t="shared" si="18"/>
        <v>22545.888133978438</v>
      </c>
      <c r="AA35" s="19">
        <f t="shared" si="18"/>
        <v>28598.899439581728</v>
      </c>
      <c r="AB35" s="19">
        <f t="shared" si="18"/>
        <v>35165.53298556435</v>
      </c>
      <c r="AC35" s="19">
        <f t="shared" si="18"/>
        <v>42289.253468511379</v>
      </c>
      <c r="AD35" s="19">
        <f t="shared" si="18"/>
        <v>50016.961046237819</v>
      </c>
      <c r="AE35" s="19">
        <f t="shared" si="18"/>
        <v>58400.04866419224</v>
      </c>
      <c r="AF35" s="19">
        <f t="shared" si="18"/>
        <v>67493.456992316453</v>
      </c>
    </row>
    <row r="36" spans="1:32">
      <c r="A36" s="21" t="s">
        <v>73</v>
      </c>
      <c r="B36" s="139">
        <f>IF(B33&lt;0,-B33,0)</f>
        <v>1184.2438717916175</v>
      </c>
      <c r="C36" s="139">
        <f t="shared" ref="C36:AF36" si="19">IF(C33&lt;0,-C33,0)</f>
        <v>2081.9688033955758</v>
      </c>
      <c r="D36" s="139">
        <f t="shared" si="19"/>
        <v>1971.0875212035603</v>
      </c>
      <c r="E36" s="139">
        <f t="shared" si="19"/>
        <v>1880.5362709355156</v>
      </c>
      <c r="F36" s="139">
        <f t="shared" si="19"/>
        <v>1807.4974277029985</v>
      </c>
      <c r="G36" s="139">
        <f t="shared" si="19"/>
        <v>1420.6042241595717</v>
      </c>
      <c r="H36" s="139">
        <f t="shared" si="19"/>
        <v>1265.7786240698176</v>
      </c>
      <c r="I36" s="139">
        <f t="shared" si="19"/>
        <v>1338.5607856145343</v>
      </c>
      <c r="J36" s="139">
        <f t="shared" si="19"/>
        <v>1413.8650510491063</v>
      </c>
      <c r="K36" s="139">
        <f t="shared" si="19"/>
        <v>1499.1815829659001</v>
      </c>
      <c r="L36" s="139">
        <f t="shared" si="19"/>
        <v>1588.2752055786013</v>
      </c>
      <c r="M36" s="139">
        <f t="shared" si="19"/>
        <v>1688.5211526256953</v>
      </c>
      <c r="N36" s="139">
        <f t="shared" si="19"/>
        <v>1793.6304620603778</v>
      </c>
      <c r="O36" s="139">
        <f t="shared" si="19"/>
        <v>1911.2532443544794</v>
      </c>
      <c r="P36" s="139">
        <f t="shared" si="19"/>
        <v>2035.3889205900343</v>
      </c>
      <c r="Q36" s="139">
        <f t="shared" si="19"/>
        <v>1679.7675743742032</v>
      </c>
      <c r="R36" s="139">
        <f t="shared" si="19"/>
        <v>1335.5818910162102</v>
      </c>
      <c r="S36" s="139">
        <f t="shared" si="19"/>
        <v>1496.2235958369997</v>
      </c>
      <c r="T36" s="139">
        <f t="shared" si="19"/>
        <v>1670.4967358080423</v>
      </c>
      <c r="U36" s="139">
        <f t="shared" si="19"/>
        <v>1859.6179903758155</v>
      </c>
      <c r="V36" s="139">
        <f t="shared" si="19"/>
        <v>3547.9777469012947</v>
      </c>
      <c r="W36" s="139">
        <f t="shared" si="19"/>
        <v>4746.2222424982747</v>
      </c>
      <c r="X36" s="139">
        <f t="shared" si="19"/>
        <v>5142.4424566136659</v>
      </c>
      <c r="Y36" s="139">
        <f t="shared" si="19"/>
        <v>5579.1309617813458</v>
      </c>
      <c r="Z36" s="139">
        <f t="shared" si="19"/>
        <v>6053.0113056032906</v>
      </c>
      <c r="AA36" s="139">
        <f t="shared" si="19"/>
        <v>6566.633545982625</v>
      </c>
      <c r="AB36" s="139">
        <f t="shared" si="19"/>
        <v>7123.7204829470311</v>
      </c>
      <c r="AC36" s="139">
        <f t="shared" si="19"/>
        <v>7727.7075777264372</v>
      </c>
      <c r="AD36" s="139">
        <f t="shared" si="19"/>
        <v>8383.0876179544193</v>
      </c>
      <c r="AE36" s="139">
        <f t="shared" si="19"/>
        <v>9093.4083281242092</v>
      </c>
      <c r="AF36" s="139">
        <f t="shared" si="19"/>
        <v>9826.6380822290321</v>
      </c>
    </row>
    <row r="37" spans="1:32">
      <c r="A37" s="13" t="s">
        <v>284</v>
      </c>
      <c r="B37" s="465">
        <v>0</v>
      </c>
      <c r="C37" s="466">
        <v>0</v>
      </c>
      <c r="D37" s="466">
        <v>0</v>
      </c>
      <c r="E37" s="466">
        <v>0</v>
      </c>
      <c r="F37" s="466">
        <v>0</v>
      </c>
      <c r="G37" s="466">
        <v>0</v>
      </c>
      <c r="H37" s="466">
        <v>0</v>
      </c>
      <c r="I37" s="466">
        <v>0</v>
      </c>
      <c r="J37" s="466">
        <v>0</v>
      </c>
      <c r="K37" s="466">
        <v>0</v>
      </c>
      <c r="L37" s="466">
        <v>0</v>
      </c>
      <c r="M37" s="466">
        <v>0</v>
      </c>
      <c r="N37" s="466">
        <v>0</v>
      </c>
      <c r="O37" s="466">
        <v>0</v>
      </c>
      <c r="P37" s="467">
        <v>0</v>
      </c>
      <c r="Q37" s="468">
        <f>IF(-SUM(B38:P38, B37:P37)&gt;B36,0,-B36-SUM(B38:P38,B37:P37))</f>
        <v>-1184.2438717916175</v>
      </c>
      <c r="R37" s="468">
        <f t="shared" ref="R37:AF37" si="20">IF(-SUM(C38:Q38, C37:Q37)&gt;C36,0,-C36-SUM(C38:Q38,C37:Q37))</f>
        <v>-897.72493160395834</v>
      </c>
      <c r="S37" s="468">
        <f t="shared" si="20"/>
        <v>0</v>
      </c>
      <c r="T37" s="468">
        <f t="shared" si="20"/>
        <v>0</v>
      </c>
      <c r="U37" s="468">
        <f t="shared" si="20"/>
        <v>0</v>
      </c>
      <c r="V37" s="468">
        <f t="shared" si="20"/>
        <v>0</v>
      </c>
      <c r="W37" s="468">
        <f t="shared" si="20"/>
        <v>0</v>
      </c>
      <c r="X37" s="468">
        <f t="shared" si="20"/>
        <v>0</v>
      </c>
      <c r="Y37" s="468">
        <f t="shared" si="20"/>
        <v>0</v>
      </c>
      <c r="Z37" s="468">
        <f t="shared" si="20"/>
        <v>0</v>
      </c>
      <c r="AA37" s="468">
        <f t="shared" si="20"/>
        <v>0</v>
      </c>
      <c r="AB37" s="468">
        <f t="shared" si="20"/>
        <v>0</v>
      </c>
      <c r="AC37" s="468">
        <f t="shared" si="20"/>
        <v>0</v>
      </c>
      <c r="AD37" s="468">
        <f t="shared" si="20"/>
        <v>0</v>
      </c>
      <c r="AE37" s="468">
        <f t="shared" si="20"/>
        <v>0</v>
      </c>
      <c r="AF37" s="468">
        <f t="shared" si="20"/>
        <v>0</v>
      </c>
    </row>
    <row r="38" spans="1:32">
      <c r="A38" s="13" t="s">
        <v>285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0</v>
      </c>
      <c r="R38" s="132">
        <f t="shared" si="21"/>
        <v>0</v>
      </c>
      <c r="S38" s="132">
        <f t="shared" si="21"/>
        <v>0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1184.2438717916175</v>
      </c>
      <c r="C39" s="132">
        <f t="shared" si="23"/>
        <v>3266.2126751871933</v>
      </c>
      <c r="D39" s="132">
        <f t="shared" si="23"/>
        <v>5237.3001963907536</v>
      </c>
      <c r="E39" s="132">
        <f t="shared" si="23"/>
        <v>7117.8364673262695</v>
      </c>
      <c r="F39" s="132">
        <f t="shared" si="23"/>
        <v>8925.3338950292673</v>
      </c>
      <c r="G39" s="132">
        <f t="shared" si="23"/>
        <v>10345.938119188839</v>
      </c>
      <c r="H39" s="132">
        <f t="shared" si="23"/>
        <v>11611.716743258656</v>
      </c>
      <c r="I39" s="132">
        <f t="shared" si="23"/>
        <v>12950.27752887319</v>
      </c>
      <c r="J39" s="132">
        <f t="shared" si="23"/>
        <v>14364.142579922296</v>
      </c>
      <c r="K39" s="132">
        <f t="shared" si="23"/>
        <v>15863.324162888197</v>
      </c>
      <c r="L39" s="132">
        <f t="shared" si="23"/>
        <v>17451.599368466799</v>
      </c>
      <c r="M39" s="132">
        <f t="shared" si="23"/>
        <v>19140.120521092496</v>
      </c>
      <c r="N39" s="132">
        <f t="shared" si="23"/>
        <v>20933.750983152873</v>
      </c>
      <c r="O39" s="132">
        <f t="shared" si="23"/>
        <v>22845.004227507354</v>
      </c>
      <c r="P39" s="132">
        <f t="shared" si="23"/>
        <v>24880.393148097388</v>
      </c>
      <c r="Q39" s="132">
        <f t="shared" si="23"/>
        <v>25375.916850679976</v>
      </c>
      <c r="R39" s="132">
        <f t="shared" si="23"/>
        <v>25813.773810092225</v>
      </c>
      <c r="S39" s="132">
        <f t="shared" si="23"/>
        <v>27309.997405929225</v>
      </c>
      <c r="T39" s="132">
        <f t="shared" si="23"/>
        <v>1670.4967358080423</v>
      </c>
      <c r="U39" s="132">
        <f t="shared" si="23"/>
        <v>3530.1147261838578</v>
      </c>
      <c r="V39" s="132">
        <f t="shared" si="23"/>
        <v>7078.092473085153</v>
      </c>
      <c r="W39" s="132">
        <f t="shared" si="23"/>
        <v>11824.314715583427</v>
      </c>
      <c r="X39" s="132">
        <f t="shared" si="23"/>
        <v>16966.757172197093</v>
      </c>
      <c r="Y39" s="132">
        <f t="shared" si="23"/>
        <v>22545.888133978438</v>
      </c>
      <c r="Z39" s="132">
        <f t="shared" si="23"/>
        <v>28598.899439581728</v>
      </c>
      <c r="AA39" s="132">
        <f t="shared" si="23"/>
        <v>35165.53298556435</v>
      </c>
      <c r="AB39" s="132">
        <f t="shared" si="23"/>
        <v>42289.253468511379</v>
      </c>
      <c r="AC39" s="132">
        <f t="shared" si="23"/>
        <v>50016.961046237819</v>
      </c>
      <c r="AD39" s="132">
        <f t="shared" si="23"/>
        <v>58400.04866419224</v>
      </c>
      <c r="AE39" s="132">
        <f t="shared" si="23"/>
        <v>67493.456992316453</v>
      </c>
      <c r="AF39" s="132">
        <f t="shared" si="23"/>
        <v>77320.09507454549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209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0</v>
      </c>
      <c r="T41" s="136">
        <f t="shared" si="24"/>
        <v>0</v>
      </c>
      <c r="U41" s="136">
        <f t="shared" si="24"/>
        <v>0</v>
      </c>
      <c r="V41" s="136">
        <f t="shared" si="24"/>
        <v>0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UAE-Lowell</v>
      </c>
    </row>
    <row r="4" spans="1:4" ht="18.75">
      <c r="A4" s="169" t="s">
        <v>120</v>
      </c>
    </row>
    <row r="6" spans="1:4" ht="13.5" thickBot="1"/>
    <row r="7" spans="1:4" ht="13.5" thickBot="1">
      <c r="A7" s="519"/>
      <c r="B7" s="475" t="s">
        <v>404</v>
      </c>
      <c r="C7" s="476" t="s">
        <v>0</v>
      </c>
      <c r="D7" s="477"/>
    </row>
    <row r="8" spans="1:4">
      <c r="A8" s="478"/>
      <c r="B8" s="292" t="s">
        <v>122</v>
      </c>
      <c r="C8" s="292" t="s">
        <v>2</v>
      </c>
      <c r="D8" s="479" t="s">
        <v>411</v>
      </c>
    </row>
    <row r="9" spans="1:4" ht="13.5" thickBot="1">
      <c r="A9" s="480" t="s">
        <v>119</v>
      </c>
      <c r="B9" s="481">
        <f>'Returns Analysis'!C39</f>
        <v>2.9802322387695314E-9</v>
      </c>
      <c r="C9" s="482">
        <f>Debt!E69</f>
        <v>1.2999999999999559</v>
      </c>
      <c r="D9" s="483">
        <f>Debt!E68</f>
        <v>1.2999999999999994</v>
      </c>
    </row>
    <row r="10" spans="1:4">
      <c r="A10" s="63"/>
      <c r="C10" s="484"/>
      <c r="D10" s="484"/>
    </row>
    <row r="11" spans="1:4" ht="13.5" thickBot="1"/>
    <row r="12" spans="1:4">
      <c r="A12" s="485" t="s">
        <v>370</v>
      </c>
      <c r="B12" s="486">
        <f>B9</f>
        <v>2.9802322387695314E-9</v>
      </c>
      <c r="C12" s="487">
        <f>C9</f>
        <v>1.2999999999999559</v>
      </c>
      <c r="D12" s="488">
        <f>D9</f>
        <v>1.2999999999999994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D26" zoomScale="75" zoomScaleNormal="75" workbookViewId="0">
      <selection activeCell="H41" sqref="H41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UAE-Lowell</v>
      </c>
    </row>
    <row r="4" spans="1:25" ht="18.75">
      <c r="A4" s="61" t="s">
        <v>186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345</v>
      </c>
      <c r="B6" s="233"/>
      <c r="C6" s="441">
        <f>Assumptions!C22</f>
        <v>6000</v>
      </c>
      <c r="D6" s="234"/>
      <c r="E6" s="234"/>
      <c r="F6" s="234"/>
      <c r="G6" s="234"/>
      <c r="H6" s="234"/>
      <c r="I6" s="235"/>
      <c r="J6" s="234"/>
      <c r="K6" s="234"/>
      <c r="L6" s="234"/>
      <c r="M6" s="234"/>
      <c r="N6" s="234"/>
      <c r="O6" s="235"/>
      <c r="P6" s="234"/>
      <c r="Q6" s="234"/>
      <c r="R6" s="234"/>
      <c r="S6" s="234"/>
      <c r="T6" s="234"/>
      <c r="U6" s="235"/>
      <c r="V6" s="234"/>
      <c r="W6" s="234"/>
      <c r="X6" s="237"/>
      <c r="Y6" s="237"/>
    </row>
    <row r="7" spans="1:25">
      <c r="A7" s="63" t="s">
        <v>193</v>
      </c>
      <c r="B7" s="233"/>
      <c r="C7" s="451">
        <f>Assumptions!H16</f>
        <v>7</v>
      </c>
      <c r="D7" s="234"/>
      <c r="E7" s="234"/>
      <c r="F7" s="234"/>
      <c r="G7" s="234"/>
      <c r="H7" s="234"/>
      <c r="I7" s="235"/>
      <c r="J7" s="234"/>
      <c r="K7" s="234"/>
      <c r="L7" s="234"/>
      <c r="M7" s="234"/>
      <c r="N7" s="234"/>
      <c r="O7" s="235"/>
      <c r="P7" s="234"/>
      <c r="Q7" s="234"/>
      <c r="R7" s="234"/>
      <c r="S7" s="234"/>
      <c r="T7" s="234"/>
      <c r="U7" s="235"/>
      <c r="V7" s="234"/>
      <c r="W7" s="234"/>
      <c r="X7" s="237"/>
      <c r="Y7" s="237"/>
    </row>
    <row r="8" spans="1:25">
      <c r="A8" s="63" t="s">
        <v>191</v>
      </c>
      <c r="B8" s="233"/>
      <c r="C8" s="524">
        <f>Assumptions!H39</f>
        <v>8.2500000000000004E-2</v>
      </c>
      <c r="D8" s="242">
        <f>C8/360</f>
        <v>2.2916666666666669E-4</v>
      </c>
      <c r="E8" s="234"/>
      <c r="F8" s="234"/>
      <c r="G8" s="234"/>
      <c r="H8" s="234"/>
      <c r="I8" s="235"/>
      <c r="J8" s="234"/>
      <c r="K8" s="234"/>
      <c r="L8" s="234"/>
      <c r="M8" s="234"/>
      <c r="N8" s="234"/>
      <c r="O8" s="235"/>
      <c r="P8" s="234"/>
      <c r="Q8" s="234"/>
      <c r="R8" s="234"/>
      <c r="S8" s="234"/>
      <c r="T8" s="234"/>
      <c r="U8" s="235"/>
      <c r="V8" s="234"/>
      <c r="W8" s="234"/>
      <c r="X8" s="237"/>
      <c r="Y8" s="237"/>
    </row>
    <row r="9" spans="1:25">
      <c r="A9" s="63"/>
      <c r="B9" s="233"/>
      <c r="C9" s="241" t="s">
        <v>192</v>
      </c>
      <c r="D9" s="241" t="s">
        <v>228</v>
      </c>
      <c r="E9" s="234"/>
      <c r="F9" s="234"/>
      <c r="G9" s="234"/>
      <c r="H9" s="234"/>
      <c r="I9" s="235"/>
      <c r="J9" s="234"/>
      <c r="K9" s="234"/>
      <c r="L9" s="234"/>
      <c r="M9" s="234"/>
      <c r="N9" s="234"/>
      <c r="O9" s="235"/>
      <c r="P9" s="234"/>
      <c r="Q9" s="234"/>
      <c r="R9" s="234"/>
      <c r="S9" s="234"/>
      <c r="T9" s="234"/>
      <c r="U9" s="235"/>
      <c r="V9" s="234"/>
      <c r="W9" s="234"/>
      <c r="X9" s="237"/>
      <c r="Y9" s="237"/>
    </row>
    <row r="10" spans="1:25">
      <c r="A10" s="63"/>
      <c r="B10" s="233"/>
      <c r="C10" s="241"/>
      <c r="D10" s="241"/>
      <c r="E10" s="234"/>
      <c r="F10" s="234"/>
      <c r="G10" s="234"/>
      <c r="H10" s="234"/>
      <c r="I10" s="235"/>
      <c r="J10" s="234"/>
      <c r="K10" s="234"/>
      <c r="L10" s="234"/>
      <c r="M10" s="234"/>
      <c r="N10" s="234"/>
      <c r="O10" s="235"/>
      <c r="P10" s="234"/>
      <c r="Q10" s="234"/>
      <c r="R10" s="234"/>
      <c r="S10" s="234"/>
      <c r="T10" s="234"/>
      <c r="U10" s="235"/>
      <c r="V10" s="234"/>
      <c r="W10" s="234"/>
      <c r="X10" s="237"/>
      <c r="Y10" s="237"/>
    </row>
    <row r="11" spans="1:25">
      <c r="A11" s="63"/>
      <c r="B11" s="233"/>
      <c r="C11" s="241"/>
      <c r="D11" s="241"/>
      <c r="E11" s="234"/>
      <c r="F11" s="234"/>
      <c r="G11" s="234"/>
      <c r="H11" s="234"/>
      <c r="I11" s="235"/>
      <c r="J11" s="234"/>
      <c r="K11" s="234"/>
      <c r="L11" s="234"/>
      <c r="M11" s="234"/>
      <c r="N11" s="234"/>
      <c r="O11" s="235"/>
      <c r="P11" s="234"/>
      <c r="Q11" s="234"/>
      <c r="R11" s="234"/>
      <c r="S11" s="234"/>
      <c r="T11" s="234"/>
      <c r="U11" s="235"/>
      <c r="V11" s="234"/>
      <c r="W11" s="234"/>
      <c r="X11" s="237"/>
      <c r="Y11" s="237"/>
    </row>
    <row r="12" spans="1:25">
      <c r="A12" s="5"/>
      <c r="B12" s="230"/>
      <c r="C12" s="230"/>
      <c r="D12" s="231" t="s">
        <v>180</v>
      </c>
      <c r="E12" s="229" t="s">
        <v>187</v>
      </c>
      <c r="F12" s="230"/>
      <c r="G12" s="230"/>
      <c r="H12" s="230"/>
      <c r="I12" s="230"/>
      <c r="J12" s="225"/>
    </row>
    <row r="13" spans="1:25">
      <c r="A13" s="229" t="s">
        <v>177</v>
      </c>
      <c r="B13" s="5"/>
      <c r="C13" s="5"/>
      <c r="D13" s="231" t="s">
        <v>188</v>
      </c>
      <c r="E13" s="231" t="s">
        <v>181</v>
      </c>
      <c r="F13" s="231" t="s">
        <v>182</v>
      </c>
      <c r="G13" s="236" t="s">
        <v>183</v>
      </c>
      <c r="H13" s="231" t="s">
        <v>184</v>
      </c>
      <c r="I13" s="231" t="s">
        <v>185</v>
      </c>
      <c r="J13" s="66"/>
    </row>
    <row r="14" spans="1:25">
      <c r="A14" s="226" t="s">
        <v>178</v>
      </c>
      <c r="B14" s="226" t="s">
        <v>129</v>
      </c>
      <c r="C14" s="226" t="s">
        <v>179</v>
      </c>
      <c r="D14" s="226" t="s">
        <v>190</v>
      </c>
      <c r="E14" s="226" t="s">
        <v>190</v>
      </c>
      <c r="F14" s="226" t="s">
        <v>190</v>
      </c>
      <c r="G14" s="226" t="s">
        <v>190</v>
      </c>
      <c r="H14" s="226" t="s">
        <v>190</v>
      </c>
      <c r="I14" s="226" t="s">
        <v>190</v>
      </c>
      <c r="J14" s="66"/>
    </row>
    <row r="15" spans="1:25">
      <c r="A15" s="227">
        <v>1</v>
      </c>
      <c r="B15" s="228">
        <v>36617</v>
      </c>
      <c r="C15" s="267">
        <f>HLOOKUP(Assumptions!$H$12,IDC!$I$40:$M$56,2+F42)</f>
        <v>0.17</v>
      </c>
      <c r="D15" s="238">
        <f>D59*Assumptions!H12</f>
        <v>28520.899214663415</v>
      </c>
      <c r="E15" s="239">
        <f t="shared" ref="E15:E33" si="0">C15*$C$6</f>
        <v>1020.0000000000001</v>
      </c>
      <c r="F15" s="239">
        <f t="shared" ref="F15:F33" si="1">+E15+D15</f>
        <v>29540.899214663415</v>
      </c>
      <c r="G15" s="239">
        <f>F15+H15</f>
        <v>29540.899214663415</v>
      </c>
      <c r="H15" s="239">
        <v>0</v>
      </c>
      <c r="I15" s="239">
        <v>0</v>
      </c>
      <c r="K15" s="439"/>
    </row>
    <row r="16" spans="1:25">
      <c r="A16" s="227">
        <f t="shared" ref="A16:A33" si="2">A15+1</f>
        <v>2</v>
      </c>
      <c r="B16" s="228">
        <v>36647</v>
      </c>
      <c r="C16" s="267">
        <f>HLOOKUP(Assumptions!$H$12,IDC!$I$40:$M$56,2+F43)</f>
        <v>0.16</v>
      </c>
      <c r="D16" s="238">
        <v>0</v>
      </c>
      <c r="E16" s="239">
        <f t="shared" si="0"/>
        <v>960</v>
      </c>
      <c r="F16" s="239">
        <f t="shared" si="1"/>
        <v>960</v>
      </c>
      <c r="G16" s="239">
        <f t="shared" ref="G16:G33" si="3">F16+G15+H16</f>
        <v>30703.992896764226</v>
      </c>
      <c r="H16" s="239">
        <f>IF(A16&gt;$C$7+1,0,G15*(B16-B15)*$D$8)</f>
        <v>203.09368210081101</v>
      </c>
      <c r="I16" s="239">
        <f>IF(A16&lt;=$C$7+1,H16+I15,I15)</f>
        <v>203.09368210081101</v>
      </c>
      <c r="K16" s="439"/>
    </row>
    <row r="17" spans="1:11">
      <c r="A17" s="227">
        <f t="shared" si="2"/>
        <v>3</v>
      </c>
      <c r="B17" s="228">
        <v>36678</v>
      </c>
      <c r="C17" s="267">
        <f>HLOOKUP(Assumptions!$H$12,IDC!$I$40:$M$56,2+F44)</f>
        <v>0.16</v>
      </c>
      <c r="D17" s="238">
        <v>0</v>
      </c>
      <c r="E17" s="239">
        <f t="shared" si="0"/>
        <v>960</v>
      </c>
      <c r="F17" s="239">
        <f t="shared" si="1"/>
        <v>960</v>
      </c>
      <c r="G17" s="239">
        <f t="shared" si="3"/>
        <v>31882.119179634989</v>
      </c>
      <c r="H17" s="239">
        <f t="shared" ref="H17:H33" si="4">IF(A17&gt;$C$7+1,0,G16*(B17-B16)*$D$8)</f>
        <v>218.12628287076257</v>
      </c>
      <c r="I17" s="239">
        <f t="shared" ref="I17:I33" si="5">IF(A17&lt;=$C$7+1,H17+I16,I16)</f>
        <v>421.21996497157357</v>
      </c>
      <c r="K17" s="439"/>
    </row>
    <row r="18" spans="1:11">
      <c r="A18" s="227">
        <f t="shared" si="2"/>
        <v>4</v>
      </c>
      <c r="B18" s="228">
        <v>36708</v>
      </c>
      <c r="C18" s="267">
        <f>HLOOKUP(Assumptions!$H$12,IDC!$I$40:$M$56,2+F45)</f>
        <v>0.16</v>
      </c>
      <c r="D18" s="238">
        <v>0</v>
      </c>
      <c r="E18" s="239">
        <f t="shared" si="0"/>
        <v>960</v>
      </c>
      <c r="F18" s="239">
        <f t="shared" si="1"/>
        <v>960</v>
      </c>
      <c r="G18" s="239">
        <f t="shared" si="3"/>
        <v>33061.308748994976</v>
      </c>
      <c r="H18" s="239">
        <f t="shared" si="4"/>
        <v>219.18956935999057</v>
      </c>
      <c r="I18" s="239">
        <f t="shared" si="5"/>
        <v>640.40953433156415</v>
      </c>
      <c r="K18" s="439"/>
    </row>
    <row r="19" spans="1:11">
      <c r="A19" s="227">
        <f t="shared" si="2"/>
        <v>5</v>
      </c>
      <c r="B19" s="228">
        <v>36739</v>
      </c>
      <c r="C19" s="267">
        <f>HLOOKUP(Assumptions!$H$12,IDC!$I$40:$M$56,2+F46)</f>
        <v>0.17</v>
      </c>
      <c r="D19" s="238">
        <v>0</v>
      </c>
      <c r="E19" s="239">
        <f t="shared" si="0"/>
        <v>1020.0000000000001</v>
      </c>
      <c r="F19" s="239">
        <f t="shared" si="1"/>
        <v>1020.0000000000001</v>
      </c>
      <c r="G19" s="239">
        <f t="shared" si="3"/>
        <v>34316.181796565957</v>
      </c>
      <c r="H19" s="239">
        <f t="shared" si="4"/>
        <v>234.87304757098516</v>
      </c>
      <c r="I19" s="239">
        <f t="shared" si="5"/>
        <v>875.28258190254928</v>
      </c>
      <c r="K19" s="439"/>
    </row>
    <row r="20" spans="1:11">
      <c r="A20" s="227">
        <f t="shared" si="2"/>
        <v>6</v>
      </c>
      <c r="B20" s="228">
        <v>36770</v>
      </c>
      <c r="C20" s="267">
        <f>HLOOKUP(Assumptions!$H$12,IDC!$I$40:$M$56,2+F47)</f>
        <v>0.18</v>
      </c>
      <c r="D20" s="238">
        <v>0</v>
      </c>
      <c r="E20" s="239">
        <f t="shared" si="0"/>
        <v>1080</v>
      </c>
      <c r="F20" s="239">
        <f t="shared" si="1"/>
        <v>1080</v>
      </c>
      <c r="G20" s="239">
        <f t="shared" si="3"/>
        <v>35639.969671412393</v>
      </c>
      <c r="H20" s="239">
        <f t="shared" si="4"/>
        <v>243.78787484643738</v>
      </c>
      <c r="I20" s="239">
        <f t="shared" si="5"/>
        <v>1119.0704567489865</v>
      </c>
      <c r="K20" s="439"/>
    </row>
    <row r="21" spans="1:11">
      <c r="A21" s="227">
        <f t="shared" si="2"/>
        <v>7</v>
      </c>
      <c r="B21" s="228">
        <v>36800</v>
      </c>
      <c r="C21" s="267">
        <f>HLOOKUP(Assumptions!$H$12,IDC!$I$40:$M$56,2+F48)</f>
        <v>0</v>
      </c>
      <c r="D21" s="238">
        <v>0</v>
      </c>
      <c r="E21" s="239">
        <f t="shared" si="0"/>
        <v>0</v>
      </c>
      <c r="F21" s="239">
        <f t="shared" si="1"/>
        <v>0</v>
      </c>
      <c r="G21" s="239">
        <f t="shared" si="3"/>
        <v>35884.994462903356</v>
      </c>
      <c r="H21" s="239">
        <f t="shared" si="4"/>
        <v>245.02479149096024</v>
      </c>
      <c r="I21" s="239">
        <f t="shared" si="5"/>
        <v>1364.0952482399468</v>
      </c>
      <c r="K21" s="439"/>
    </row>
    <row r="22" spans="1:11">
      <c r="A22" s="227">
        <f t="shared" si="2"/>
        <v>8</v>
      </c>
      <c r="B22" s="228">
        <v>36831</v>
      </c>
      <c r="C22" s="267">
        <f>HLOOKUP(Assumptions!$H$12,IDC!$I$40:$M$56,2+F49)</f>
        <v>0</v>
      </c>
      <c r="D22" s="238">
        <v>0</v>
      </c>
      <c r="E22" s="239">
        <f t="shared" si="0"/>
        <v>0</v>
      </c>
      <c r="F22" s="239">
        <f t="shared" si="1"/>
        <v>0</v>
      </c>
      <c r="G22" s="239">
        <f t="shared" si="3"/>
        <v>36139.927444400229</v>
      </c>
      <c r="H22" s="239">
        <f t="shared" si="4"/>
        <v>254.93298149687595</v>
      </c>
      <c r="I22" s="239">
        <f t="shared" si="5"/>
        <v>1619.0282297368228</v>
      </c>
      <c r="K22" s="439"/>
    </row>
    <row r="23" spans="1:11">
      <c r="A23" s="227">
        <f t="shared" si="2"/>
        <v>9</v>
      </c>
      <c r="B23" s="228">
        <v>36861</v>
      </c>
      <c r="C23" s="267">
        <f>HLOOKUP(Assumptions!$H$12,IDC!$I$40:$M$56,2+F50)</f>
        <v>0</v>
      </c>
      <c r="D23" s="238">
        <v>0</v>
      </c>
      <c r="E23" s="239">
        <f t="shared" si="0"/>
        <v>0</v>
      </c>
      <c r="F23" s="239">
        <f t="shared" si="1"/>
        <v>0</v>
      </c>
      <c r="G23" s="239">
        <f t="shared" si="3"/>
        <v>36139.927444400229</v>
      </c>
      <c r="H23" s="239">
        <f t="shared" si="4"/>
        <v>0</v>
      </c>
      <c r="I23" s="239">
        <f t="shared" si="5"/>
        <v>1619.0282297368228</v>
      </c>
      <c r="K23" s="439"/>
    </row>
    <row r="24" spans="1:11">
      <c r="A24" s="227">
        <f t="shared" si="2"/>
        <v>10</v>
      </c>
      <c r="B24" s="228">
        <v>36892</v>
      </c>
      <c r="C24" s="267">
        <f>HLOOKUP(Assumptions!$H$12,IDC!$I$40:$M$56,2+F51)</f>
        <v>0</v>
      </c>
      <c r="D24" s="238">
        <v>0</v>
      </c>
      <c r="E24" s="239">
        <f t="shared" si="0"/>
        <v>0</v>
      </c>
      <c r="F24" s="239">
        <f t="shared" si="1"/>
        <v>0</v>
      </c>
      <c r="G24" s="239">
        <f t="shared" si="3"/>
        <v>36139.927444400229</v>
      </c>
      <c r="H24" s="239">
        <f t="shared" si="4"/>
        <v>0</v>
      </c>
      <c r="I24" s="239">
        <f t="shared" si="5"/>
        <v>1619.0282297368228</v>
      </c>
      <c r="K24" s="439"/>
    </row>
    <row r="25" spans="1:11">
      <c r="A25" s="227">
        <f t="shared" si="2"/>
        <v>11</v>
      </c>
      <c r="B25" s="228">
        <v>36923</v>
      </c>
      <c r="C25" s="267">
        <f>HLOOKUP(Assumptions!$H$12,IDC!$I$40:$M$56,2+F52)</f>
        <v>0</v>
      </c>
      <c r="D25" s="238">
        <v>0</v>
      </c>
      <c r="E25" s="239">
        <f t="shared" si="0"/>
        <v>0</v>
      </c>
      <c r="F25" s="239">
        <f t="shared" si="1"/>
        <v>0</v>
      </c>
      <c r="G25" s="239">
        <f t="shared" si="3"/>
        <v>36139.927444400229</v>
      </c>
      <c r="H25" s="239">
        <f t="shared" si="4"/>
        <v>0</v>
      </c>
      <c r="I25" s="239">
        <f t="shared" si="5"/>
        <v>1619.0282297368228</v>
      </c>
      <c r="K25" s="439"/>
    </row>
    <row r="26" spans="1:11">
      <c r="A26" s="227">
        <f t="shared" si="2"/>
        <v>12</v>
      </c>
      <c r="B26" s="228">
        <v>36951</v>
      </c>
      <c r="C26" s="267">
        <f>HLOOKUP(Assumptions!$H$12,IDC!$I$40:$M$56,2+F53)</f>
        <v>0</v>
      </c>
      <c r="D26" s="238">
        <v>0</v>
      </c>
      <c r="E26" s="239">
        <f t="shared" si="0"/>
        <v>0</v>
      </c>
      <c r="F26" s="239">
        <f t="shared" si="1"/>
        <v>0</v>
      </c>
      <c r="G26" s="239">
        <f t="shared" si="3"/>
        <v>36139.927444400229</v>
      </c>
      <c r="H26" s="239">
        <f t="shared" si="4"/>
        <v>0</v>
      </c>
      <c r="I26" s="239">
        <f t="shared" si="5"/>
        <v>1619.0282297368228</v>
      </c>
      <c r="K26" s="439"/>
    </row>
    <row r="27" spans="1:11">
      <c r="A27" s="227">
        <f t="shared" si="2"/>
        <v>13</v>
      </c>
      <c r="B27" s="228">
        <v>36982</v>
      </c>
      <c r="C27" s="267">
        <f>HLOOKUP(Assumptions!$H$12,IDC!$I$40:$M$56,2+F54)</f>
        <v>0</v>
      </c>
      <c r="D27" s="238">
        <v>0</v>
      </c>
      <c r="E27" s="239">
        <f t="shared" si="0"/>
        <v>0</v>
      </c>
      <c r="F27" s="239">
        <f t="shared" si="1"/>
        <v>0</v>
      </c>
      <c r="G27" s="239">
        <f t="shared" si="3"/>
        <v>36139.927444400229</v>
      </c>
      <c r="H27" s="239">
        <f t="shared" si="4"/>
        <v>0</v>
      </c>
      <c r="I27" s="239">
        <f t="shared" si="5"/>
        <v>1619.0282297368228</v>
      </c>
      <c r="K27" s="439"/>
    </row>
    <row r="28" spans="1:11">
      <c r="A28" s="227">
        <f t="shared" si="2"/>
        <v>14</v>
      </c>
      <c r="B28" s="228">
        <v>37012</v>
      </c>
      <c r="C28" s="267">
        <f>HLOOKUP(Assumptions!$H$12,IDC!$I$40:$M$56,2+F55)</f>
        <v>0</v>
      </c>
      <c r="D28" s="238">
        <v>0</v>
      </c>
      <c r="E28" s="239">
        <f t="shared" si="0"/>
        <v>0</v>
      </c>
      <c r="F28" s="239">
        <f t="shared" si="1"/>
        <v>0</v>
      </c>
      <c r="G28" s="239">
        <f t="shared" si="3"/>
        <v>36139.927444400229</v>
      </c>
      <c r="H28" s="239">
        <f t="shared" si="4"/>
        <v>0</v>
      </c>
      <c r="I28" s="239">
        <f t="shared" si="5"/>
        <v>1619.0282297368228</v>
      </c>
      <c r="K28" s="439"/>
    </row>
    <row r="29" spans="1:11">
      <c r="A29" s="227">
        <f t="shared" si="2"/>
        <v>15</v>
      </c>
      <c r="B29" s="228">
        <v>37043</v>
      </c>
      <c r="C29" s="267">
        <f>HLOOKUP(Assumptions!$H$12,IDC!$I$40:$M$56,2+F56)</f>
        <v>0</v>
      </c>
      <c r="D29" s="238">
        <v>0</v>
      </c>
      <c r="E29" s="239">
        <f t="shared" si="0"/>
        <v>0</v>
      </c>
      <c r="F29" s="239">
        <f t="shared" si="1"/>
        <v>0</v>
      </c>
      <c r="G29" s="239">
        <f t="shared" si="3"/>
        <v>36139.927444400229</v>
      </c>
      <c r="H29" s="239">
        <f t="shared" si="4"/>
        <v>0</v>
      </c>
      <c r="I29" s="239">
        <f t="shared" si="5"/>
        <v>1619.0282297368228</v>
      </c>
      <c r="K29" s="439"/>
    </row>
    <row r="30" spans="1:11">
      <c r="A30" s="227">
        <f t="shared" si="2"/>
        <v>16</v>
      </c>
      <c r="B30" s="228">
        <v>37073</v>
      </c>
      <c r="C30" s="267">
        <v>0</v>
      </c>
      <c r="D30" s="238">
        <v>0</v>
      </c>
      <c r="E30" s="239">
        <f t="shared" si="0"/>
        <v>0</v>
      </c>
      <c r="F30" s="239">
        <f t="shared" si="1"/>
        <v>0</v>
      </c>
      <c r="G30" s="239">
        <f t="shared" si="3"/>
        <v>36139.927444400229</v>
      </c>
      <c r="H30" s="239">
        <f t="shared" si="4"/>
        <v>0</v>
      </c>
      <c r="I30" s="239">
        <f t="shared" si="5"/>
        <v>1619.0282297368228</v>
      </c>
      <c r="K30" s="439"/>
    </row>
    <row r="31" spans="1:11">
      <c r="A31" s="227">
        <f t="shared" si="2"/>
        <v>17</v>
      </c>
      <c r="B31" s="228">
        <v>37104</v>
      </c>
      <c r="C31" s="267">
        <v>0</v>
      </c>
      <c r="D31" s="238">
        <v>0</v>
      </c>
      <c r="E31" s="239">
        <f t="shared" si="0"/>
        <v>0</v>
      </c>
      <c r="F31" s="239">
        <f t="shared" si="1"/>
        <v>0</v>
      </c>
      <c r="G31" s="239">
        <f t="shared" si="3"/>
        <v>36139.927444400229</v>
      </c>
      <c r="H31" s="239">
        <f t="shared" si="4"/>
        <v>0</v>
      </c>
      <c r="I31" s="239">
        <f t="shared" si="5"/>
        <v>1619.0282297368228</v>
      </c>
      <c r="K31" s="439"/>
    </row>
    <row r="32" spans="1:11">
      <c r="A32" s="227">
        <f t="shared" si="2"/>
        <v>18</v>
      </c>
      <c r="B32" s="228">
        <v>37135</v>
      </c>
      <c r="C32" s="267">
        <v>0</v>
      </c>
      <c r="D32" s="238">
        <v>0</v>
      </c>
      <c r="E32" s="239">
        <f t="shared" si="0"/>
        <v>0</v>
      </c>
      <c r="F32" s="239">
        <f t="shared" si="1"/>
        <v>0</v>
      </c>
      <c r="G32" s="239">
        <f t="shared" si="3"/>
        <v>36139.927444400229</v>
      </c>
      <c r="H32" s="239">
        <f t="shared" si="4"/>
        <v>0</v>
      </c>
      <c r="I32" s="239">
        <f t="shared" si="5"/>
        <v>1619.0282297368228</v>
      </c>
      <c r="K32" s="439"/>
    </row>
    <row r="33" spans="1:13">
      <c r="A33" s="227">
        <f t="shared" si="2"/>
        <v>19</v>
      </c>
      <c r="B33" s="228">
        <v>37165</v>
      </c>
      <c r="C33" s="438">
        <v>0</v>
      </c>
      <c r="D33" s="243">
        <v>0</v>
      </c>
      <c r="E33" s="244">
        <f t="shared" si="0"/>
        <v>0</v>
      </c>
      <c r="F33" s="244">
        <f t="shared" si="1"/>
        <v>0</v>
      </c>
      <c r="G33" s="244">
        <f t="shared" si="3"/>
        <v>36139.927444400229</v>
      </c>
      <c r="H33" s="244">
        <f t="shared" si="4"/>
        <v>0</v>
      </c>
      <c r="I33" s="244">
        <f t="shared" si="5"/>
        <v>1619.0282297368228</v>
      </c>
      <c r="K33" s="439"/>
    </row>
    <row r="34" spans="1:13">
      <c r="C34" s="232">
        <f>SUM(C15:C33)</f>
        <v>1</v>
      </c>
      <c r="D34" s="240">
        <f>SUM(D15:D33)</f>
        <v>28520.899214663415</v>
      </c>
      <c r="E34" s="240">
        <f>SUM(E15:E33)</f>
        <v>6000</v>
      </c>
      <c r="F34" s="240">
        <f>SUM(F15:F33)</f>
        <v>34520.899214663419</v>
      </c>
      <c r="G34" s="18"/>
      <c r="H34" s="240">
        <f>SUM(H15:H33)</f>
        <v>1619.0282297368228</v>
      </c>
      <c r="I34" s="240"/>
    </row>
    <row r="38" spans="1:13" ht="18.75">
      <c r="A38" s="61" t="s">
        <v>224</v>
      </c>
      <c r="B38" s="282"/>
      <c r="F38"/>
      <c r="G38"/>
      <c r="H38"/>
      <c r="I38"/>
      <c r="J38"/>
      <c r="K38"/>
      <c r="L38"/>
    </row>
    <row r="39" spans="1:13" ht="13.5" thickBot="1">
      <c r="F39" s="404" t="s">
        <v>422</v>
      </c>
    </row>
    <row r="40" spans="1:13">
      <c r="F40" s="421"/>
      <c r="G40" s="418" t="s">
        <v>331</v>
      </c>
      <c r="H40" s="418">
        <v>1</v>
      </c>
      <c r="I40" s="418">
        <v>2</v>
      </c>
      <c r="J40" s="418">
        <v>3</v>
      </c>
      <c r="K40" s="418">
        <v>4</v>
      </c>
      <c r="L40" s="418">
        <v>5</v>
      </c>
      <c r="M40" s="419">
        <v>6</v>
      </c>
    </row>
    <row r="41" spans="1:13" ht="13.5" thickBot="1">
      <c r="A41" s="229" t="s">
        <v>332</v>
      </c>
      <c r="B41" s="229" t="s">
        <v>334</v>
      </c>
      <c r="C41" s="229" t="s">
        <v>336</v>
      </c>
      <c r="D41" s="229" t="s">
        <v>223</v>
      </c>
      <c r="F41" s="422" t="s">
        <v>178</v>
      </c>
      <c r="G41" s="420" t="s">
        <v>341</v>
      </c>
      <c r="H41" s="632">
        <v>5.5</v>
      </c>
      <c r="I41" s="632">
        <v>6</v>
      </c>
      <c r="J41" s="632">
        <v>6.5</v>
      </c>
      <c r="K41" s="632">
        <v>7</v>
      </c>
      <c r="L41" s="632">
        <v>7.5</v>
      </c>
      <c r="M41" s="633">
        <v>8</v>
      </c>
    </row>
    <row r="42" spans="1:13" ht="13.5" thickBot="1">
      <c r="A42" s="229" t="s">
        <v>333</v>
      </c>
      <c r="B42" s="229" t="s">
        <v>335</v>
      </c>
      <c r="C42" s="229" t="s">
        <v>337</v>
      </c>
      <c r="D42" s="229" t="s">
        <v>338</v>
      </c>
      <c r="F42" s="423">
        <v>1</v>
      </c>
      <c r="G42" s="410"/>
      <c r="H42" s="521">
        <v>0.17</v>
      </c>
      <c r="I42" s="521">
        <v>0.17</v>
      </c>
      <c r="J42" s="521">
        <v>0.17</v>
      </c>
      <c r="K42" s="411">
        <v>0.17</v>
      </c>
      <c r="L42" s="411">
        <v>0.17</v>
      </c>
      <c r="M42" s="412">
        <v>0.17</v>
      </c>
    </row>
    <row r="43" spans="1:13">
      <c r="A43" s="427" t="s">
        <v>222</v>
      </c>
      <c r="B43" s="428">
        <v>3</v>
      </c>
      <c r="C43" s="429">
        <v>36737</v>
      </c>
      <c r="D43" s="430">
        <v>36829</v>
      </c>
      <c r="F43" s="424">
        <v>2</v>
      </c>
      <c r="G43" s="178"/>
      <c r="H43" s="522">
        <v>0.16</v>
      </c>
      <c r="I43" s="522">
        <v>0.16</v>
      </c>
      <c r="J43" s="522">
        <v>0.16</v>
      </c>
      <c r="K43" s="413">
        <v>0.12</v>
      </c>
      <c r="L43" s="413">
        <v>0.12</v>
      </c>
      <c r="M43" s="414">
        <v>0.12</v>
      </c>
    </row>
    <row r="44" spans="1:13">
      <c r="A44" s="431" t="s">
        <v>221</v>
      </c>
      <c r="B44" s="425">
        <v>3</v>
      </c>
      <c r="C44" s="426">
        <v>36768</v>
      </c>
      <c r="D44" s="432">
        <v>36829</v>
      </c>
      <c r="F44" s="424">
        <v>3</v>
      </c>
      <c r="G44" s="178"/>
      <c r="H44" s="522">
        <v>0.16</v>
      </c>
      <c r="I44" s="522">
        <v>0.16</v>
      </c>
      <c r="J44" s="522">
        <v>0.13</v>
      </c>
      <c r="K44" s="413">
        <v>0.12</v>
      </c>
      <c r="L44" s="413">
        <v>0.12</v>
      </c>
      <c r="M44" s="414">
        <v>0.12</v>
      </c>
    </row>
    <row r="45" spans="1:13">
      <c r="A45" s="431" t="s">
        <v>220</v>
      </c>
      <c r="B45" s="425">
        <v>2</v>
      </c>
      <c r="C45" s="426">
        <v>36799</v>
      </c>
      <c r="D45" s="432">
        <v>36829</v>
      </c>
      <c r="F45" s="424">
        <v>4</v>
      </c>
      <c r="G45" s="178"/>
      <c r="H45" s="522">
        <v>0.16</v>
      </c>
      <c r="I45" s="522">
        <v>0.16</v>
      </c>
      <c r="J45" s="522">
        <v>0.16</v>
      </c>
      <c r="K45" s="413">
        <v>0.14000000000000001</v>
      </c>
      <c r="L45" s="413">
        <v>0.14000000000000001</v>
      </c>
      <c r="M45" s="414">
        <v>0.14000000000000001</v>
      </c>
    </row>
    <row r="46" spans="1:13">
      <c r="A46" s="431" t="s">
        <v>219</v>
      </c>
      <c r="B46" s="425">
        <v>3</v>
      </c>
      <c r="C46" s="426">
        <v>36829</v>
      </c>
      <c r="D46" s="432">
        <v>36829</v>
      </c>
      <c r="F46" s="424">
        <v>5</v>
      </c>
      <c r="G46" s="178"/>
      <c r="H46" s="522">
        <v>0.17</v>
      </c>
      <c r="I46" s="522">
        <v>0.17</v>
      </c>
      <c r="J46" s="522">
        <v>0.16</v>
      </c>
      <c r="K46" s="413">
        <v>0.18</v>
      </c>
      <c r="L46" s="413">
        <v>0.13</v>
      </c>
      <c r="M46" s="414">
        <v>0.13</v>
      </c>
    </row>
    <row r="47" spans="1:13">
      <c r="A47" s="431" t="s">
        <v>218</v>
      </c>
      <c r="B47" s="425">
        <v>2</v>
      </c>
      <c r="C47" s="426">
        <v>36860</v>
      </c>
      <c r="D47" s="432">
        <v>36860</v>
      </c>
      <c r="F47" s="424">
        <v>6</v>
      </c>
      <c r="G47" s="178"/>
      <c r="H47" s="522">
        <v>0.18</v>
      </c>
      <c r="I47" s="522">
        <v>0.18</v>
      </c>
      <c r="J47" s="522">
        <v>0.12</v>
      </c>
      <c r="K47" s="413">
        <v>0.12</v>
      </c>
      <c r="L47" s="413">
        <v>0.12</v>
      </c>
      <c r="M47" s="414">
        <v>0.12</v>
      </c>
    </row>
    <row r="48" spans="1:13">
      <c r="A48" s="433" t="s">
        <v>217</v>
      </c>
      <c r="B48" s="425">
        <v>2</v>
      </c>
      <c r="C48" s="426">
        <v>36890</v>
      </c>
      <c r="D48" s="432">
        <v>36890</v>
      </c>
      <c r="F48" s="424">
        <v>7</v>
      </c>
      <c r="G48" s="178"/>
      <c r="H48" s="522">
        <v>0</v>
      </c>
      <c r="I48" s="522">
        <v>0</v>
      </c>
      <c r="J48" s="522">
        <v>0.1</v>
      </c>
      <c r="K48" s="413">
        <v>0.15</v>
      </c>
      <c r="L48" s="413">
        <v>0.1</v>
      </c>
      <c r="M48" s="414">
        <v>0.1</v>
      </c>
    </row>
    <row r="49" spans="1:13">
      <c r="A49" s="433" t="s">
        <v>216</v>
      </c>
      <c r="B49" s="425">
        <v>3</v>
      </c>
      <c r="C49" s="426">
        <v>36555</v>
      </c>
      <c r="D49" s="432">
        <v>36555</v>
      </c>
      <c r="F49" s="424">
        <v>8</v>
      </c>
      <c r="G49" s="178"/>
      <c r="H49" s="522">
        <v>0</v>
      </c>
      <c r="I49" s="522">
        <v>0</v>
      </c>
      <c r="J49" s="522">
        <v>0</v>
      </c>
      <c r="K49" s="413">
        <v>0</v>
      </c>
      <c r="L49" s="413">
        <v>0.1</v>
      </c>
      <c r="M49" s="414">
        <v>0.1</v>
      </c>
    </row>
    <row r="50" spans="1:13">
      <c r="A50" s="433" t="s">
        <v>215</v>
      </c>
      <c r="B50" s="425">
        <v>2</v>
      </c>
      <c r="C50" s="426">
        <v>36950</v>
      </c>
      <c r="D50" s="432">
        <v>36950</v>
      </c>
      <c r="F50" s="424">
        <v>9</v>
      </c>
      <c r="G50" s="178"/>
      <c r="H50" s="522">
        <v>0</v>
      </c>
      <c r="I50" s="522">
        <v>0</v>
      </c>
      <c r="J50" s="522">
        <v>0</v>
      </c>
      <c r="K50" s="413">
        <v>0</v>
      </c>
      <c r="L50" s="413">
        <v>0</v>
      </c>
      <c r="M50" s="414">
        <v>0</v>
      </c>
    </row>
    <row r="51" spans="1:13">
      <c r="A51" s="433" t="s">
        <v>214</v>
      </c>
      <c r="B51" s="425">
        <v>2</v>
      </c>
      <c r="C51" s="426">
        <v>36980</v>
      </c>
      <c r="D51" s="432">
        <v>36980</v>
      </c>
      <c r="F51" s="424">
        <v>10</v>
      </c>
      <c r="G51" s="178"/>
      <c r="H51" s="522">
        <v>0</v>
      </c>
      <c r="I51" s="522">
        <v>0</v>
      </c>
      <c r="J51" s="522">
        <v>0</v>
      </c>
      <c r="K51" s="413">
        <v>0</v>
      </c>
      <c r="L51" s="413">
        <v>0</v>
      </c>
      <c r="M51" s="414">
        <v>0</v>
      </c>
    </row>
    <row r="52" spans="1:13" ht="13.5" thickBot="1">
      <c r="A52" s="434" t="s">
        <v>213</v>
      </c>
      <c r="B52" s="435">
        <v>2</v>
      </c>
      <c r="C52" s="436">
        <v>37011</v>
      </c>
      <c r="D52" s="437">
        <v>37011</v>
      </c>
      <c r="F52" s="424">
        <v>11</v>
      </c>
      <c r="G52" s="178"/>
      <c r="H52" s="522">
        <v>0</v>
      </c>
      <c r="I52" s="522">
        <v>0</v>
      </c>
      <c r="J52" s="522">
        <v>0</v>
      </c>
      <c r="K52" s="413">
        <v>0</v>
      </c>
      <c r="L52" s="413">
        <v>0</v>
      </c>
      <c r="M52" s="414">
        <v>0</v>
      </c>
    </row>
    <row r="53" spans="1:13">
      <c r="F53" s="424">
        <v>12</v>
      </c>
      <c r="G53" s="178"/>
      <c r="H53" s="522">
        <v>0</v>
      </c>
      <c r="I53" s="522">
        <v>0</v>
      </c>
      <c r="J53" s="522">
        <v>0</v>
      </c>
      <c r="K53" s="413">
        <v>0</v>
      </c>
      <c r="L53" s="413">
        <v>0</v>
      </c>
      <c r="M53" s="414">
        <v>0</v>
      </c>
    </row>
    <row r="54" spans="1:13" ht="13.5" thickBot="1">
      <c r="F54" s="424">
        <v>13</v>
      </c>
      <c r="G54" s="178"/>
      <c r="H54" s="522">
        <v>0</v>
      </c>
      <c r="I54" s="522">
        <v>0</v>
      </c>
      <c r="J54" s="522">
        <v>0</v>
      </c>
      <c r="K54" s="413">
        <v>0</v>
      </c>
      <c r="L54" s="413">
        <v>0</v>
      </c>
      <c r="M54" s="414">
        <v>0</v>
      </c>
    </row>
    <row r="55" spans="1:13">
      <c r="A55" s="286" t="s">
        <v>339</v>
      </c>
      <c r="B55" s="38"/>
      <c r="C55" s="38"/>
      <c r="D55" s="283"/>
      <c r="F55" s="424">
        <v>14</v>
      </c>
      <c r="G55" s="178"/>
      <c r="H55" s="413">
        <v>0</v>
      </c>
      <c r="I55" s="413">
        <v>0</v>
      </c>
      <c r="J55" s="413">
        <v>0</v>
      </c>
      <c r="K55" s="413">
        <v>0</v>
      </c>
      <c r="L55" s="413">
        <v>0</v>
      </c>
      <c r="M55" s="414">
        <v>0</v>
      </c>
    </row>
    <row r="56" spans="1:13" ht="13.5" thickBot="1">
      <c r="A56" s="41" t="s">
        <v>226</v>
      </c>
      <c r="B56" s="13"/>
      <c r="C56" s="13"/>
      <c r="D56" s="284">
        <v>13950</v>
      </c>
      <c r="F56" s="469">
        <v>15</v>
      </c>
      <c r="G56" s="415"/>
      <c r="H56" s="416">
        <v>0</v>
      </c>
      <c r="I56" s="416">
        <v>0</v>
      </c>
      <c r="J56" s="416">
        <v>0</v>
      </c>
      <c r="K56" s="416">
        <v>0</v>
      </c>
      <c r="L56" s="416">
        <v>0</v>
      </c>
      <c r="M56" s="417">
        <v>0</v>
      </c>
    </row>
    <row r="57" spans="1:13" ht="13.5" thickBot="1">
      <c r="A57" s="41" t="s">
        <v>227</v>
      </c>
      <c r="B57" s="13"/>
      <c r="C57" s="13"/>
      <c r="D57" s="284">
        <v>289.6162739983738</v>
      </c>
      <c r="F57" s="440" t="s">
        <v>342</v>
      </c>
      <c r="G57" s="415"/>
      <c r="H57" s="416">
        <f t="shared" ref="H57:M57" si="6">SUM(H42:H56)</f>
        <v>1</v>
      </c>
      <c r="I57" s="416">
        <f t="shared" si="6"/>
        <v>1</v>
      </c>
      <c r="J57" s="416">
        <f t="shared" si="6"/>
        <v>1</v>
      </c>
      <c r="K57" s="416">
        <f t="shared" si="6"/>
        <v>1</v>
      </c>
      <c r="L57" s="416">
        <f t="shared" si="6"/>
        <v>1</v>
      </c>
      <c r="M57" s="417">
        <f t="shared" si="6"/>
        <v>1</v>
      </c>
    </row>
    <row r="58" spans="1:13" ht="13.5" thickBot="1">
      <c r="A58" s="171" t="s">
        <v>225</v>
      </c>
      <c r="B58" s="42"/>
      <c r="C58" s="42"/>
      <c r="D58" s="285">
        <v>20.833333333333314</v>
      </c>
      <c r="E58" s="66"/>
    </row>
    <row r="59" spans="1:13" ht="13.5" thickBot="1">
      <c r="A59" s="287" t="s">
        <v>340</v>
      </c>
      <c r="B59" s="288"/>
      <c r="C59" s="288"/>
      <c r="D59" s="289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B2" zoomScale="75" zoomScaleNormal="75" workbookViewId="0">
      <selection activeCell="H54" sqref="H54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29" width="14.140625" style="12" customWidth="1"/>
    <col min="30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5" t="s">
        <v>82</v>
      </c>
      <c r="I1" s="80"/>
      <c r="AL1" s="80"/>
    </row>
    <row r="2" spans="1:38" ht="13.5" customHeight="1" thickBot="1">
      <c r="A2" s="245"/>
      <c r="I2" s="80"/>
      <c r="AL2" s="80"/>
    </row>
    <row r="3" spans="1:38" ht="19.5" customHeight="1">
      <c r="A3" s="630" t="s">
        <v>423</v>
      </c>
      <c r="I3" s="80"/>
      <c r="AL3" s="80"/>
    </row>
    <row r="4" spans="1:38" s="5" customFormat="1" ht="19.5" customHeight="1" thickBot="1">
      <c r="A4" s="631" t="s">
        <v>620</v>
      </c>
      <c r="I4" s="176"/>
      <c r="AL4" s="176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3"/>
      <c r="E8" s="13"/>
      <c r="F8" s="93" t="s">
        <v>90</v>
      </c>
      <c r="G8" s="113"/>
      <c r="H8" s="114"/>
      <c r="I8" s="200"/>
      <c r="J8" s="39"/>
      <c r="L8" s="94" t="s">
        <v>199</v>
      </c>
      <c r="M8" s="119"/>
      <c r="N8" s="38"/>
      <c r="O8" s="38"/>
      <c r="P8" s="39"/>
      <c r="U8" s="335" t="s">
        <v>232</v>
      </c>
      <c r="V8" s="336" t="s">
        <v>237</v>
      </c>
      <c r="W8" s="336" t="s">
        <v>241</v>
      </c>
      <c r="X8" s="336" t="s">
        <v>121</v>
      </c>
      <c r="Y8" s="336" t="s">
        <v>255</v>
      </c>
      <c r="Z8" s="336" t="s">
        <v>256</v>
      </c>
      <c r="AA8" s="336" t="s">
        <v>257</v>
      </c>
      <c r="AB8" s="358" t="s">
        <v>315</v>
      </c>
      <c r="AC8" s="660" t="s">
        <v>642</v>
      </c>
      <c r="AD8" s="660" t="s">
        <v>645</v>
      </c>
    </row>
    <row r="9" spans="1:38" ht="15.75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303</v>
      </c>
      <c r="M9" s="13"/>
      <c r="N9" s="13"/>
      <c r="O9" s="13"/>
      <c r="P9" s="40"/>
      <c r="U9" s="325" t="s">
        <v>236</v>
      </c>
      <c r="V9" s="326" t="s">
        <v>238</v>
      </c>
      <c r="W9" s="326" t="s">
        <v>309</v>
      </c>
      <c r="X9" s="326" t="s">
        <v>252</v>
      </c>
      <c r="Y9" s="326" t="s">
        <v>260</v>
      </c>
      <c r="Z9" s="326" t="s">
        <v>258</v>
      </c>
      <c r="AA9" s="326" t="s">
        <v>258</v>
      </c>
      <c r="AB9" s="359" t="s">
        <v>318</v>
      </c>
      <c r="AC9" s="663" t="s">
        <v>643</v>
      </c>
      <c r="AD9" s="663" t="s">
        <v>646</v>
      </c>
    </row>
    <row r="10" spans="1:38" ht="15.75">
      <c r="A10" s="95" t="s">
        <v>6</v>
      </c>
      <c r="B10" s="96" t="s">
        <v>7</v>
      </c>
      <c r="C10" s="193" t="s">
        <v>8</v>
      </c>
      <c r="D10" s="344" t="s">
        <v>194</v>
      </c>
      <c r="E10" s="13"/>
      <c r="F10" s="116" t="s">
        <v>103</v>
      </c>
      <c r="G10" s="13"/>
      <c r="H10" s="219" t="s">
        <v>114</v>
      </c>
      <c r="I10" s="13"/>
      <c r="J10" s="40"/>
      <c r="L10" s="41"/>
      <c r="M10" s="13"/>
      <c r="N10" s="13"/>
      <c r="O10" s="13"/>
      <c r="P10" s="40"/>
      <c r="U10" s="290" t="s">
        <v>233</v>
      </c>
      <c r="V10" s="205" t="s">
        <v>239</v>
      </c>
      <c r="W10" s="205" t="s">
        <v>310</v>
      </c>
      <c r="X10" s="205" t="s">
        <v>251</v>
      </c>
      <c r="Y10" s="205" t="s">
        <v>324</v>
      </c>
      <c r="Z10" s="205" t="s">
        <v>259</v>
      </c>
      <c r="AA10" s="205" t="s">
        <v>259</v>
      </c>
      <c r="AB10" s="360" t="s">
        <v>316</v>
      </c>
      <c r="AC10" s="664" t="s">
        <v>644</v>
      </c>
      <c r="AD10" s="664" t="s">
        <v>642</v>
      </c>
    </row>
    <row r="11" spans="1:38" ht="15.75">
      <c r="A11" s="98" t="s">
        <v>9</v>
      </c>
      <c r="B11" s="268">
        <f>C11/$C$14</f>
        <v>-0.24166602842174789</v>
      </c>
      <c r="C11" s="194">
        <f>C61-C12</f>
        <v>-13291.631563196133</v>
      </c>
      <c r="D11" s="345">
        <f>C11/$H$68</f>
        <v>-144.4742561216971</v>
      </c>
      <c r="E11" s="13"/>
      <c r="F11" s="116" t="s">
        <v>211</v>
      </c>
      <c r="G11" s="13"/>
      <c r="H11" s="538">
        <v>14260</v>
      </c>
      <c r="I11" s="13"/>
      <c r="J11" s="40"/>
      <c r="L11" s="118" t="s">
        <v>127</v>
      </c>
      <c r="M11" s="13"/>
      <c r="N11" s="260">
        <v>0.03</v>
      </c>
      <c r="O11" s="221"/>
      <c r="P11" s="40"/>
      <c r="U11" s="290" t="s">
        <v>37</v>
      </c>
      <c r="V11" s="205" t="s">
        <v>236</v>
      </c>
      <c r="W11" s="205"/>
      <c r="X11" s="205" t="s">
        <v>311</v>
      </c>
      <c r="Y11" s="205"/>
      <c r="Z11" s="205"/>
      <c r="AA11" s="205"/>
      <c r="AB11" s="360" t="s">
        <v>317</v>
      </c>
      <c r="AC11" s="664" t="s">
        <v>621</v>
      </c>
      <c r="AD11" s="661"/>
    </row>
    <row r="12" spans="1:38" ht="15.75">
      <c r="A12" s="98" t="s">
        <v>85</v>
      </c>
      <c r="B12" s="268">
        <f>C12/$C$14</f>
        <v>1.2416660284217478</v>
      </c>
      <c r="C12" s="194">
        <f>Debt!B19</f>
        <v>68291.631563196133</v>
      </c>
      <c r="D12" s="345">
        <f>C12/$H$68</f>
        <v>742.30034307821882</v>
      </c>
      <c r="E12" s="13"/>
      <c r="F12" s="116" t="s">
        <v>11</v>
      </c>
      <c r="G12" s="175"/>
      <c r="H12" s="250">
        <v>2</v>
      </c>
      <c r="I12" s="110"/>
      <c r="J12" s="40"/>
      <c r="L12" s="101"/>
      <c r="M12" s="13"/>
      <c r="N12" s="13"/>
      <c r="O12" s="221"/>
      <c r="P12" s="40"/>
      <c r="U12" s="337"/>
      <c r="V12" s="205" t="s">
        <v>37</v>
      </c>
      <c r="W12" s="13"/>
      <c r="X12" s="205" t="s">
        <v>254</v>
      </c>
      <c r="Y12" s="13"/>
      <c r="Z12" s="13"/>
      <c r="AA12" s="13"/>
      <c r="AB12" s="331"/>
      <c r="AC12" s="662"/>
      <c r="AD12" s="662"/>
    </row>
    <row r="13" spans="1:38" ht="15.75">
      <c r="A13" s="99"/>
      <c r="B13" s="246"/>
      <c r="C13" s="194"/>
      <c r="D13" s="345"/>
      <c r="E13" s="13"/>
      <c r="F13" s="116" t="s">
        <v>263</v>
      </c>
      <c r="G13" s="175"/>
      <c r="H13" s="251">
        <v>46</v>
      </c>
      <c r="I13" s="110"/>
      <c r="J13" s="40"/>
      <c r="L13" s="118" t="s">
        <v>87</v>
      </c>
      <c r="M13" s="13"/>
      <c r="N13" s="97"/>
      <c r="O13" s="221"/>
      <c r="P13" s="40"/>
      <c r="U13" s="325">
        <v>1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9">
        <v>1</v>
      </c>
      <c r="AC13" s="663">
        <v>1</v>
      </c>
      <c r="AD13" s="663">
        <v>1</v>
      </c>
    </row>
    <row r="14" spans="1:38" ht="15.75">
      <c r="A14" s="100" t="s">
        <v>10</v>
      </c>
      <c r="B14" s="148">
        <f>C14/$C$14</f>
        <v>1</v>
      </c>
      <c r="C14" s="195">
        <f>SUM(C11:C12)</f>
        <v>55000</v>
      </c>
      <c r="D14" s="450">
        <f>C14/$H$68</f>
        <v>597.82608695652175</v>
      </c>
      <c r="E14" s="13"/>
      <c r="F14" s="116" t="s">
        <v>372</v>
      </c>
      <c r="G14" s="175"/>
      <c r="H14" s="250">
        <v>10100</v>
      </c>
      <c r="I14" s="13"/>
      <c r="J14" s="40"/>
      <c r="L14" s="41"/>
      <c r="M14" s="13"/>
      <c r="N14" s="271" t="s">
        <v>196</v>
      </c>
      <c r="O14" s="204" t="s">
        <v>170</v>
      </c>
      <c r="P14" s="201" t="s">
        <v>419</v>
      </c>
      <c r="U14" s="291" t="str">
        <f>CHOOSE(U13,U9,U10,U11)</f>
        <v>Index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IF(C35&gt;0,10,20)</f>
        <v>20</v>
      </c>
      <c r="AA14" s="292" t="str">
        <f>CHOOSE(AA13,AA9,AA10,AA11,AA12)</f>
        <v>Yes</v>
      </c>
      <c r="AB14" s="327" t="str">
        <f>CHOOSE(AB13,AB9,AB10,AB11,AB12)</f>
        <v>Bank LT Debt</v>
      </c>
      <c r="AC14" s="327" t="str">
        <f>CHOOSE(AC13,AC9,AC10,AC11,AC12)</f>
        <v>10-Yr. Debt</v>
      </c>
      <c r="AD14" s="327">
        <v>1</v>
      </c>
    </row>
    <row r="15" spans="1:38" ht="15.75">
      <c r="A15" s="41"/>
      <c r="B15" s="13"/>
      <c r="C15" s="13"/>
      <c r="D15" s="347"/>
      <c r="E15" s="13"/>
      <c r="F15" s="116" t="s">
        <v>373</v>
      </c>
      <c r="G15" s="175"/>
      <c r="H15" s="250">
        <v>10200</v>
      </c>
      <c r="I15" s="110"/>
      <c r="J15" s="40"/>
      <c r="L15" s="101" t="s">
        <v>197</v>
      </c>
      <c r="M15" s="13"/>
      <c r="N15" s="528"/>
      <c r="O15" s="222"/>
      <c r="P15" s="636">
        <v>0.3</v>
      </c>
    </row>
    <row r="16" spans="1:38" ht="15.75">
      <c r="A16" s="41"/>
      <c r="B16" s="13"/>
      <c r="C16" s="13"/>
      <c r="D16" s="347"/>
      <c r="E16" s="13"/>
      <c r="F16" s="116" t="s">
        <v>189</v>
      </c>
      <c r="G16" s="13"/>
      <c r="H16" s="530">
        <v>7</v>
      </c>
      <c r="I16" s="13"/>
      <c r="J16" s="40"/>
      <c r="L16" s="104" t="s">
        <v>245</v>
      </c>
      <c r="M16" s="13"/>
      <c r="N16" s="529"/>
      <c r="O16" s="295"/>
      <c r="P16" s="637">
        <v>1.2</v>
      </c>
      <c r="U16" s="329"/>
      <c r="V16" s="57" t="s">
        <v>264</v>
      </c>
      <c r="W16" s="330" t="s">
        <v>265</v>
      </c>
    </row>
    <row r="17" spans="1:23" ht="15.75">
      <c r="A17" s="95" t="s">
        <v>102</v>
      </c>
      <c r="B17" s="96"/>
      <c r="C17" s="196"/>
      <c r="D17" s="345"/>
      <c r="E17" s="13"/>
      <c r="F17" s="116" t="s">
        <v>105</v>
      </c>
      <c r="G17" s="175"/>
      <c r="H17" s="253">
        <v>37012</v>
      </c>
      <c r="I17" s="13"/>
      <c r="J17" s="40"/>
      <c r="L17" s="116" t="s">
        <v>242</v>
      </c>
      <c r="M17" s="6"/>
      <c r="N17" s="274">
        <f>SUM(N15:N16)</f>
        <v>0</v>
      </c>
      <c r="O17" s="223"/>
      <c r="P17" s="296">
        <f>SUM(P15:P16)</f>
        <v>1.5</v>
      </c>
      <c r="U17" s="55" t="s">
        <v>260</v>
      </c>
      <c r="V17" s="13">
        <v>11</v>
      </c>
      <c r="W17" s="331">
        <v>21</v>
      </c>
    </row>
    <row r="18" spans="1:23" ht="15.75">
      <c r="A18" s="184"/>
      <c r="B18" s="166"/>
      <c r="C18" s="13"/>
      <c r="D18" s="347"/>
      <c r="E18" s="13"/>
      <c r="F18" s="101" t="s">
        <v>130</v>
      </c>
      <c r="G18" s="97"/>
      <c r="H18" s="274">
        <v>8</v>
      </c>
      <c r="I18" s="110"/>
      <c r="J18" s="40"/>
      <c r="L18" s="41"/>
      <c r="M18" s="13"/>
      <c r="N18" s="13"/>
      <c r="O18" s="13"/>
      <c r="P18" s="187" t="s">
        <v>426</v>
      </c>
      <c r="U18" s="332" t="s">
        <v>261</v>
      </c>
      <c r="V18" s="58">
        <v>12</v>
      </c>
      <c r="W18" s="293">
        <v>22</v>
      </c>
    </row>
    <row r="19" spans="1:23" ht="15.75">
      <c r="A19" s="98" t="s">
        <v>413</v>
      </c>
      <c r="B19" s="13"/>
      <c r="C19" s="629" t="s">
        <v>616</v>
      </c>
      <c r="D19" s="347"/>
      <c r="E19" s="13"/>
      <c r="F19" s="116" t="s">
        <v>104</v>
      </c>
      <c r="G19" s="13"/>
      <c r="H19" s="250">
        <v>20</v>
      </c>
      <c r="I19" s="110"/>
      <c r="J19" s="40"/>
      <c r="L19" s="101" t="s">
        <v>608</v>
      </c>
      <c r="M19" s="13"/>
      <c r="N19" s="252">
        <v>200</v>
      </c>
      <c r="O19" s="270">
        <f t="shared" ref="O19:O25" si="0">N19/$H$68</f>
        <v>2.1739130434782608</v>
      </c>
      <c r="P19" s="40"/>
    </row>
    <row r="20" spans="1:23" ht="15.75">
      <c r="A20" s="101" t="s">
        <v>414</v>
      </c>
      <c r="B20" s="167">
        <f t="shared" ref="B20:B35" si="1">C20/$C$61</f>
        <v>0.51854545454545453</v>
      </c>
      <c r="C20" s="197">
        <f>H11*H12</f>
        <v>28520</v>
      </c>
      <c r="D20" s="345">
        <f t="shared" ref="D20:D34" si="2">C20/$H$68</f>
        <v>310</v>
      </c>
      <c r="E20" s="13"/>
      <c r="F20" s="116" t="s">
        <v>297</v>
      </c>
      <c r="G20" s="13"/>
      <c r="H20" s="334" t="s">
        <v>424</v>
      </c>
      <c r="I20" s="110"/>
      <c r="J20" s="40"/>
      <c r="L20" s="101" t="s">
        <v>588</v>
      </c>
      <c r="M20" s="13"/>
      <c r="N20" s="252">
        <v>200</v>
      </c>
      <c r="O20" s="270">
        <f t="shared" si="0"/>
        <v>2.1739130434782608</v>
      </c>
      <c r="P20" s="40"/>
    </row>
    <row r="21" spans="1:23" ht="15.75">
      <c r="A21" s="101" t="s">
        <v>436</v>
      </c>
      <c r="B21" s="167">
        <f t="shared" si="1"/>
        <v>0</v>
      </c>
      <c r="C21" s="197">
        <v>0</v>
      </c>
      <c r="D21" s="345">
        <f t="shared" si="2"/>
        <v>0</v>
      </c>
      <c r="E21" s="13"/>
      <c r="F21" s="41"/>
      <c r="G21" s="13"/>
      <c r="H21" s="13"/>
      <c r="I21" s="13"/>
      <c r="J21" s="40"/>
      <c r="L21" s="101" t="s">
        <v>609</v>
      </c>
      <c r="M21" s="13"/>
      <c r="N21" s="252">
        <v>0</v>
      </c>
      <c r="O21" s="270">
        <f t="shared" si="0"/>
        <v>0</v>
      </c>
      <c r="P21" s="40"/>
    </row>
    <row r="22" spans="1:23" ht="15.75">
      <c r="A22" s="101" t="s">
        <v>172</v>
      </c>
      <c r="B22" s="167">
        <f t="shared" si="1"/>
        <v>0.10909090909090909</v>
      </c>
      <c r="C22" s="248">
        <v>6000</v>
      </c>
      <c r="D22" s="345">
        <f t="shared" si="2"/>
        <v>65.217391304347828</v>
      </c>
      <c r="E22" s="13"/>
      <c r="F22" s="115" t="s">
        <v>427</v>
      </c>
      <c r="G22" s="13"/>
      <c r="H22" s="324"/>
      <c r="I22" s="13"/>
      <c r="J22" s="40"/>
      <c r="L22" s="101" t="s">
        <v>607</v>
      </c>
      <c r="M22" s="13"/>
      <c r="N22" s="252">
        <v>50</v>
      </c>
      <c r="O22" s="270">
        <f t="shared" si="0"/>
        <v>0.54347826086956519</v>
      </c>
      <c r="P22" s="40"/>
    </row>
    <row r="23" spans="1:23" ht="15.75">
      <c r="A23" s="101" t="s">
        <v>107</v>
      </c>
      <c r="B23" s="167">
        <f t="shared" si="1"/>
        <v>2.7272727272727271E-2</v>
      </c>
      <c r="C23" s="248">
        <v>1500</v>
      </c>
      <c r="D23" s="345">
        <f t="shared" si="2"/>
        <v>16.304347826086957</v>
      </c>
      <c r="E23" s="13"/>
      <c r="F23" s="323" t="s">
        <v>252</v>
      </c>
      <c r="G23" s="175"/>
      <c r="H23" s="322">
        <v>5</v>
      </c>
      <c r="I23" s="356"/>
      <c r="J23" s="40"/>
      <c r="L23" s="101" t="s">
        <v>605</v>
      </c>
      <c r="M23" s="13"/>
      <c r="N23" s="252">
        <v>40</v>
      </c>
      <c r="O23" s="270">
        <f t="shared" si="0"/>
        <v>0.43478260869565216</v>
      </c>
      <c r="P23" s="40"/>
    </row>
    <row r="24" spans="1:23" ht="15.75">
      <c r="A24" s="101" t="s">
        <v>611</v>
      </c>
      <c r="B24" s="167">
        <f t="shared" si="1"/>
        <v>2.2727272727272728E-2</v>
      </c>
      <c r="C24" s="248">
        <v>1250</v>
      </c>
      <c r="D24" s="345">
        <f t="shared" si="2"/>
        <v>13.586956521739131</v>
      </c>
      <c r="E24" s="13"/>
      <c r="F24" s="323" t="s">
        <v>371</v>
      </c>
      <c r="G24" s="13"/>
      <c r="H24" s="355">
        <v>0.4</v>
      </c>
      <c r="I24" s="110"/>
      <c r="J24" s="40"/>
      <c r="L24" s="101" t="s">
        <v>606</v>
      </c>
      <c r="M24" s="13"/>
      <c r="N24" s="252">
        <v>40</v>
      </c>
      <c r="O24" s="270">
        <f t="shared" si="0"/>
        <v>0.43478260869565216</v>
      </c>
      <c r="P24" s="40"/>
    </row>
    <row r="25" spans="1:23" ht="16.5" thickBot="1">
      <c r="A25" s="101" t="s">
        <v>612</v>
      </c>
      <c r="B25" s="167">
        <f t="shared" si="1"/>
        <v>0.11181818181818182</v>
      </c>
      <c r="C25" s="248">
        <v>6150</v>
      </c>
      <c r="D25" s="345">
        <f t="shared" si="2"/>
        <v>66.847826086956516</v>
      </c>
      <c r="E25" s="13"/>
      <c r="F25" s="247" t="s">
        <v>194</v>
      </c>
      <c r="G25" s="42"/>
      <c r="H25" s="354">
        <v>200</v>
      </c>
      <c r="I25" s="42"/>
      <c r="J25" s="81"/>
      <c r="L25" s="104" t="s">
        <v>610</v>
      </c>
      <c r="M25" s="217"/>
      <c r="N25" s="294">
        <v>40</v>
      </c>
      <c r="O25" s="297">
        <f t="shared" si="0"/>
        <v>0.43478260869565216</v>
      </c>
      <c r="P25" s="40"/>
    </row>
    <row r="26" spans="1:23" ht="16.5" thickBot="1">
      <c r="A26" s="101" t="s">
        <v>108</v>
      </c>
      <c r="B26" s="167">
        <f t="shared" si="1"/>
        <v>0</v>
      </c>
      <c r="C26" s="248">
        <v>0</v>
      </c>
      <c r="D26" s="345">
        <f t="shared" si="2"/>
        <v>0</v>
      </c>
      <c r="E26" s="13"/>
      <c r="L26" s="116" t="s">
        <v>243</v>
      </c>
      <c r="M26" s="6"/>
      <c r="N26" s="274">
        <f>SUM(N19:N25)</f>
        <v>570</v>
      </c>
      <c r="O26" s="298">
        <f>SUM(O19:O25)</f>
        <v>6.1956521739130439</v>
      </c>
      <c r="P26" s="361"/>
    </row>
    <row r="27" spans="1:23" ht="15.75">
      <c r="A27" s="101" t="s">
        <v>109</v>
      </c>
      <c r="B27" s="167">
        <f t="shared" si="1"/>
        <v>0</v>
      </c>
      <c r="C27" s="248">
        <v>0</v>
      </c>
      <c r="D27" s="345">
        <f t="shared" si="2"/>
        <v>0</v>
      </c>
      <c r="E27" s="13"/>
      <c r="F27" s="94" t="s">
        <v>113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329</v>
      </c>
      <c r="B28" s="167">
        <f t="shared" si="1"/>
        <v>2.7272727272727271E-2</v>
      </c>
      <c r="C28" s="248">
        <v>1500</v>
      </c>
      <c r="D28" s="345">
        <f t="shared" si="2"/>
        <v>16.304347826086957</v>
      </c>
      <c r="E28" s="13"/>
      <c r="F28" s="352" t="s">
        <v>111</v>
      </c>
      <c r="G28" s="353"/>
      <c r="H28" s="353" t="s">
        <v>314</v>
      </c>
      <c r="I28" s="13"/>
      <c r="J28" s="40"/>
      <c r="L28" s="118" t="s">
        <v>88</v>
      </c>
      <c r="M28" s="13"/>
      <c r="N28" s="160"/>
      <c r="O28" s="223"/>
      <c r="P28" s="40"/>
      <c r="R28" s="3"/>
    </row>
    <row r="29" spans="1:23" ht="15.75">
      <c r="A29" s="101" t="s">
        <v>110</v>
      </c>
      <c r="B29" s="167">
        <f t="shared" si="1"/>
        <v>0</v>
      </c>
      <c r="C29" s="248">
        <v>0</v>
      </c>
      <c r="D29" s="345">
        <f t="shared" si="2"/>
        <v>0</v>
      </c>
      <c r="E29" s="13"/>
      <c r="F29" s="323" t="s">
        <v>83</v>
      </c>
      <c r="G29" s="253">
        <v>36800</v>
      </c>
      <c r="H29" s="351"/>
      <c r="I29" s="651" t="s">
        <v>651</v>
      </c>
      <c r="J29" s="328"/>
      <c r="L29" s="101" t="s">
        <v>232</v>
      </c>
      <c r="M29" s="13"/>
      <c r="N29" s="274">
        <f>IS!C16</f>
        <v>7491.1179556342486</v>
      </c>
      <c r="O29" s="223">
        <f>N29/$H$68</f>
        <v>81.425195169937481</v>
      </c>
      <c r="P29" s="40"/>
      <c r="R29" s="339"/>
    </row>
    <row r="30" spans="1:23" ht="15.75">
      <c r="A30" s="101" t="s">
        <v>613</v>
      </c>
      <c r="B30" s="167">
        <f t="shared" si="1"/>
        <v>2.7272727272727271E-2</v>
      </c>
      <c r="C30" s="248">
        <v>1500</v>
      </c>
      <c r="D30" s="345">
        <f t="shared" si="2"/>
        <v>16.304347826086957</v>
      </c>
      <c r="E30" s="13"/>
      <c r="F30" s="323" t="s">
        <v>123</v>
      </c>
      <c r="G30" s="253">
        <v>36571</v>
      </c>
      <c r="H30" s="351"/>
      <c r="I30" s="178"/>
      <c r="J30" s="328"/>
      <c r="L30" s="101" t="s">
        <v>210</v>
      </c>
      <c r="M30" s="13"/>
      <c r="N30" s="635">
        <v>300</v>
      </c>
      <c r="O30" s="223">
        <f>N30/$H$68</f>
        <v>3.2608695652173911</v>
      </c>
      <c r="P30" s="527">
        <v>0.02</v>
      </c>
      <c r="R30" s="3"/>
    </row>
    <row r="31" spans="1:23" ht="15.75">
      <c r="A31" s="101" t="s">
        <v>614</v>
      </c>
      <c r="B31" s="167">
        <f t="shared" si="1"/>
        <v>9.0909090909090905E-3</v>
      </c>
      <c r="C31" s="248">
        <v>500</v>
      </c>
      <c r="D31" s="345">
        <f t="shared" si="2"/>
        <v>5.4347826086956523</v>
      </c>
      <c r="E31" s="13"/>
      <c r="F31" s="41"/>
      <c r="G31" s="13"/>
      <c r="H31" s="6"/>
      <c r="I31" s="178"/>
      <c r="J31" s="328"/>
      <c r="L31" s="101" t="s">
        <v>200</v>
      </c>
      <c r="M31" s="13"/>
      <c r="N31" s="274">
        <f>IS!C24/IS!C6</f>
        <v>0</v>
      </c>
      <c r="O31" s="223">
        <f>N31/$H$68</f>
        <v>0</v>
      </c>
      <c r="P31" s="40"/>
      <c r="R31" s="3"/>
    </row>
    <row r="32" spans="1:23" ht="15.75">
      <c r="A32" s="101" t="s">
        <v>173</v>
      </c>
      <c r="B32" s="167">
        <f t="shared" si="1"/>
        <v>0</v>
      </c>
      <c r="C32" s="248">
        <v>0</v>
      </c>
      <c r="D32" s="345">
        <f t="shared" si="2"/>
        <v>0</v>
      </c>
      <c r="E32" s="13"/>
      <c r="F32" s="105" t="s">
        <v>14</v>
      </c>
      <c r="G32" s="106">
        <f>Debt!B19</f>
        <v>68291.631563196133</v>
      </c>
      <c r="H32" s="106"/>
      <c r="I32" s="644" t="s">
        <v>641</v>
      </c>
      <c r="J32" s="328" t="s">
        <v>714</v>
      </c>
      <c r="L32" s="101" t="s">
        <v>204</v>
      </c>
      <c r="M32" s="13"/>
      <c r="N32" s="274">
        <f>IS!C25/IS!C6</f>
        <v>0</v>
      </c>
      <c r="O32" s="223">
        <f>N32/$H$68</f>
        <v>0</v>
      </c>
      <c r="P32" s="40"/>
      <c r="Q32" s="66"/>
      <c r="R32" s="3"/>
    </row>
    <row r="33" spans="1:18" ht="16.5" thickBot="1">
      <c r="A33" s="101" t="s">
        <v>174</v>
      </c>
      <c r="B33" s="167">
        <f t="shared" si="1"/>
        <v>0</v>
      </c>
      <c r="C33" s="248">
        <v>0</v>
      </c>
      <c r="D33" s="345">
        <f t="shared" si="2"/>
        <v>0</v>
      </c>
      <c r="E33" s="13"/>
      <c r="F33" s="105" t="s">
        <v>15</v>
      </c>
      <c r="G33" s="254">
        <v>20</v>
      </c>
      <c r="H33" s="106"/>
      <c r="I33" s="178"/>
      <c r="J33" s="739" t="s">
        <v>259</v>
      </c>
      <c r="L33" s="103" t="s">
        <v>421</v>
      </c>
      <c r="M33" s="42"/>
      <c r="N33" s="277">
        <f>IS!C26/IS!C6</f>
        <v>0</v>
      </c>
      <c r="O33" s="224">
        <f>N33/$H$68</f>
        <v>0</v>
      </c>
      <c r="P33" s="81"/>
      <c r="R33" s="3"/>
    </row>
    <row r="34" spans="1:18" ht="16.5" thickBot="1">
      <c r="A34" s="101" t="s">
        <v>615</v>
      </c>
      <c r="B34" s="167">
        <f t="shared" si="1"/>
        <v>0</v>
      </c>
      <c r="C34" s="248">
        <f>IF(B15="Yes",[8]Turbo!F16,0)</f>
        <v>0</v>
      </c>
      <c r="D34" s="345">
        <f t="shared" si="2"/>
        <v>0</v>
      </c>
      <c r="E34" s="13"/>
      <c r="F34" s="105" t="s">
        <v>16</v>
      </c>
      <c r="G34" s="351">
        <v>42826</v>
      </c>
      <c r="H34" s="351"/>
      <c r="J34" s="328"/>
      <c r="N34" s="199"/>
      <c r="R34" s="3"/>
    </row>
    <row r="35" spans="1:18" ht="15.75">
      <c r="A35" s="101" t="s">
        <v>420</v>
      </c>
      <c r="B35" s="182">
        <f t="shared" si="1"/>
        <v>0</v>
      </c>
      <c r="C35" s="249">
        <v>0</v>
      </c>
      <c r="D35" s="346">
        <f>C35/$H$68</f>
        <v>0</v>
      </c>
      <c r="E35" s="13"/>
      <c r="F35" s="105" t="s">
        <v>17</v>
      </c>
      <c r="G35" s="121">
        <f>Debt!E66</f>
        <v>-83.95089612521214</v>
      </c>
      <c r="H35" s="380" t="str">
        <f>IF(H32,Debt!#REF!," ")</f>
        <v xml:space="preserve"> </v>
      </c>
      <c r="I35" s="178"/>
      <c r="J35" s="328"/>
      <c r="L35" s="93" t="s">
        <v>22</v>
      </c>
      <c r="M35" s="114"/>
      <c r="N35" s="261"/>
      <c r="O35" s="119"/>
      <c r="P35" s="39"/>
      <c r="R35" s="5"/>
    </row>
    <row r="36" spans="1:18" ht="15.75">
      <c r="A36" s="101" t="s">
        <v>106</v>
      </c>
      <c r="B36" s="167">
        <f>SUM(B20:B35)</f>
        <v>0.8530909090909089</v>
      </c>
      <c r="C36" s="197">
        <f>SUM(C20:C35)</f>
        <v>46920</v>
      </c>
      <c r="D36" s="345">
        <f>SUM(D20:D35)</f>
        <v>509.99999999999989</v>
      </c>
      <c r="E36" s="13"/>
      <c r="F36" s="105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75">
      <c r="E37" s="13"/>
      <c r="F37" s="101" t="s">
        <v>18</v>
      </c>
      <c r="G37" s="255">
        <v>6.5000000000000002E-2</v>
      </c>
      <c r="H37" s="255">
        <v>6.5000000000000002E-2</v>
      </c>
      <c r="I37" s="178"/>
      <c r="J37" s="328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98" t="s">
        <v>374</v>
      </c>
      <c r="B38" s="13"/>
      <c r="C38" s="13"/>
      <c r="D38" s="348"/>
      <c r="E38" s="13"/>
      <c r="F38" s="101" t="s">
        <v>19</v>
      </c>
      <c r="G38" s="256">
        <v>1.7500000000000002E-2</v>
      </c>
      <c r="H38" s="256">
        <v>1.7500000000000002E-2</v>
      </c>
      <c r="I38" s="178"/>
      <c r="J38" s="328"/>
      <c r="L38" s="115" t="s">
        <v>26</v>
      </c>
      <c r="M38" s="13"/>
      <c r="N38" s="262"/>
      <c r="O38" s="262"/>
      <c r="P38" s="102"/>
      <c r="R38" s="13"/>
    </row>
    <row r="39" spans="1:18" ht="15.75">
      <c r="A39" s="101" t="s">
        <v>617</v>
      </c>
      <c r="B39" s="167">
        <f t="shared" ref="B39:B52" si="3">C39/$C$61</f>
        <v>6.3636363636363638E-3</v>
      </c>
      <c r="C39" s="248">
        <v>350</v>
      </c>
      <c r="D39" s="345">
        <f>C39/$H$68</f>
        <v>3.8043478260869565</v>
      </c>
      <c r="E39" s="13"/>
      <c r="F39" s="105" t="s">
        <v>319</v>
      </c>
      <c r="G39" s="107">
        <f>Debt!E64</f>
        <v>8.2500000000000004E-2</v>
      </c>
      <c r="H39" s="107">
        <f>SUM(H37:H38)</f>
        <v>8.2500000000000004E-2</v>
      </c>
      <c r="I39" s="178"/>
      <c r="J39" s="328"/>
      <c r="L39" s="116" t="s">
        <v>27</v>
      </c>
      <c r="M39" s="13"/>
      <c r="N39" s="272">
        <v>15</v>
      </c>
      <c r="O39" s="263" t="s">
        <v>28</v>
      </c>
      <c r="P39" s="188">
        <v>0</v>
      </c>
      <c r="R39" s="3"/>
    </row>
    <row r="40" spans="1:18" ht="15.75">
      <c r="A40" s="98" t="s">
        <v>618</v>
      </c>
      <c r="B40" s="167">
        <f t="shared" si="3"/>
        <v>8.145454545454546E-2</v>
      </c>
      <c r="C40" s="248">
        <v>4480</v>
      </c>
      <c r="D40" s="345">
        <f t="shared" ref="D40:D53" si="4">C40/$H$68</f>
        <v>48.695652173913047</v>
      </c>
      <c r="E40" s="13"/>
      <c r="F40" s="101"/>
      <c r="G40" s="97"/>
      <c r="H40" s="97"/>
      <c r="I40" s="97"/>
      <c r="J40" s="186"/>
      <c r="L40" s="116" t="s">
        <v>248</v>
      </c>
      <c r="M40" s="13"/>
      <c r="N40" s="272">
        <v>5</v>
      </c>
      <c r="O40" s="263" t="s">
        <v>30</v>
      </c>
      <c r="P40" s="188">
        <v>0</v>
      </c>
      <c r="R40" s="3"/>
    </row>
    <row r="41" spans="1:18" ht="15.75">
      <c r="A41" s="98" t="s">
        <v>619</v>
      </c>
      <c r="B41" s="167">
        <f t="shared" si="3"/>
        <v>1.3636363636363636E-2</v>
      </c>
      <c r="C41" s="248">
        <v>750</v>
      </c>
      <c r="D41" s="345">
        <f t="shared" si="4"/>
        <v>8.1521739130434785</v>
      </c>
      <c r="E41" s="13"/>
      <c r="F41" s="101" t="s">
        <v>124</v>
      </c>
      <c r="G41" s="254">
        <v>0</v>
      </c>
      <c r="H41" s="254">
        <v>0</v>
      </c>
      <c r="I41" s="97" t="s">
        <v>125</v>
      </c>
      <c r="J41" s="187"/>
      <c r="L41" s="116" t="s">
        <v>29</v>
      </c>
      <c r="M41" s="13"/>
      <c r="N41" s="272">
        <v>20</v>
      </c>
      <c r="O41" s="263" t="s">
        <v>30</v>
      </c>
      <c r="P41" s="188">
        <v>0</v>
      </c>
      <c r="R41" s="339"/>
    </row>
    <row r="42" spans="1:18" ht="15.75">
      <c r="A42" s="98" t="s">
        <v>162</v>
      </c>
      <c r="B42" s="167">
        <f t="shared" si="3"/>
        <v>0</v>
      </c>
      <c r="C42" s="248">
        <v>0</v>
      </c>
      <c r="D42" s="345">
        <f t="shared" si="4"/>
        <v>0</v>
      </c>
      <c r="E42" s="13"/>
      <c r="F42" s="101" t="s">
        <v>20</v>
      </c>
      <c r="G42" s="257">
        <v>0.02</v>
      </c>
      <c r="H42" s="97"/>
      <c r="I42" s="97"/>
      <c r="J42" s="187"/>
      <c r="L42" s="116"/>
      <c r="M42" s="13"/>
      <c r="N42" s="264"/>
      <c r="O42" s="264"/>
      <c r="P42" s="265"/>
      <c r="R42" s="225"/>
    </row>
    <row r="43" spans="1:18" ht="15.75">
      <c r="A43" s="101" t="s">
        <v>429</v>
      </c>
      <c r="B43" s="167">
        <f t="shared" si="3"/>
        <v>0</v>
      </c>
      <c r="C43" s="248">
        <v>0</v>
      </c>
      <c r="D43" s="345">
        <f t="shared" si="4"/>
        <v>0</v>
      </c>
      <c r="E43" s="13"/>
      <c r="F43" s="101" t="s">
        <v>21</v>
      </c>
      <c r="G43" s="257">
        <v>0</v>
      </c>
      <c r="H43" s="13"/>
      <c r="I43" s="13"/>
      <c r="J43" s="40"/>
      <c r="L43" s="115" t="s">
        <v>31</v>
      </c>
      <c r="M43" s="13"/>
      <c r="N43" s="264"/>
      <c r="O43" s="264"/>
      <c r="P43" s="189"/>
    </row>
    <row r="44" spans="1:18" ht="15.75">
      <c r="A44" s="98" t="s">
        <v>163</v>
      </c>
      <c r="B44" s="167">
        <f t="shared" si="3"/>
        <v>0</v>
      </c>
      <c r="C44" s="248">
        <v>0</v>
      </c>
      <c r="D44" s="345">
        <f t="shared" si="4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2">
        <v>30</v>
      </c>
      <c r="O44" s="263" t="s">
        <v>30</v>
      </c>
      <c r="P44" s="189">
        <v>0.1</v>
      </c>
    </row>
    <row r="45" spans="1:18" ht="15.75">
      <c r="A45" s="98" t="s">
        <v>171</v>
      </c>
      <c r="B45" s="167">
        <f t="shared" si="3"/>
        <v>0</v>
      </c>
      <c r="C45" s="248">
        <v>0</v>
      </c>
      <c r="D45" s="345">
        <f t="shared" si="4"/>
        <v>0</v>
      </c>
      <c r="E45" s="13"/>
      <c r="F45" s="352" t="s">
        <v>112</v>
      </c>
      <c r="G45" s="13"/>
      <c r="H45" s="13"/>
      <c r="I45" s="13"/>
      <c r="J45" s="40"/>
      <c r="L45" s="116" t="s">
        <v>248</v>
      </c>
      <c r="M45" s="13"/>
      <c r="N45" s="272">
        <v>5</v>
      </c>
      <c r="O45" s="263" t="s">
        <v>30</v>
      </c>
      <c r="P45" s="188">
        <v>0</v>
      </c>
    </row>
    <row r="46" spans="1:18" ht="16.5" thickBot="1">
      <c r="A46" s="98" t="s">
        <v>164</v>
      </c>
      <c r="B46" s="167">
        <f t="shared" si="3"/>
        <v>0</v>
      </c>
      <c r="C46" s="248">
        <v>0</v>
      </c>
      <c r="D46" s="345">
        <f t="shared" si="4"/>
        <v>0</v>
      </c>
      <c r="E46" s="13"/>
      <c r="F46" s="323" t="s">
        <v>84</v>
      </c>
      <c r="G46" s="253">
        <v>36678</v>
      </c>
      <c r="H46" s="13"/>
      <c r="I46" s="13"/>
      <c r="J46" s="40"/>
      <c r="L46" s="117" t="s">
        <v>29</v>
      </c>
      <c r="M46" s="42"/>
      <c r="N46" s="273">
        <v>20</v>
      </c>
      <c r="O46" s="266" t="s">
        <v>30</v>
      </c>
      <c r="P46" s="190">
        <v>0</v>
      </c>
    </row>
    <row r="47" spans="1:18" ht="16.5" thickBot="1">
      <c r="A47" s="98" t="s">
        <v>165</v>
      </c>
      <c r="B47" s="167">
        <f t="shared" si="3"/>
        <v>0</v>
      </c>
      <c r="C47" s="248">
        <v>0</v>
      </c>
      <c r="D47" s="345">
        <f t="shared" si="4"/>
        <v>0</v>
      </c>
      <c r="E47" s="13"/>
      <c r="F47" s="101" t="s">
        <v>12</v>
      </c>
      <c r="G47" s="258">
        <v>0</v>
      </c>
      <c r="H47" s="144">
        <f>G47*C11</f>
        <v>0</v>
      </c>
      <c r="I47" s="13"/>
      <c r="J47" s="40"/>
    </row>
    <row r="48" spans="1:18" ht="16.5" thickBot="1">
      <c r="A48" s="98" t="s">
        <v>168</v>
      </c>
      <c r="B48" s="167">
        <f t="shared" si="3"/>
        <v>0</v>
      </c>
      <c r="C48" s="248">
        <v>0</v>
      </c>
      <c r="D48" s="345">
        <f t="shared" si="4"/>
        <v>0</v>
      </c>
      <c r="E48" s="64"/>
      <c r="F48" s="103" t="s">
        <v>13</v>
      </c>
      <c r="G48" s="269">
        <f>1-G47</f>
        <v>1</v>
      </c>
      <c r="H48" s="145">
        <f>G48*C11</f>
        <v>-13291.631563196133</v>
      </c>
      <c r="I48" s="42"/>
      <c r="J48" s="81"/>
      <c r="L48" s="93" t="s">
        <v>375</v>
      </c>
      <c r="M48" s="114"/>
      <c r="N48" s="279"/>
      <c r="O48" s="280"/>
      <c r="P48" s="362"/>
    </row>
    <row r="49" spans="1:16" ht="16.5" thickBot="1">
      <c r="A49" s="101" t="s">
        <v>212</v>
      </c>
      <c r="B49" s="167">
        <f t="shared" si="3"/>
        <v>0</v>
      </c>
      <c r="C49" s="197">
        <v>0</v>
      </c>
      <c r="D49" s="345">
        <f t="shared" si="4"/>
        <v>0</v>
      </c>
      <c r="E49" s="43"/>
      <c r="L49" s="180"/>
      <c r="M49" s="175"/>
      <c r="N49" s="156"/>
      <c r="O49" s="6"/>
      <c r="P49" s="361"/>
    </row>
    <row r="50" spans="1:16" ht="15.75">
      <c r="A50" s="101" t="s">
        <v>175</v>
      </c>
      <c r="B50" s="167">
        <f t="shared" si="3"/>
        <v>1.8181818181818181E-2</v>
      </c>
      <c r="C50" s="248">
        <v>1000</v>
      </c>
      <c r="D50" s="345">
        <f t="shared" si="4"/>
        <v>10.869565217391305</v>
      </c>
      <c r="E50" s="13"/>
      <c r="F50" s="93" t="s">
        <v>195</v>
      </c>
      <c r="G50" s="113"/>
      <c r="H50" s="119"/>
      <c r="I50" s="202"/>
      <c r="J50" s="39"/>
      <c r="L50" s="116" t="s">
        <v>128</v>
      </c>
      <c r="M50" s="6"/>
      <c r="N50" s="262">
        <v>0.35</v>
      </c>
      <c r="O50" s="6"/>
      <c r="P50" s="361"/>
    </row>
    <row r="51" spans="1:16" ht="15.75">
      <c r="A51" s="101" t="s">
        <v>268</v>
      </c>
      <c r="B51" s="167">
        <f t="shared" si="3"/>
        <v>2.7272727272727271E-2</v>
      </c>
      <c r="C51" s="634">
        <v>1500</v>
      </c>
      <c r="D51" s="345">
        <f t="shared" si="4"/>
        <v>16.304347826086957</v>
      </c>
      <c r="E51" s="84"/>
      <c r="F51" s="41"/>
      <c r="G51" s="13"/>
      <c r="H51" s="13"/>
      <c r="I51" s="110"/>
      <c r="J51" s="40"/>
      <c r="L51" s="116" t="s">
        <v>282</v>
      </c>
      <c r="M51" s="6"/>
      <c r="N51" s="260">
        <v>7.0000000000000007E-2</v>
      </c>
      <c r="O51" s="363" t="s">
        <v>230</v>
      </c>
      <c r="P51" s="361"/>
    </row>
    <row r="52" spans="1:16" ht="15.75">
      <c r="A52" s="95" t="s">
        <v>176</v>
      </c>
      <c r="B52" s="182">
        <f t="shared" si="3"/>
        <v>0</v>
      </c>
      <c r="C52" s="249">
        <v>0</v>
      </c>
      <c r="D52" s="346">
        <f t="shared" si="4"/>
        <v>0</v>
      </c>
      <c r="E52" s="84"/>
      <c r="F52" s="104" t="s">
        <v>298</v>
      </c>
      <c r="G52" s="13"/>
      <c r="H52" s="13"/>
      <c r="I52" s="13"/>
      <c r="J52" s="40"/>
      <c r="L52" s="116" t="s">
        <v>250</v>
      </c>
      <c r="M52" s="6"/>
      <c r="N52" s="260">
        <v>0</v>
      </c>
      <c r="O52" s="363" t="s">
        <v>230</v>
      </c>
      <c r="P52" s="361"/>
    </row>
    <row r="53" spans="1:16" ht="15.75">
      <c r="A53" s="101" t="s">
        <v>106</v>
      </c>
      <c r="B53" s="167">
        <f>SUM(B39:B52)</f>
        <v>0.14690909090909093</v>
      </c>
      <c r="C53" s="197">
        <f>SUM(C39:C52)</f>
        <v>8080</v>
      </c>
      <c r="D53" s="345">
        <f t="shared" si="4"/>
        <v>87.826086956521735</v>
      </c>
      <c r="E53" s="13"/>
      <c r="F53" s="101" t="s">
        <v>300</v>
      </c>
      <c r="G53" s="13"/>
      <c r="H53" s="252">
        <v>20</v>
      </c>
      <c r="I53" s="110"/>
      <c r="J53" s="40"/>
      <c r="L53" s="116" t="s">
        <v>205</v>
      </c>
      <c r="M53" s="6"/>
      <c r="N53" s="260">
        <v>0</v>
      </c>
      <c r="O53" s="363" t="s">
        <v>230</v>
      </c>
      <c r="P53" s="361"/>
    </row>
    <row r="54" spans="1:16" ht="15.75">
      <c r="E54" s="13"/>
      <c r="F54" s="101" t="s">
        <v>410</v>
      </c>
      <c r="G54" s="13"/>
      <c r="H54" s="251">
        <v>6</v>
      </c>
      <c r="I54" s="13"/>
      <c r="J54" s="40"/>
      <c r="L54" s="116" t="s">
        <v>235</v>
      </c>
      <c r="M54" s="13"/>
      <c r="N54" s="260">
        <v>1.4999999999999999E-2</v>
      </c>
      <c r="O54" s="363" t="s">
        <v>230</v>
      </c>
      <c r="P54" s="40"/>
    </row>
    <row r="55" spans="1:16" ht="16.5" thickBot="1">
      <c r="A55" s="98" t="s">
        <v>100</v>
      </c>
      <c r="B55" s="13"/>
      <c r="C55" s="197"/>
      <c r="D55" s="347"/>
      <c r="E55" s="13"/>
      <c r="F55" s="41"/>
      <c r="G55" s="13"/>
      <c r="H55" s="13"/>
      <c r="I55" s="13"/>
      <c r="J55" s="40"/>
      <c r="L55" s="117" t="s">
        <v>269</v>
      </c>
      <c r="M55" s="42"/>
      <c r="N55" s="275">
        <v>0.05</v>
      </c>
      <c r="O55" s="364" t="s">
        <v>230</v>
      </c>
      <c r="P55" s="81"/>
    </row>
    <row r="56" spans="1:16" ht="15.75">
      <c r="A56" s="98" t="s">
        <v>166</v>
      </c>
      <c r="B56" s="167">
        <f>C56/$C$61</f>
        <v>0</v>
      </c>
      <c r="C56" s="248">
        <v>0</v>
      </c>
      <c r="D56" s="345">
        <f>C56/$H$68</f>
        <v>0</v>
      </c>
      <c r="E56" s="13"/>
      <c r="F56" s="104" t="s">
        <v>301</v>
      </c>
      <c r="G56" s="13"/>
      <c r="H56" s="13"/>
      <c r="I56" s="13"/>
      <c r="J56" s="40"/>
    </row>
    <row r="57" spans="1:16" ht="15.75">
      <c r="A57" s="98" t="s">
        <v>167</v>
      </c>
      <c r="B57" s="167">
        <f>C57/$C$61</f>
        <v>0</v>
      </c>
      <c r="C57" s="248">
        <v>0</v>
      </c>
      <c r="D57" s="345">
        <f>C57/$H$68</f>
        <v>0</v>
      </c>
      <c r="E57" s="13"/>
      <c r="F57" s="101" t="s">
        <v>300</v>
      </c>
      <c r="G57" s="13"/>
      <c r="H57" s="274">
        <f>H19-H53</f>
        <v>0</v>
      </c>
      <c r="I57" s="110"/>
      <c r="J57" s="40"/>
    </row>
    <row r="58" spans="1:16" ht="15.75">
      <c r="A58" s="104" t="s">
        <v>428</v>
      </c>
      <c r="B58" s="182">
        <f>C58/$C$61</f>
        <v>0</v>
      </c>
      <c r="C58" s="249">
        <v>0</v>
      </c>
      <c r="D58" s="345">
        <f>C58/$H$68</f>
        <v>0</v>
      </c>
      <c r="E58" s="13"/>
      <c r="F58" s="101" t="s">
        <v>410</v>
      </c>
      <c r="G58" s="97"/>
      <c r="H58" s="153"/>
      <c r="I58" s="110"/>
      <c r="J58" s="40"/>
    </row>
    <row r="59" spans="1:16" ht="15.75">
      <c r="A59" s="101" t="s">
        <v>106</v>
      </c>
      <c r="B59" s="167">
        <f>SUM(B56:B58)</f>
        <v>0</v>
      </c>
      <c r="C59" s="111">
        <f>SUM(C56:C58)</f>
        <v>0</v>
      </c>
      <c r="D59" s="345">
        <f>C59/$H$68</f>
        <v>0</v>
      </c>
      <c r="E59" s="13"/>
      <c r="F59" s="41"/>
      <c r="G59" s="13"/>
      <c r="H59" s="13"/>
      <c r="I59" s="13"/>
      <c r="J59" s="40"/>
    </row>
    <row r="60" spans="1:16" ht="15.75">
      <c r="A60" s="41"/>
      <c r="B60" s="13"/>
      <c r="C60" s="13"/>
      <c r="D60" s="348"/>
      <c r="E60" s="13"/>
      <c r="F60" s="101" t="s">
        <v>418</v>
      </c>
      <c r="G60" s="97"/>
      <c r="H60" s="153">
        <f>P17</f>
        <v>1.5</v>
      </c>
      <c r="I60" s="110"/>
      <c r="J60" s="40"/>
    </row>
    <row r="61" spans="1:16" ht="16.5" thickBot="1">
      <c r="A61" s="185" t="s">
        <v>101</v>
      </c>
      <c r="B61" s="181">
        <f>B59+B53+B36</f>
        <v>0.99999999999999978</v>
      </c>
      <c r="C61" s="198">
        <f>C59+C53+C36</f>
        <v>55000</v>
      </c>
      <c r="D61" s="349">
        <f>C61/$H$68</f>
        <v>597.82608695652175</v>
      </c>
      <c r="E61" s="13"/>
      <c r="F61" s="101"/>
      <c r="G61" s="13"/>
      <c r="H61" s="262"/>
      <c r="I61" s="110"/>
      <c r="J61" s="40"/>
    </row>
    <row r="62" spans="1:16" ht="16.5" thickBot="1">
      <c r="E62" s="13"/>
      <c r="F62" s="103" t="s">
        <v>425</v>
      </c>
      <c r="G62" s="42"/>
      <c r="H62" s="276">
        <f>H68*H72</f>
        <v>225400</v>
      </c>
      <c r="I62" s="203"/>
      <c r="J62" s="81"/>
    </row>
    <row r="63" spans="1:16" ht="16.5" thickBot="1">
      <c r="A63" s="94" t="s">
        <v>32</v>
      </c>
      <c r="B63" s="119"/>
      <c r="C63" s="202"/>
      <c r="D63" s="120"/>
      <c r="E63" s="13"/>
    </row>
    <row r="64" spans="1:16" ht="15.75">
      <c r="A64" s="41"/>
      <c r="B64" s="13"/>
      <c r="C64" s="13"/>
      <c r="D64" s="40"/>
      <c r="E64" s="13"/>
      <c r="F64" s="93" t="s">
        <v>5</v>
      </c>
      <c r="G64" s="200"/>
      <c r="H64" s="202"/>
      <c r="I64" s="38"/>
      <c r="J64" s="39"/>
    </row>
    <row r="65" spans="1:10" ht="15.75">
      <c r="A65" s="340" t="s">
        <v>266</v>
      </c>
      <c r="B65" s="341"/>
      <c r="C65" s="342">
        <f>D61</f>
        <v>597.82608695652175</v>
      </c>
      <c r="D65" s="40"/>
      <c r="E65" s="13"/>
      <c r="F65" s="180"/>
      <c r="G65" s="151"/>
      <c r="H65" s="110"/>
      <c r="I65" s="13"/>
      <c r="J65" s="40"/>
    </row>
    <row r="66" spans="1:10" ht="15.75">
      <c r="A66" s="520"/>
      <c r="B66" s="178"/>
      <c r="C66" s="178"/>
      <c r="D66" s="40"/>
      <c r="E66" s="13"/>
      <c r="F66" s="101" t="s">
        <v>126</v>
      </c>
      <c r="G66" s="13"/>
      <c r="H66" s="220">
        <f>H12*H13</f>
        <v>92</v>
      </c>
      <c r="I66" s="13"/>
      <c r="J66" s="40"/>
    </row>
    <row r="67" spans="1:10" ht="15.75">
      <c r="A67" s="101"/>
      <c r="B67" s="97"/>
      <c r="C67" s="96" t="s">
        <v>34</v>
      </c>
      <c r="D67" s="170" t="s">
        <v>33</v>
      </c>
      <c r="E67" s="13"/>
      <c r="F67" s="104" t="s">
        <v>89</v>
      </c>
      <c r="G67" s="13"/>
      <c r="H67" s="338">
        <v>0</v>
      </c>
      <c r="I67" s="13"/>
      <c r="J67" s="40"/>
    </row>
    <row r="68" spans="1:10" ht="15.75">
      <c r="A68" s="104" t="s">
        <v>0</v>
      </c>
      <c r="B68" s="108"/>
      <c r="C68" s="109">
        <f>Debt!E68</f>
        <v>1.2999999999999994</v>
      </c>
      <c r="D68" s="350">
        <f>Debt!E69</f>
        <v>1.2999999999999559</v>
      </c>
      <c r="E68" s="13"/>
      <c r="F68" s="118" t="s">
        <v>304</v>
      </c>
      <c r="G68" s="43"/>
      <c r="H68" s="357">
        <f>SUM(H66:H67)</f>
        <v>92</v>
      </c>
      <c r="I68" s="13"/>
      <c r="J68" s="40"/>
    </row>
    <row r="69" spans="1:10" ht="15.75">
      <c r="A69" s="41"/>
      <c r="B69" s="97"/>
      <c r="C69" s="13"/>
      <c r="D69" s="40"/>
      <c r="E69" s="13"/>
      <c r="F69" s="41"/>
      <c r="G69" s="13"/>
      <c r="H69" s="13"/>
      <c r="I69" s="13"/>
      <c r="J69" s="40"/>
    </row>
    <row r="70" spans="1:10" ht="15.75">
      <c r="A70" s="104" t="s">
        <v>330</v>
      </c>
      <c r="B70" s="13"/>
      <c r="C70" s="13"/>
      <c r="D70" s="40"/>
      <c r="E70" s="13"/>
      <c r="F70" s="101" t="s">
        <v>347</v>
      </c>
      <c r="G70" s="13"/>
      <c r="H70" s="250">
        <v>140</v>
      </c>
      <c r="I70" s="13"/>
      <c r="J70" s="40"/>
    </row>
    <row r="71" spans="1:10" ht="15.75">
      <c r="A71" s="101" t="s">
        <v>435</v>
      </c>
      <c r="B71" s="97"/>
      <c r="C71" s="146">
        <f>'Returns Analysis'!C39</f>
        <v>2.9802322387695314E-9</v>
      </c>
      <c r="D71" s="40"/>
      <c r="E71" s="13"/>
      <c r="F71" s="101" t="s">
        <v>262</v>
      </c>
      <c r="G71" s="13"/>
      <c r="H71" s="250">
        <v>400</v>
      </c>
      <c r="I71" s="13"/>
      <c r="J71" s="40"/>
    </row>
    <row r="72" spans="1:10" ht="16.5" thickBot="1">
      <c r="A72" s="101" t="str">
        <f>CONCATENATE("20 Yrs After-Tax Cashflow with ",H23,"x EBITDA Exit Multiple Residual Value")</f>
        <v>20 Yrs After-Tax Cashflow with 5x EBITDA Exit Multiple Residual Value</v>
      </c>
      <c r="B72" s="13"/>
      <c r="C72" s="146" t="e">
        <f>'Returns Analysis'!C46</f>
        <v>#NUM!</v>
      </c>
      <c r="D72" s="170" t="s">
        <v>434</v>
      </c>
      <c r="E72" s="13"/>
      <c r="F72" s="103" t="s">
        <v>169</v>
      </c>
      <c r="G72" s="42"/>
      <c r="H72" s="259">
        <v>2450</v>
      </c>
      <c r="I72" s="42"/>
      <c r="J72" s="81"/>
    </row>
    <row r="73" spans="1:10" ht="15.75">
      <c r="A73" s="101" t="str">
        <f>CONCATENATE("20 Yrs After-Tax Cashflow with ",H24*100,"% Initial Project Cost Residual Value")</f>
        <v>20 Yrs After-Tax Cashflow with 40% Initial Project Cost Residual Value</v>
      </c>
      <c r="B73" s="13"/>
      <c r="C73" s="146" t="e">
        <f>'Returns Analysis'!C53</f>
        <v>#NUM!</v>
      </c>
      <c r="D73" s="537">
        <v>0.12</v>
      </c>
    </row>
    <row r="74" spans="1:10" ht="15.75">
      <c r="A74" s="101" t="str">
        <f>CONCATENATE("20 Yrs After-Tax Cashflow with $",H25,"/kW Residual Value")</f>
        <v>20 Yrs After-Tax Cashflow with $200/kW Residual Value</v>
      </c>
      <c r="B74" s="13"/>
      <c r="C74" s="146" t="e">
        <f>'Returns Analysis'!C60</f>
        <v>#NUM!</v>
      </c>
      <c r="D74" s="102"/>
      <c r="E74" s="97"/>
    </row>
    <row r="75" spans="1:10" ht="15.75">
      <c r="A75" s="41"/>
      <c r="B75" s="13"/>
      <c r="C75" s="13"/>
      <c r="D75" s="40"/>
      <c r="E75" s="97"/>
    </row>
    <row r="76" spans="1:10" ht="15.75">
      <c r="A76" s="104" t="s">
        <v>86</v>
      </c>
      <c r="B76" s="96">
        <f>IS!C7</f>
        <v>2001</v>
      </c>
      <c r="C76" s="96">
        <f>IS!D7</f>
        <v>2002</v>
      </c>
      <c r="D76" s="170">
        <f>IS!E7</f>
        <v>2003</v>
      </c>
      <c r="E76" s="13"/>
    </row>
    <row r="77" spans="1:10" ht="15.75">
      <c r="A77" s="101" t="s">
        <v>97</v>
      </c>
      <c r="B77" s="111">
        <f>IS!C33</f>
        <v>3719.3333333333358</v>
      </c>
      <c r="C77" s="111">
        <f>IS!D33</f>
        <v>5730.899999999996</v>
      </c>
      <c r="D77" s="165">
        <f>IS!E33</f>
        <v>5708.4030000000021</v>
      </c>
      <c r="E77" s="13"/>
    </row>
    <row r="78" spans="1:10" ht="15.75">
      <c r="A78" s="101" t="s">
        <v>98</v>
      </c>
      <c r="B78" s="111">
        <f>IS!C46</f>
        <v>-1180.8628942800938</v>
      </c>
      <c r="C78" s="111">
        <f>IS!D46</f>
        <v>-1722.784072578931</v>
      </c>
      <c r="D78" s="165">
        <f>IS!E46</f>
        <v>-1805.0331505501495</v>
      </c>
      <c r="E78" s="13"/>
    </row>
    <row r="79" spans="1:10" ht="15.75">
      <c r="A79" s="101" t="s">
        <v>99</v>
      </c>
      <c r="B79" s="111">
        <f>'Returns Analysis'!C13</f>
        <v>1359.2755115497816</v>
      </c>
      <c r="C79" s="111">
        <f>'Returns Analysis'!D13</f>
        <v>24.494756750859779</v>
      </c>
      <c r="D79" s="165">
        <f>'Returns Analysis'!E13</f>
        <v>-110.61188981038413</v>
      </c>
      <c r="E79" s="13"/>
    </row>
    <row r="80" spans="1:10" ht="16.5" thickBot="1">
      <c r="A80" s="103" t="s">
        <v>360</v>
      </c>
      <c r="B80" s="112">
        <f>'Returns Analysis'!C21</f>
        <v>1925.3295502311917</v>
      </c>
      <c r="C80" s="112">
        <f>'Returns Analysis'!D21</f>
        <v>1354.5702390206525</v>
      </c>
      <c r="D80" s="191">
        <f>'Returns Analysis'!E21</f>
        <v>1313.0092760800808</v>
      </c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7"/>
    </row>
    <row r="87" spans="5:9" ht="15.75">
      <c r="E87" s="97"/>
    </row>
    <row r="88" spans="5:9" ht="15.75">
      <c r="E88" s="97"/>
    </row>
    <row r="89" spans="5:9" ht="15.75">
      <c r="E89" s="97"/>
    </row>
    <row r="90" spans="5:9">
      <c r="E90" s="13"/>
    </row>
    <row r="91" spans="5:9" ht="15.75">
      <c r="E91" s="97"/>
    </row>
    <row r="92" spans="5:9" ht="15.75">
      <c r="E92" s="97"/>
    </row>
    <row r="93" spans="5:9">
      <c r="E93" s="13"/>
    </row>
    <row r="94" spans="5:9" ht="15.75">
      <c r="E94" s="13"/>
      <c r="I94" s="158"/>
    </row>
    <row r="95" spans="5:9" ht="15.75">
      <c r="E95" s="97"/>
    </row>
    <row r="96" spans="5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8" name="Drop Down 205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200025</xdr:rowOff>
                  </from>
                  <to>
                    <xdr:col>9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9" name="Drop Down 216">
              <controlPr defaultSize="0" autoFill="0" autoLine="0" autoPict="0">
                <anchor moveWithCells="1">
                  <from>
                    <xdr:col>7</xdr:col>
                    <xdr:colOff>1209675</xdr:colOff>
                    <xdr:row>29</xdr:row>
                    <xdr:rowOff>0</xdr:rowOff>
                  </from>
                  <to>
                    <xdr:col>8</xdr:col>
                    <xdr:colOff>1181100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AU65"/>
  <sheetViews>
    <sheetView topLeftCell="A10" zoomScale="75" zoomScaleNormal="75" workbookViewId="0">
      <selection activeCell="C33" sqref="C33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91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5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5">
        <v>37256</v>
      </c>
      <c r="D8" s="365">
        <v>37621</v>
      </c>
      <c r="E8" s="365">
        <v>37986</v>
      </c>
      <c r="F8" s="365">
        <v>38352</v>
      </c>
      <c r="G8" s="365">
        <v>38717</v>
      </c>
      <c r="H8" s="365">
        <v>39082</v>
      </c>
      <c r="I8" s="365">
        <v>39447</v>
      </c>
      <c r="J8" s="365">
        <v>39813</v>
      </c>
      <c r="K8" s="365">
        <v>40178</v>
      </c>
      <c r="L8" s="365">
        <v>40543</v>
      </c>
      <c r="M8" s="365">
        <v>40908</v>
      </c>
      <c r="N8" s="365">
        <v>41274</v>
      </c>
      <c r="O8" s="365">
        <v>41639</v>
      </c>
      <c r="P8" s="365">
        <v>42004</v>
      </c>
      <c r="Q8" s="365">
        <v>42369</v>
      </c>
      <c r="R8" s="365">
        <v>42735</v>
      </c>
      <c r="S8" s="365">
        <v>43100</v>
      </c>
      <c r="T8" s="365">
        <v>43465</v>
      </c>
      <c r="U8" s="365">
        <v>43830</v>
      </c>
      <c r="V8" s="365">
        <v>44196</v>
      </c>
      <c r="W8" s="365">
        <v>44561</v>
      </c>
      <c r="X8" s="365">
        <v>44926</v>
      </c>
      <c r="Y8" s="365">
        <v>45291</v>
      </c>
      <c r="Z8" s="365">
        <v>45657</v>
      </c>
      <c r="AA8" s="365">
        <v>46022</v>
      </c>
      <c r="AB8" s="365">
        <v>46387</v>
      </c>
      <c r="AC8" s="365">
        <v>46752</v>
      </c>
      <c r="AD8" s="365">
        <v>47118</v>
      </c>
      <c r="AE8" s="365">
        <v>47483</v>
      </c>
      <c r="AF8" s="365">
        <v>47848</v>
      </c>
      <c r="AG8" s="365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115</v>
      </c>
      <c r="C10" s="74">
        <f>IF(C6&lt;Assumptions!$H$19,C6*12*'Price_Technical Assumption'!D21*Assumptions!$H$68,IF(AND(B6&lt;Assumptions!$H$19,C6&gt;Assumptions!$H$19),(1-$C$6)*12*'Price_Technical Assumption'!D21*Assumptions!$H$68,0))</f>
        <v>4416</v>
      </c>
      <c r="D10" s="74">
        <f>IF(D6&lt;Assumptions!$H$19,12*'Price_Technical Assumption'!E21*Assumptions!$H$68,IF(AND(C6&lt;Assumptions!$H$19,D6&gt;Assumptions!$H$19),(1-$C$6)*12*'Price_Technical Assumption'!E21*Assumptions!$H$68,0))</f>
        <v>6624</v>
      </c>
      <c r="E10" s="74">
        <f>IF(E6&lt;Assumptions!$H$19,12*'Price_Technical Assumption'!F21*Assumptions!$H$68,IF(AND(D6&lt;Assumptions!$H$19,E6&gt;Assumptions!$H$19),(1-$C$6)*12*'Price_Technical Assumption'!F21*Assumptions!$H$68,0))</f>
        <v>6624</v>
      </c>
      <c r="F10" s="74">
        <f>IF(F6&lt;Assumptions!$H$19,12*'Price_Technical Assumption'!G21*Assumptions!$H$68,IF(AND(E6&lt;Assumptions!$H$19,F6&gt;Assumptions!$H$19),(1-$C$6)*12*'Price_Technical Assumption'!G21*Assumptions!$H$68,0))</f>
        <v>6624</v>
      </c>
      <c r="G10" s="74">
        <f>IF(G6&lt;Assumptions!$H$19,12*'Price_Technical Assumption'!H21*Assumptions!$H$68,IF(AND(F6&lt;Assumptions!$H$19,G6&gt;Assumptions!$H$19),(1-$C$6)*12*'Price_Technical Assumption'!H21*Assumptions!$H$68,0))</f>
        <v>6624</v>
      </c>
      <c r="H10" s="74">
        <f>IF(H6&lt;Assumptions!$H$19,12*'Price_Technical Assumption'!I21*Assumptions!$H$68,IF(AND(G6&lt;Assumptions!$H$19,H6&gt;Assumptions!$H$19),(1-$C$6)*12*'Price_Technical Assumption'!I21*Assumptions!$H$68,0))</f>
        <v>6624</v>
      </c>
      <c r="I10" s="74">
        <f>IF(I6&lt;Assumptions!$H$19,12*'Price_Technical Assumption'!J21*Assumptions!$H$68,IF(AND(H6&lt;Assumptions!$H$19,I6&gt;Assumptions!$H$19),(1-$C$6)*12*'Price_Technical Assumption'!J21*Assumptions!$H$68,0))</f>
        <v>6624</v>
      </c>
      <c r="J10" s="74">
        <f>IF(J6&lt;Assumptions!$H$19,12*'Price_Technical Assumption'!K21*Assumptions!$H$68,IF(AND(I6&lt;Assumptions!$H$19,J6&gt;Assumptions!$H$19),(1-$C$6)*12*'Price_Technical Assumption'!K21*Assumptions!$H$68,0))</f>
        <v>6624</v>
      </c>
      <c r="K10" s="74">
        <f>IF(K6&lt;Assumptions!$H$19,12*'Price_Technical Assumption'!L21*Assumptions!$H$68,IF(AND(J6&lt;Assumptions!$H$19,K6&gt;Assumptions!$H$19),(1-$C$6)*12*'Price_Technical Assumption'!L21*Assumptions!$H$68,0))</f>
        <v>6624</v>
      </c>
      <c r="L10" s="74">
        <f>IF(L6&lt;Assumptions!$H$19,12*'Price_Technical Assumption'!M21*Assumptions!$H$68,IF(AND(K6&lt;Assumptions!$H$19,L6&gt;Assumptions!$H$19),(1-$C$6)*12*'Price_Technical Assumption'!M21*Assumptions!$H$68,0))</f>
        <v>6624</v>
      </c>
      <c r="M10" s="74">
        <f>IF(M6&lt;Assumptions!$H$19,12*'Price_Technical Assumption'!N21*Assumptions!$H$68,IF(AND(L6&lt;Assumptions!$H$19,M6&gt;Assumptions!$H$19),(1-$C$6)*12*'Price_Technical Assumption'!N21*Assumptions!$H$68,0))</f>
        <v>6624</v>
      </c>
      <c r="N10" s="74">
        <f>IF(N6&lt;Assumptions!$H$19,12*'Price_Technical Assumption'!O21*Assumptions!$H$68,IF(AND(M6&lt;Assumptions!$H$19,N6&gt;Assumptions!$H$19),(1-$C$6)*12*'Price_Technical Assumption'!O21*Assumptions!$H$68,0))</f>
        <v>6624</v>
      </c>
      <c r="O10" s="74">
        <f>IF(O6&lt;Assumptions!$H$19,12*'Price_Technical Assumption'!P21*Assumptions!$H$68,IF(AND(N6&lt;Assumptions!$H$19,O6&gt;Assumptions!$H$19),(1-$C$6)*12*'Price_Technical Assumption'!P21*Assumptions!$H$68,0))</f>
        <v>6624</v>
      </c>
      <c r="P10" s="74">
        <f>IF(P6&lt;Assumptions!$H$19,12*'Price_Technical Assumption'!Q21*Assumptions!$H$68,IF(AND(O6&lt;Assumptions!$H$19,P6&gt;Assumptions!$H$19),(1-$C$6)*12*'Price_Technical Assumption'!Q21*Assumptions!$H$68,0))</f>
        <v>6624</v>
      </c>
      <c r="Q10" s="74">
        <f>IF(Q6&lt;Assumptions!$H$19,12*'Price_Technical Assumption'!R21*Assumptions!$H$68,IF(AND(P6&lt;Assumptions!$H$19,Q6&gt;Assumptions!$H$19),(1-$C$6)*12*'Price_Technical Assumption'!R21*Assumptions!$H$68,0))</f>
        <v>6624</v>
      </c>
      <c r="R10" s="74">
        <f>IF(R6&lt;Assumptions!$H$19,12*'Price_Technical Assumption'!S21*Assumptions!$H$68,IF(AND(Q6&lt;Assumptions!$H$19,R6&gt;Assumptions!$H$19),(1-$C$6)*12*'Price_Technical Assumption'!S21*Assumptions!$H$68,0))</f>
        <v>6624</v>
      </c>
      <c r="S10" s="74">
        <f>IF(S6&lt;Assumptions!$H$19,12*'Price_Technical Assumption'!T21*Assumptions!$H$68,IF(AND(R6&lt;Assumptions!$H$19,S6&gt;Assumptions!$H$19),(1-$C$6)*12*'Price_Technical Assumption'!T21*Assumptions!$H$68,0))</f>
        <v>6624</v>
      </c>
      <c r="T10" s="74">
        <f>IF(T6&lt;Assumptions!$H$19,12*'Price_Technical Assumption'!U21*Assumptions!$H$68,IF(AND(S6&lt;Assumptions!$H$19,T6&gt;Assumptions!$H$19),(1-$C$6)*12*'Price_Technical Assumption'!U21*Assumptions!$H$68,0))</f>
        <v>6624</v>
      </c>
      <c r="U10" s="74">
        <f>IF(U6&lt;Assumptions!$H$19,12*'Price_Technical Assumption'!V21*Assumptions!$H$68,IF(AND(T6&lt;Assumptions!$H$19,U6&gt;Assumptions!$H$19),(1-$C$6)*12*'Price_Technical Assumption'!V21*Assumptions!$H$68,0))</f>
        <v>6624</v>
      </c>
      <c r="V10" s="74">
        <f>IF(V6&lt;Assumptions!$H$19,12*'Price_Technical Assumption'!W21*Assumptions!$H$68,IF(AND(U6&lt;Assumptions!$H$19,V6&gt;Assumptions!$H$19),(1-$C$6)*12*'Price_Technical Assumption'!W21*Assumptions!$H$68,0))</f>
        <v>6624</v>
      </c>
      <c r="W10" s="74">
        <f>IF(W6&lt;Assumptions!$H$19,12*'Price_Technical Assumption'!X21*Assumptions!$H$68,IF(AND(V6&lt;Assumptions!$H$19,W6&gt;Assumptions!$H$19),(1-$C$6)*12*'Price_Technical Assumption'!X21*Assumptions!$H$68,0))</f>
        <v>2485.5036949943519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116</v>
      </c>
      <c r="C11" s="74">
        <f>'Price_Technical Assumption'!D38*Assumptions!$H$62/1000</f>
        <v>7835.9465886996859</v>
      </c>
      <c r="D11" s="74">
        <f>'Price_Technical Assumption'!E38*Assumptions!$H$62/1000</f>
        <v>7802.1977420234007</v>
      </c>
      <c r="E11" s="74">
        <f>'Price_Technical Assumption'!F38*Assumptions!$H$62/1000</f>
        <v>7888.3720106133733</v>
      </c>
      <c r="F11" s="74">
        <f>'Price_Technical Assumption'!G38*Assumptions!$H$62/1000</f>
        <v>8015.2278797329482</v>
      </c>
      <c r="G11" s="74">
        <f>'Price_Technical Assumption'!H38*Assumptions!$H$62/1000</f>
        <v>8165.9820132996583</v>
      </c>
      <c r="H11" s="74">
        <f>'Price_Technical Assumption'!I38*Assumptions!$H$62/1000</f>
        <v>8325.9136520508182</v>
      </c>
      <c r="I11" s="74">
        <f>'Price_Technical Assumption'!J38*Assumptions!$H$62/1000</f>
        <v>8491.1047999124912</v>
      </c>
      <c r="J11" s="74">
        <f>'Price_Technical Assumption'!K38*Assumptions!$H$62/1000</f>
        <v>8668.4402328891138</v>
      </c>
      <c r="K11" s="74">
        <f>'Price_Technical Assumption'!L38*Assumptions!$H$62/1000</f>
        <v>8857.9307442548343</v>
      </c>
      <c r="L11" s="74">
        <f>'Price_Technical Assumption'!M38*Assumptions!$H$62/1000</f>
        <v>9059.5874510820267</v>
      </c>
      <c r="M11" s="74">
        <f>'Price_Technical Assumption'!N38*Assumptions!$H$62/1000</f>
        <v>9273.4218039552343</v>
      </c>
      <c r="N11" s="74">
        <f>'Price_Technical Assumption'!O38*Assumptions!$H$62/1000</f>
        <v>9471.4573873652917</v>
      </c>
      <c r="O11" s="74">
        <f>'Price_Technical Assumption'!P38*Assumptions!$H$62/1000</f>
        <v>9649.7781794673338</v>
      </c>
      <c r="P11" s="74">
        <f>'Price_Technical Assumption'!Q38*Assumptions!$H$62/1000</f>
        <v>9988.1104596017649</v>
      </c>
      <c r="Q11" s="74">
        <f>'Price_Technical Assumption'!R38*Assumptions!$H$62/1000</f>
        <v>10250.776929302363</v>
      </c>
      <c r="R11" s="74">
        <f>'Price_Technical Assumption'!S38*Assumptions!$H$62/1000</f>
        <v>10525.683661538678</v>
      </c>
      <c r="S11" s="74">
        <f>'Price_Technical Assumption'!T38*Assumptions!$H$62/1000</f>
        <v>10812.844328907489</v>
      </c>
      <c r="T11" s="74">
        <f>'Price_Technical Assumption'!U38*Assumptions!$H$62/1000</f>
        <v>11112.273014183464</v>
      </c>
      <c r="U11" s="74">
        <f>'Price_Technical Assumption'!V38*Assumptions!$H$62/1000</f>
        <v>11423.984222624515</v>
      </c>
      <c r="V11" s="74">
        <f>'Price_Technical Assumption'!W38*Assumptions!$H$62/1000</f>
        <v>11747.992894646299</v>
      </c>
      <c r="W11" s="74">
        <f>'Price_Technical Assumption'!X38*Assumptions!$H$62/1000</f>
        <v>12084.314418876933</v>
      </c>
      <c r="X11" s="74">
        <f>'Price_Technical Assumption'!Y38*Assumptions!$H$62/1000</f>
        <v>5826.6669306616404</v>
      </c>
      <c r="Y11" s="74">
        <f>'Price_Technical Assumption'!Z38*Assumptions!$H$62/1000</f>
        <v>5845.9114156894902</v>
      </c>
      <c r="Z11" s="74">
        <f>'Price_Technical Assumption'!AA38*Assumptions!$H$62/1000</f>
        <v>5865.7332352681733</v>
      </c>
      <c r="AA11" s="74">
        <f>'Price_Technical Assumption'!AB38*Assumptions!$H$62/1000</f>
        <v>5886.1497094342194</v>
      </c>
      <c r="AB11" s="74">
        <f>'Price_Technical Assumption'!AC38*Assumptions!$H$62/1000</f>
        <v>5907.1786778252463</v>
      </c>
      <c r="AC11" s="74">
        <f>'Price_Technical Assumption'!AD38*Assumptions!$H$62/1000</f>
        <v>5928.8385152680039</v>
      </c>
      <c r="AD11" s="74">
        <f>'Price_Technical Assumption'!AE38*Assumptions!$H$62/1000</f>
        <v>5951.1481478340438</v>
      </c>
      <c r="AE11" s="74">
        <f>'Price_Technical Assumption'!AF38*Assumptions!$H$62/1000</f>
        <v>5974.1270693770648</v>
      </c>
      <c r="AF11" s="74">
        <f>'Price_Technical Assumption'!AG38*Assumptions!$H$62/1000</f>
        <v>5997.7953585663772</v>
      </c>
      <c r="AG11" s="74">
        <f>'Price_Technical Assumption'!AH38*Assumptions!$H$62/1000</f>
        <v>6022.1736964313677</v>
      </c>
    </row>
    <row r="12" spans="1:33">
      <c r="A12" s="208" t="s">
        <v>117</v>
      </c>
      <c r="C12" s="366">
        <v>0</v>
      </c>
      <c r="D12" s="366">
        <v>0</v>
      </c>
      <c r="E12" s="366">
        <v>0</v>
      </c>
      <c r="F12" s="366">
        <v>0</v>
      </c>
      <c r="G12" s="366">
        <v>0</v>
      </c>
      <c r="H12" s="366">
        <v>0</v>
      </c>
      <c r="I12" s="366">
        <v>0</v>
      </c>
      <c r="J12" s="366">
        <v>0</v>
      </c>
      <c r="K12" s="366">
        <v>0</v>
      </c>
      <c r="L12" s="366">
        <v>0</v>
      </c>
      <c r="M12" s="366">
        <v>0</v>
      </c>
      <c r="N12" s="366">
        <v>0</v>
      </c>
      <c r="O12" s="366">
        <v>0</v>
      </c>
      <c r="P12" s="366">
        <v>0</v>
      </c>
      <c r="Q12" s="366">
        <v>0</v>
      </c>
      <c r="R12" s="366">
        <v>0</v>
      </c>
      <c r="S12" s="366">
        <v>0</v>
      </c>
      <c r="T12" s="366">
        <v>0</v>
      </c>
      <c r="U12" s="366">
        <v>0</v>
      </c>
      <c r="V12" s="366">
        <v>0</v>
      </c>
      <c r="W12" s="366">
        <v>0</v>
      </c>
      <c r="X12" s="366">
        <v>0</v>
      </c>
      <c r="Y12" s="366">
        <v>0</v>
      </c>
      <c r="Z12" s="366">
        <v>0</v>
      </c>
      <c r="AA12" s="366">
        <v>0</v>
      </c>
      <c r="AB12" s="366">
        <v>0</v>
      </c>
      <c r="AC12" s="366">
        <v>0</v>
      </c>
      <c r="AD12" s="366">
        <v>0</v>
      </c>
      <c r="AE12" s="366">
        <v>0</v>
      </c>
      <c r="AF12" s="366">
        <v>0</v>
      </c>
      <c r="AG12" s="366">
        <v>0</v>
      </c>
    </row>
    <row r="13" spans="1:33">
      <c r="A13" s="172" t="s">
        <v>40</v>
      </c>
      <c r="C13" s="65">
        <f t="shared" ref="C13:AG13" si="0">SUM(C10:C12)</f>
        <v>12251.946588699686</v>
      </c>
      <c r="D13" s="65">
        <f t="shared" si="0"/>
        <v>14426.1977420234</v>
      </c>
      <c r="E13" s="65">
        <f t="shared" si="0"/>
        <v>14512.372010613373</v>
      </c>
      <c r="F13" s="65">
        <f t="shared" si="0"/>
        <v>14639.227879732949</v>
      </c>
      <c r="G13" s="65">
        <f t="shared" si="0"/>
        <v>14789.982013299657</v>
      </c>
      <c r="H13" s="65">
        <f t="shared" si="0"/>
        <v>14949.913652050818</v>
      </c>
      <c r="I13" s="65">
        <f t="shared" si="0"/>
        <v>15115.104799912491</v>
      </c>
      <c r="J13" s="65">
        <f t="shared" si="0"/>
        <v>15292.440232889114</v>
      </c>
      <c r="K13" s="65">
        <f t="shared" si="0"/>
        <v>15481.930744254834</v>
      </c>
      <c r="L13" s="65">
        <f t="shared" si="0"/>
        <v>15683.587451082027</v>
      </c>
      <c r="M13" s="65">
        <f t="shared" si="0"/>
        <v>15897.421803955234</v>
      </c>
      <c r="N13" s="65">
        <f t="shared" si="0"/>
        <v>16095.457387365292</v>
      </c>
      <c r="O13" s="65">
        <f t="shared" si="0"/>
        <v>16273.778179467334</v>
      </c>
      <c r="P13" s="65">
        <f t="shared" si="0"/>
        <v>16612.110459601765</v>
      </c>
      <c r="Q13" s="65">
        <f t="shared" si="0"/>
        <v>16874.776929302363</v>
      </c>
      <c r="R13" s="65">
        <f t="shared" si="0"/>
        <v>17149.683661538678</v>
      </c>
      <c r="S13" s="65">
        <f t="shared" si="0"/>
        <v>17436.844328907489</v>
      </c>
      <c r="T13" s="65">
        <f t="shared" si="0"/>
        <v>17736.273014183462</v>
      </c>
      <c r="U13" s="65">
        <f t="shared" si="0"/>
        <v>18047.984222624516</v>
      </c>
      <c r="V13" s="65">
        <f t="shared" si="0"/>
        <v>18371.992894646297</v>
      </c>
      <c r="W13" s="65">
        <f t="shared" si="0"/>
        <v>14569.818113871284</v>
      </c>
      <c r="X13" s="65">
        <f t="shared" si="0"/>
        <v>5826.6669306616404</v>
      </c>
      <c r="Y13" s="65">
        <f t="shared" si="0"/>
        <v>5845.9114156894902</v>
      </c>
      <c r="Z13" s="65">
        <f t="shared" si="0"/>
        <v>5865.7332352681733</v>
      </c>
      <c r="AA13" s="65">
        <f t="shared" si="0"/>
        <v>5886.1497094342194</v>
      </c>
      <c r="AB13" s="65">
        <f t="shared" si="0"/>
        <v>5907.1786778252463</v>
      </c>
      <c r="AC13" s="65">
        <f t="shared" si="0"/>
        <v>5928.8385152680039</v>
      </c>
      <c r="AD13" s="65">
        <f t="shared" si="0"/>
        <v>5951.1481478340438</v>
      </c>
      <c r="AE13" s="65">
        <f t="shared" si="0"/>
        <v>5974.1270693770648</v>
      </c>
      <c r="AF13" s="65">
        <f t="shared" si="0"/>
        <v>5997.7953585663772</v>
      </c>
      <c r="AG13" s="65">
        <f t="shared" si="0"/>
        <v>6022.1736964313677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8">
        <f>Assumptions!$H$62*'Price_Technical Assumption'!D30*'Price_Technical Assumption'!D44/1000000</f>
        <v>7491.1179556342486</v>
      </c>
      <c r="D16" s="218">
        <f>Assumptions!$H$62*'Price_Technical Assumption'!E30*'Price_Technical Assumption'!E44/1000000</f>
        <v>7447.0242499660008</v>
      </c>
      <c r="E16" s="218">
        <f>Assumptions!$H$62*'Price_Technical Assumption'!F30*'Price_Technical Assumption'!F44/1000000</f>
        <v>7522.5433137942482</v>
      </c>
      <c r="F16" s="218">
        <f>Assumptions!$H$62*'Price_Technical Assumption'!G30*'Price_Technical Assumption'!G44/1000000</f>
        <v>7638.4243220092494</v>
      </c>
      <c r="G16" s="218">
        <f>Assumptions!$H$62*'Price_Technical Assumption'!H30*'Price_Technical Assumption'!H44/1000000</f>
        <v>7777.8743488442506</v>
      </c>
      <c r="H16" s="218">
        <f>Assumptions!$H$62*'Price_Technical Assumption'!I30*'Price_Technical Assumption'!I44/1000000</f>
        <v>7926.1627576617493</v>
      </c>
      <c r="I16" s="218">
        <f>Assumptions!$H$62*'Price_Technical Assumption'!J30*'Price_Technical Assumption'!J44/1000000</f>
        <v>8079.3613786917504</v>
      </c>
      <c r="J16" s="218">
        <f>Assumptions!$H$62*'Price_Technical Assumption'!K30*'Price_Technical Assumption'!K44/1000000</f>
        <v>8244.3445090317491</v>
      </c>
      <c r="K16" s="218">
        <f>Assumptions!$H$62*'Price_Technical Assumption'!L30*'Price_Technical Assumption'!L44/1000000</f>
        <v>8421.1121486817501</v>
      </c>
      <c r="L16" s="218">
        <f>Assumptions!$H$62*'Price_Technical Assumption'!M30*'Price_Technical Assumption'!M44/1000000</f>
        <v>8609.6642976417479</v>
      </c>
      <c r="M16" s="218">
        <f>Assumptions!$H$62*'Price_Technical Assumption'!N30*'Price_Technical Assumption'!N44/1000000</f>
        <v>8810.0009559117498</v>
      </c>
      <c r="N16" s="218">
        <f>Assumptions!$H$62*'Price_Technical Assumption'!O30*'Price_Technical Assumption'!O44/1000000</f>
        <v>8994.1339138805015</v>
      </c>
      <c r="O16" s="218">
        <f>Assumptions!$H$62*'Price_Technical Assumption'!P30*'Price_Technical Assumption'!P44/1000000</f>
        <v>9158.1350017780005</v>
      </c>
      <c r="P16" s="218">
        <f>Assumptions!$H$62*'Price_Technical Assumption'!Q30*'Price_Technical Assumption'!Q44/1000000</f>
        <v>9481.7179865817507</v>
      </c>
      <c r="Q16" s="218">
        <f>Assumptions!$H$62*'Price_Technical Assumption'!R30*'Price_Technical Assumption'!R44/1000000</f>
        <v>9729.192682091747</v>
      </c>
      <c r="R16" s="218">
        <f>Assumptions!$H$62*'Price_Technical Assumption'!S30*'Price_Technical Assumption'!S44/1000000</f>
        <v>9988.4518869117492</v>
      </c>
      <c r="S16" s="218">
        <f>Assumptions!$H$62*'Price_Technical Assumption'!T30*'Price_Technical Assumption'!T44/1000000</f>
        <v>10259.49560104175</v>
      </c>
      <c r="T16" s="218">
        <f>Assumptions!$H$62*'Price_Technical Assumption'!U30*'Price_Technical Assumption'!U44/1000000</f>
        <v>10542.323824481751</v>
      </c>
      <c r="U16" s="218">
        <f>Assumptions!$H$62*'Price_Technical Assumption'!V30*'Price_Technical Assumption'!V44/1000000</f>
        <v>10836.936557231751</v>
      </c>
      <c r="V16" s="218">
        <f>Assumptions!$H$62*'Price_Technical Assumption'!W30*'Price_Technical Assumption'!W44/1000000</f>
        <v>11143.33379929175</v>
      </c>
      <c r="W16" s="218">
        <f>Assumptions!$H$62*'Price_Technical Assumption'!X30*'Price_Technical Assumption'!X44/1000000</f>
        <v>11461.515550661748</v>
      </c>
      <c r="X16" s="218">
        <f>Assumptions!$H$62*'Price_Technical Assumption'!Y30*'Price_Technical Assumption'!Y44/1000000</f>
        <v>5185.1840964000003</v>
      </c>
      <c r="Y16" s="218">
        <f>Assumptions!$H$62*'Price_Technical Assumption'!Z30*'Price_Technical Assumption'!Z44/1000000</f>
        <v>5185.1840964000003</v>
      </c>
      <c r="Z16" s="218">
        <f>Assumptions!$H$62*'Price_Technical Assumption'!AA30*'Price_Technical Assumption'!AA44/1000000</f>
        <v>5185.1840964000003</v>
      </c>
      <c r="AA16" s="218">
        <f>Assumptions!$H$62*'Price_Technical Assumption'!AB30*'Price_Technical Assumption'!AB44/1000000</f>
        <v>5185.1840964000003</v>
      </c>
      <c r="AB16" s="218">
        <f>Assumptions!$H$62*'Price_Technical Assumption'!AC30*'Price_Technical Assumption'!AC44/1000000</f>
        <v>5185.1840964000003</v>
      </c>
      <c r="AC16" s="218">
        <f>Assumptions!$H$62*'Price_Technical Assumption'!AD30*'Price_Technical Assumption'!AD44/1000000</f>
        <v>5185.1840964000003</v>
      </c>
      <c r="AD16" s="218">
        <f>Assumptions!$H$62*'Price_Technical Assumption'!AE30*'Price_Technical Assumption'!AE44/1000000</f>
        <v>5185.1840964000003</v>
      </c>
      <c r="AE16" s="218">
        <f>Assumptions!$H$62*'Price_Technical Assumption'!AF30*'Price_Technical Assumption'!AF44/1000000</f>
        <v>5185.1840964000003</v>
      </c>
      <c r="AF16" s="218">
        <f>Assumptions!$H$62*'Price_Technical Assumption'!AG30*'Price_Technical Assumption'!AG44/1000000</f>
        <v>5185.1840964000003</v>
      </c>
      <c r="AG16" s="218">
        <f>Assumptions!$H$62*'Price_Technical Assumption'!AH30*'Price_Technical Assumption'!AH44/1000000</f>
        <v>5185.1840964000003</v>
      </c>
    </row>
    <row r="17" spans="1:47">
      <c r="A17" s="3" t="s">
        <v>198</v>
      </c>
      <c r="C17" s="74">
        <f>Assumptions!$N19*C6</f>
        <v>133.33333333333331</v>
      </c>
      <c r="D17" s="74">
        <f>Assumptions!$N19*(1+Assumptions!$N$11)</f>
        <v>206</v>
      </c>
      <c r="E17" s="74">
        <f>D17*(1+Assumptions!$N$11)</f>
        <v>212.18</v>
      </c>
      <c r="F17" s="74">
        <f>E17*(1+Assumptions!$N$11)</f>
        <v>218.5454</v>
      </c>
      <c r="G17" s="74">
        <f>F17*(1+Assumptions!$N$11)</f>
        <v>225.10176200000001</v>
      </c>
      <c r="H17" s="74">
        <f>G17*(1+Assumptions!$N$11)</f>
        <v>231.85481486</v>
      </c>
      <c r="I17" s="74">
        <f>H17*(1+Assumptions!$N$11)</f>
        <v>238.81045930580001</v>
      </c>
      <c r="J17" s="74">
        <f>I17*(1+Assumptions!$N$11)</f>
        <v>245.974773084974</v>
      </c>
      <c r="K17" s="74">
        <f>J17*(1+Assumptions!$N$11)</f>
        <v>253.35401627752324</v>
      </c>
      <c r="L17" s="74">
        <f>K17*(1+Assumptions!$N$11)</f>
        <v>260.95463676584893</v>
      </c>
      <c r="M17" s="74">
        <f>L17*(1+Assumptions!$N$11)</f>
        <v>268.78327586882443</v>
      </c>
      <c r="N17" s="74">
        <f>M17*(1+Assumptions!$N$11)</f>
        <v>276.8467741448892</v>
      </c>
      <c r="O17" s="74">
        <f>N17*(1+Assumptions!$N$11)</f>
        <v>285.15217736923586</v>
      </c>
      <c r="P17" s="74">
        <f>O17*(1+Assumptions!$N$11)</f>
        <v>293.70674269031292</v>
      </c>
      <c r="Q17" s="74">
        <f>P17*(1+Assumptions!$N$11)</f>
        <v>302.5179449710223</v>
      </c>
      <c r="R17" s="74">
        <f>Q17*(1+Assumptions!$N$11)</f>
        <v>311.59348332015298</v>
      </c>
      <c r="S17" s="74">
        <f>R17*(1+Assumptions!$N$11)</f>
        <v>320.94128781975758</v>
      </c>
      <c r="T17" s="74">
        <f>S17*(1+Assumptions!$N$11)</f>
        <v>330.5695264543503</v>
      </c>
      <c r="U17" s="74">
        <f>T17*(1+Assumptions!$N$11)</f>
        <v>340.48661224798082</v>
      </c>
      <c r="V17" s="74">
        <f>U17*(1+Assumptions!$N$11)</f>
        <v>350.70121061542022</v>
      </c>
      <c r="W17" s="74">
        <f>V17*(1+Assumptions!$N$11)</f>
        <v>361.22224693388284</v>
      </c>
      <c r="X17" s="74">
        <f>W17*(1+Assumptions!$N$11)</f>
        <v>372.05891434189931</v>
      </c>
      <c r="Y17" s="74">
        <f>X17*(1+Assumptions!$N$11)</f>
        <v>383.2206817721563</v>
      </c>
      <c r="Z17" s="74">
        <f>Y17*(1+Assumptions!$N$11)</f>
        <v>394.71730222532102</v>
      </c>
      <c r="AA17" s="74">
        <f>Z17*(1+Assumptions!$N$11)</f>
        <v>406.55882129208067</v>
      </c>
      <c r="AB17" s="74">
        <f>AA17*(1+Assumptions!$N$11)</f>
        <v>418.7555859308431</v>
      </c>
      <c r="AC17" s="74">
        <f>AB17*(1+Assumptions!$N$11)</f>
        <v>431.31825350876841</v>
      </c>
      <c r="AD17" s="74">
        <f>AC17*(1+Assumptions!$N$11)</f>
        <v>444.25780111403145</v>
      </c>
      <c r="AE17" s="74">
        <f>AD17*(1+Assumptions!$N$11)</f>
        <v>457.58553514745239</v>
      </c>
      <c r="AF17" s="74">
        <f>AE17*(1+Assumptions!$N$11)</f>
        <v>471.31310120187595</v>
      </c>
      <c r="AG17" s="74">
        <f>AF17*(1+Assumptions!$N$11)</f>
        <v>485.45249423793223</v>
      </c>
    </row>
    <row r="18" spans="1:47">
      <c r="A18" s="3" t="s">
        <v>244</v>
      </c>
      <c r="C18" s="218">
        <f>+(Assumptions!$P$15*Assumptions!$H$62)/1000*(1+Assumptions!$N$11)^IS!C6</f>
        <v>68.965726613087554</v>
      </c>
      <c r="D18" s="74">
        <f>C18*(1+Assumptions!$N$11)</f>
        <v>71.034698411480178</v>
      </c>
      <c r="E18" s="74">
        <f>D18*(1+Assumptions!$N$11)</f>
        <v>73.165739363824585</v>
      </c>
      <c r="F18" s="74">
        <f>E18*(1+Assumptions!$N$11)</f>
        <v>75.360711544739331</v>
      </c>
      <c r="G18" s="74">
        <f>F18*(1+Assumptions!$N$11)</f>
        <v>77.621532891081515</v>
      </c>
      <c r="H18" s="74">
        <f>G18*(1+Assumptions!$N$11)</f>
        <v>79.950178877813968</v>
      </c>
      <c r="I18" s="74">
        <f>H18*(1+Assumptions!$N$11)</f>
        <v>82.348684244148387</v>
      </c>
      <c r="J18" s="74">
        <f>I18*(1+Assumptions!$N$11)</f>
        <v>84.819144771472835</v>
      </c>
      <c r="K18" s="74">
        <f>J18*(1+Assumptions!$N$11)</f>
        <v>87.363719114617027</v>
      </c>
      <c r="L18" s="74">
        <f>K18*(1+Assumptions!$N$11)</f>
        <v>89.984630688055546</v>
      </c>
      <c r="M18" s="74">
        <f>L18*(1+Assumptions!$N$11)</f>
        <v>92.684169608697218</v>
      </c>
      <c r="N18" s="74">
        <f>M18*(1+Assumptions!$N$11)</f>
        <v>95.464694696958134</v>
      </c>
      <c r="O18" s="74">
        <f>N18*(1+Assumptions!$N$11)</f>
        <v>98.328635537866873</v>
      </c>
      <c r="P18" s="74">
        <f>O18*(1+Assumptions!$N$11)</f>
        <v>101.27849460400289</v>
      </c>
      <c r="Q18" s="74">
        <f>P18*(1+Assumptions!$N$11)</f>
        <v>104.31684944212297</v>
      </c>
      <c r="R18" s="74">
        <f>Q18*(1+Assumptions!$N$11)</f>
        <v>107.44635492538666</v>
      </c>
      <c r="S18" s="74">
        <f>R18*(1+Assumptions!$N$11)</f>
        <v>110.66974557314826</v>
      </c>
      <c r="T18" s="74">
        <f>S18*(1+Assumptions!$N$11)</f>
        <v>113.98983794034271</v>
      </c>
      <c r="U18" s="74">
        <f>T18*(1+Assumptions!$N$11)</f>
        <v>117.409533078553</v>
      </c>
      <c r="V18" s="74">
        <f>U18*(1+Assumptions!$N$11)</f>
        <v>120.93181907090958</v>
      </c>
      <c r="W18" s="74">
        <f>V18*(1+Assumptions!$N$11)</f>
        <v>124.55977364303688</v>
      </c>
      <c r="X18" s="74">
        <f>W18*(1+Assumptions!$N$11)</f>
        <v>128.296566852328</v>
      </c>
      <c r="Y18" s="74">
        <f>X18*(1+Assumptions!$N$11)</f>
        <v>132.14546385789785</v>
      </c>
      <c r="Z18" s="74">
        <f>Y18*(1+Assumptions!$N$11)</f>
        <v>136.10982777363478</v>
      </c>
      <c r="AA18" s="74">
        <f>Z18*(1+Assumptions!$N$11)</f>
        <v>140.19312260684381</v>
      </c>
      <c r="AB18" s="74">
        <f>AA18*(1+Assumptions!$N$11)</f>
        <v>144.39891628504913</v>
      </c>
      <c r="AC18" s="74">
        <f>AB18*(1+Assumptions!$N$11)</f>
        <v>148.7308837736006</v>
      </c>
      <c r="AD18" s="74">
        <f>AC18*(1+Assumptions!$N$11)</f>
        <v>153.19281028680862</v>
      </c>
      <c r="AE18" s="74">
        <f>AD18*(1+Assumptions!$N$11)</f>
        <v>157.78859459541289</v>
      </c>
      <c r="AF18" s="74">
        <f>AE18*(1+Assumptions!$N$11)</f>
        <v>162.52225243327527</v>
      </c>
      <c r="AG18" s="74">
        <f>AF18*(1+Assumptions!$N$11)</f>
        <v>167.39792000627352</v>
      </c>
    </row>
    <row r="19" spans="1:47">
      <c r="A19" s="3" t="s">
        <v>245</v>
      </c>
      <c r="C19" s="74">
        <f>Assumptions!$P$16*Assumptions!$H$62/1000*(1+Assumptions!$N$11)^IS!C6</f>
        <v>275.86290645235022</v>
      </c>
      <c r="D19" s="74">
        <f>C19*(1+Assumptions!$N$11)</f>
        <v>284.13879364592071</v>
      </c>
      <c r="E19" s="74">
        <f>D19*(1+Assumptions!$N$11)</f>
        <v>292.66295745529834</v>
      </c>
      <c r="F19" s="74">
        <f>E19*(1+Assumptions!$N$11)</f>
        <v>301.44284617895732</v>
      </c>
      <c r="G19" s="74">
        <f>F19*(1+Assumptions!$N$11)</f>
        <v>310.48613156432606</v>
      </c>
      <c r="H19" s="74">
        <f>G19*(1+Assumptions!$N$11)</f>
        <v>319.80071551125587</v>
      </c>
      <c r="I19" s="74">
        <f>H19*(1+Assumptions!$N$11)</f>
        <v>329.39473697659355</v>
      </c>
      <c r="J19" s="74">
        <f>I19*(1+Assumptions!$N$11)</f>
        <v>339.27657908589134</v>
      </c>
      <c r="K19" s="74">
        <f>J19*(1+Assumptions!$N$11)</f>
        <v>349.45487645846811</v>
      </c>
      <c r="L19" s="74">
        <f>K19*(1+Assumptions!$N$11)</f>
        <v>359.93852275222218</v>
      </c>
      <c r="M19" s="74">
        <f>L19*(1+Assumptions!$N$11)</f>
        <v>370.73667843478887</v>
      </c>
      <c r="N19" s="74">
        <f>M19*(1+Assumptions!$N$11)</f>
        <v>381.85877878783253</v>
      </c>
      <c r="O19" s="74">
        <f>N19*(1+Assumptions!$N$11)</f>
        <v>393.31454215146749</v>
      </c>
      <c r="P19" s="74">
        <f>O19*(1+Assumptions!$N$11)</f>
        <v>405.11397841601155</v>
      </c>
      <c r="Q19" s="74">
        <f>P19*(1+Assumptions!$N$11)</f>
        <v>417.26739776849189</v>
      </c>
      <c r="R19" s="74">
        <f>Q19*(1+Assumptions!$N$11)</f>
        <v>429.78541970154663</v>
      </c>
      <c r="S19" s="74">
        <f>R19*(1+Assumptions!$N$11)</f>
        <v>442.67898229259305</v>
      </c>
      <c r="T19" s="74">
        <f>S19*(1+Assumptions!$N$11)</f>
        <v>455.95935176137084</v>
      </c>
      <c r="U19" s="74">
        <f>T19*(1+Assumptions!$N$11)</f>
        <v>469.63813231421199</v>
      </c>
      <c r="V19" s="74">
        <f>U19*(1+Assumptions!$N$11)</f>
        <v>483.72727628363833</v>
      </c>
      <c r="W19" s="74">
        <f>V19*(1+Assumptions!$N$11)</f>
        <v>498.23909457214751</v>
      </c>
      <c r="X19" s="74">
        <f>W19*(1+Assumptions!$N$11)</f>
        <v>513.18626740931199</v>
      </c>
      <c r="Y19" s="74">
        <f>X19*(1+Assumptions!$N$11)</f>
        <v>528.58185543159141</v>
      </c>
      <c r="Z19" s="74">
        <f>Y19*(1+Assumptions!$N$11)</f>
        <v>544.43931109453911</v>
      </c>
      <c r="AA19" s="74">
        <f>Z19*(1+Assumptions!$N$11)</f>
        <v>560.77249042737526</v>
      </c>
      <c r="AB19" s="74">
        <f>AA19*(1+Assumptions!$N$11)</f>
        <v>577.5956651401965</v>
      </c>
      <c r="AC19" s="74">
        <f>AB19*(1+Assumptions!$N$11)</f>
        <v>594.92353509440238</v>
      </c>
      <c r="AD19" s="74">
        <f>AC19*(1+Assumptions!$N$11)</f>
        <v>612.77124114723449</v>
      </c>
      <c r="AE19" s="74">
        <f>AD19*(1+Assumptions!$N$11)</f>
        <v>631.15437838165155</v>
      </c>
      <c r="AF19" s="74">
        <f>AE19*(1+Assumptions!$N$11)</f>
        <v>650.08900973310108</v>
      </c>
      <c r="AG19" s="74">
        <f>AF19*(1+Assumptions!$N$11)</f>
        <v>669.59168002509409</v>
      </c>
    </row>
    <row r="20" spans="1:47">
      <c r="A20" s="3" t="s">
        <v>35</v>
      </c>
      <c r="C20" s="74">
        <f>Assumptions!$N20*Assumptions!H18/12</f>
        <v>133.33333333333334</v>
      </c>
      <c r="D20" s="74">
        <f>Assumptions!$N20*(1+Assumptions!$N$11)</f>
        <v>206</v>
      </c>
      <c r="E20" s="74">
        <f>D20*(1+Assumptions!$N$11)</f>
        <v>212.18</v>
      </c>
      <c r="F20" s="74">
        <f>E20*(1+Assumptions!$N$11)</f>
        <v>218.5454</v>
      </c>
      <c r="G20" s="74">
        <f>F20*(1+Assumptions!$N$11)</f>
        <v>225.10176200000001</v>
      </c>
      <c r="H20" s="74">
        <f>G20*(1+Assumptions!$N$11)</f>
        <v>231.85481486</v>
      </c>
      <c r="I20" s="74">
        <f>H20*(1+Assumptions!$N$11)</f>
        <v>238.81045930580001</v>
      </c>
      <c r="J20" s="74">
        <f>I20*(1+Assumptions!$N$11)</f>
        <v>245.974773084974</v>
      </c>
      <c r="K20" s="74">
        <f>J20*(1+Assumptions!$N$11)</f>
        <v>253.35401627752324</v>
      </c>
      <c r="L20" s="74">
        <f>K20*(1+Assumptions!$N$11)</f>
        <v>260.95463676584893</v>
      </c>
      <c r="M20" s="74">
        <f>L20*(1+Assumptions!$N$11)</f>
        <v>268.78327586882443</v>
      </c>
      <c r="N20" s="74">
        <f>M20*(1+Assumptions!$N$11)</f>
        <v>276.8467741448892</v>
      </c>
      <c r="O20" s="74">
        <f>N20*(1+Assumptions!$N$11)</f>
        <v>285.15217736923586</v>
      </c>
      <c r="P20" s="74">
        <f>O20*(1+Assumptions!$N$11)</f>
        <v>293.70674269031292</v>
      </c>
      <c r="Q20" s="74">
        <f>P20*(1+Assumptions!$N$11)</f>
        <v>302.5179449710223</v>
      </c>
      <c r="R20" s="74">
        <f>Q20*(1+Assumptions!$N$11)</f>
        <v>311.59348332015298</v>
      </c>
      <c r="S20" s="74">
        <f>R20*(1+Assumptions!$N$11)</f>
        <v>320.94128781975758</v>
      </c>
      <c r="T20" s="74">
        <f>S20*(1+Assumptions!$N$11)</f>
        <v>330.5695264543503</v>
      </c>
      <c r="U20" s="74">
        <f>T20*(1+Assumptions!$N$11)</f>
        <v>340.48661224798082</v>
      </c>
      <c r="V20" s="74">
        <f>U20*(1+Assumptions!$N$11)</f>
        <v>350.70121061542022</v>
      </c>
      <c r="W20" s="74">
        <f>V20*(1+Assumptions!$N$11)</f>
        <v>361.22224693388284</v>
      </c>
      <c r="X20" s="74">
        <f>W20*(1+Assumptions!$N$11)</f>
        <v>372.05891434189931</v>
      </c>
      <c r="Y20" s="74">
        <f>X20*(1+Assumptions!$N$11)</f>
        <v>383.2206817721563</v>
      </c>
      <c r="Z20" s="74">
        <f>Y20*(1+Assumptions!$N$11)</f>
        <v>394.71730222532102</v>
      </c>
      <c r="AA20" s="74">
        <f>Z20*(1+Assumptions!$N$11)</f>
        <v>406.55882129208067</v>
      </c>
      <c r="AB20" s="74">
        <f>AA20*(1+Assumptions!$N$11)</f>
        <v>418.7555859308431</v>
      </c>
      <c r="AC20" s="74">
        <f>AB20*(1+Assumptions!$N$11)</f>
        <v>431.31825350876841</v>
      </c>
      <c r="AD20" s="74">
        <f>AC20*(1+Assumptions!$N$11)</f>
        <v>444.25780111403145</v>
      </c>
      <c r="AE20" s="74">
        <f>AD20*(1+Assumptions!$N$11)</f>
        <v>457.58553514745239</v>
      </c>
      <c r="AF20" s="74">
        <f>AE20*(1+Assumptions!$N$11)</f>
        <v>471.31310120187595</v>
      </c>
      <c r="AG20" s="74">
        <f>AF20*(1+Assumptions!$N$11)</f>
        <v>485.45249423793223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346</v>
      </c>
      <c r="C22" s="74">
        <f>+Assumptions!N22</f>
        <v>50</v>
      </c>
      <c r="D22" s="74">
        <f>+Assumptions!N22*(1+Assumptions!$N$11)</f>
        <v>51.5</v>
      </c>
      <c r="E22" s="74">
        <f>D22*(1+Assumptions!$N$11)</f>
        <v>53.045000000000002</v>
      </c>
      <c r="F22" s="74">
        <f>E22*(1+Assumptions!$N$11)</f>
        <v>54.63635</v>
      </c>
      <c r="G22" s="74">
        <f>F22*(1+Assumptions!$N$11)</f>
        <v>56.275440500000002</v>
      </c>
      <c r="H22" s="74">
        <f>G22*(1+Assumptions!$N$11)</f>
        <v>57.963703715000001</v>
      </c>
      <c r="I22" s="74">
        <f>H22*(1+Assumptions!$N$11)</f>
        <v>59.702614826450002</v>
      </c>
      <c r="J22" s="74">
        <f>I22*(1+Assumptions!$N$11)</f>
        <v>61.493693271243501</v>
      </c>
      <c r="K22" s="74">
        <f>J22*(1+Assumptions!$N$11)</f>
        <v>63.338504069380811</v>
      </c>
      <c r="L22" s="74">
        <f>K22*(1+Assumptions!$N$11)</f>
        <v>65.238659191462233</v>
      </c>
      <c r="M22" s="74">
        <f>L22*(1+Assumptions!$N$11)</f>
        <v>67.195818967206108</v>
      </c>
      <c r="N22" s="74">
        <f>M22*(1+Assumptions!$N$11)</f>
        <v>69.211693536222299</v>
      </c>
      <c r="O22" s="74">
        <f>N22*(1+Assumptions!$N$11)</f>
        <v>71.288044342308964</v>
      </c>
      <c r="P22" s="74">
        <f>O22*(1+Assumptions!$N$11)</f>
        <v>73.42668567257823</v>
      </c>
      <c r="Q22" s="74">
        <f>P22*(1+Assumptions!$N$11)</f>
        <v>75.629486242755576</v>
      </c>
      <c r="R22" s="74">
        <f>Q22*(1+Assumptions!$N$11)</f>
        <v>77.898370830038246</v>
      </c>
      <c r="S22" s="74">
        <f>R22*(1+Assumptions!$N$11)</f>
        <v>80.235321954939394</v>
      </c>
      <c r="T22" s="74">
        <f>S22*(1+Assumptions!$N$11)</f>
        <v>82.642381613587574</v>
      </c>
      <c r="U22" s="74">
        <f>T22*(1+Assumptions!$N$11)</f>
        <v>85.121653061995204</v>
      </c>
      <c r="V22" s="74">
        <f>U22*(1+Assumptions!$N$11)</f>
        <v>87.675302653855056</v>
      </c>
      <c r="W22" s="74">
        <f>V22*(1+Assumptions!$N$11)</f>
        <v>90.305561733470711</v>
      </c>
      <c r="X22" s="74">
        <f>W22*(1+Assumptions!$N$11)</f>
        <v>93.014728585474828</v>
      </c>
      <c r="Y22" s="74">
        <f>X22*(1+Assumptions!$N$11)</f>
        <v>95.805170443039074</v>
      </c>
      <c r="Z22" s="74">
        <f>Y22*(1+Assumptions!$N$11)</f>
        <v>98.679325556330255</v>
      </c>
      <c r="AA22" s="74">
        <f>Z22*(1+Assumptions!$N$11)</f>
        <v>101.63970532302017</v>
      </c>
      <c r="AB22" s="74">
        <f>AA22*(1+Assumptions!$N$11)</f>
        <v>104.68889648271077</v>
      </c>
      <c r="AC22" s="74">
        <f>AB22*(1+Assumptions!$N$11)</f>
        <v>107.8295633771921</v>
      </c>
      <c r="AD22" s="74">
        <f>AC22*(1+Assumptions!$N$11)</f>
        <v>111.06445027850786</v>
      </c>
      <c r="AE22" s="74">
        <f>AD22*(1+Assumptions!$N$11)</f>
        <v>114.3963837868631</v>
      </c>
      <c r="AF22" s="74">
        <f>AE22*(1+Assumptions!$N$11)</f>
        <v>117.82827530046899</v>
      </c>
      <c r="AG22" s="74">
        <f>AF22*(1+Assumptions!$N$11)</f>
        <v>121.36312355948306</v>
      </c>
    </row>
    <row r="23" spans="1:47" ht="14.25" customHeight="1">
      <c r="A23" s="3" t="s">
        <v>210</v>
      </c>
      <c r="C23" s="192">
        <f>Assumptions!N30</f>
        <v>300</v>
      </c>
      <c r="D23" s="192">
        <f>C23*(1+Assumptions!$P$30)</f>
        <v>306</v>
      </c>
      <c r="E23" s="192">
        <f>D23*(1+Assumptions!$P$30)</f>
        <v>312.12</v>
      </c>
      <c r="F23" s="192">
        <f>E23*(1+Assumptions!$P$30)</f>
        <v>318.36240000000004</v>
      </c>
      <c r="G23" s="192">
        <f>F23*(1+Assumptions!$P$30)</f>
        <v>324.72964800000005</v>
      </c>
      <c r="H23" s="192">
        <f>G23*(1+Assumptions!$P$30)</f>
        <v>331.22424096000009</v>
      </c>
      <c r="I23" s="192">
        <f>H23*(1+Assumptions!$P$30)</f>
        <v>337.84872577920009</v>
      </c>
      <c r="J23" s="192">
        <f>I23*(1+Assumptions!$P$30)</f>
        <v>344.60570029478413</v>
      </c>
      <c r="K23" s="192">
        <f>J23*(1+Assumptions!$P$30)</f>
        <v>351.49781430067981</v>
      </c>
      <c r="L23" s="192">
        <f>K23*(1+Assumptions!$P$30)</f>
        <v>358.52777058669341</v>
      </c>
      <c r="M23" s="192">
        <f>L23*(1+Assumptions!$P$30)</f>
        <v>365.69832599842726</v>
      </c>
      <c r="N23" s="192">
        <f>M23*(1+Assumptions!$P$30)</f>
        <v>373.01229251839584</v>
      </c>
      <c r="O23" s="192">
        <f>N23*(1+Assumptions!$P$30)</f>
        <v>380.47253836876376</v>
      </c>
      <c r="P23" s="192">
        <f>O23*(1+Assumptions!$P$30)</f>
        <v>388.08198913613904</v>
      </c>
      <c r="Q23" s="192">
        <f>P23*(1+Assumptions!$P$30)</f>
        <v>395.84362891886184</v>
      </c>
      <c r="R23" s="192">
        <f>Q23*(1+Assumptions!$P$30)</f>
        <v>403.76050149723909</v>
      </c>
      <c r="S23" s="192">
        <f>R23*(1+Assumptions!$P$30)</f>
        <v>411.83571152718389</v>
      </c>
      <c r="T23" s="192">
        <f>S23*(1+Assumptions!$P$30)</f>
        <v>420.07242575772756</v>
      </c>
      <c r="U23" s="192">
        <f>T23*(1+Assumptions!$P$30)</f>
        <v>428.47387427288214</v>
      </c>
      <c r="V23" s="192">
        <f>U23*(1+Assumptions!$P$30)</f>
        <v>437.04335175833978</v>
      </c>
      <c r="W23" s="192">
        <f>V23*(1+Assumptions!$P$30)</f>
        <v>445.78421879350657</v>
      </c>
      <c r="X23" s="192">
        <f>W23*(1+Assumptions!$P$30)</f>
        <v>454.69990316937668</v>
      </c>
      <c r="Y23" s="192">
        <f>X23*(1+Assumptions!$P$30)</f>
        <v>463.7939012327642</v>
      </c>
      <c r="Z23" s="192">
        <f>Y23*(1+Assumptions!$P$30)</f>
        <v>473.0697792574195</v>
      </c>
      <c r="AA23" s="192">
        <f>Z23*(1+Assumptions!$P$30)</f>
        <v>482.53117484256791</v>
      </c>
      <c r="AB23" s="192">
        <f>AA23*(1+Assumptions!$P$30)</f>
        <v>492.18179833941929</v>
      </c>
      <c r="AC23" s="192">
        <f>AB23*(1+Assumptions!$P$30)</f>
        <v>502.02543430620767</v>
      </c>
      <c r="AD23" s="192">
        <f>AC23*(1+Assumptions!$P$30)</f>
        <v>512.06594299233188</v>
      </c>
      <c r="AE23" s="192">
        <f>AD23*(1+Assumptions!$P$30)</f>
        <v>522.3072618521785</v>
      </c>
      <c r="AF23" s="192">
        <f>AE23*(1+Assumptions!$P$30)</f>
        <v>532.75340708922204</v>
      </c>
      <c r="AG23" s="192">
        <f>AF23*(1+Assumptions!$P$30)</f>
        <v>543.40847523100649</v>
      </c>
    </row>
    <row r="24" spans="1:47">
      <c r="A24" s="5" t="s">
        <v>200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204</v>
      </c>
      <c r="C25" s="192">
        <v>0</v>
      </c>
      <c r="D25" s="192">
        <v>0</v>
      </c>
      <c r="E25" s="192">
        <v>0</v>
      </c>
      <c r="F25" s="192">
        <v>0</v>
      </c>
      <c r="G25" s="192">
        <v>0</v>
      </c>
      <c r="H25" s="192">
        <v>0</v>
      </c>
      <c r="I25" s="192">
        <v>0</v>
      </c>
      <c r="J25" s="192">
        <v>0</v>
      </c>
      <c r="K25" s="192">
        <v>0</v>
      </c>
      <c r="L25" s="192">
        <v>0</v>
      </c>
      <c r="M25" s="192">
        <v>0</v>
      </c>
      <c r="N25" s="192">
        <v>0</v>
      </c>
      <c r="O25" s="192">
        <v>0</v>
      </c>
      <c r="P25" s="192">
        <v>0</v>
      </c>
      <c r="Q25" s="192">
        <v>0</v>
      </c>
      <c r="R25" s="192">
        <v>0</v>
      </c>
      <c r="S25" s="192">
        <v>0</v>
      </c>
      <c r="T25" s="192">
        <v>0</v>
      </c>
      <c r="U25" s="192">
        <v>0</v>
      </c>
      <c r="V25" s="192">
        <v>0</v>
      </c>
      <c r="W25" s="192">
        <v>0</v>
      </c>
      <c r="X25" s="192">
        <v>0</v>
      </c>
      <c r="Y25" s="192">
        <v>0</v>
      </c>
      <c r="Z25" s="192">
        <v>0</v>
      </c>
      <c r="AA25" s="192">
        <v>0</v>
      </c>
      <c r="AB25" s="192">
        <v>0</v>
      </c>
      <c r="AC25" s="192">
        <v>0</v>
      </c>
      <c r="AD25" s="192">
        <v>0</v>
      </c>
      <c r="AE25" s="192">
        <v>0</v>
      </c>
      <c r="AF25" s="192">
        <v>0</v>
      </c>
      <c r="AG25" s="192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26.666666666666668</v>
      </c>
      <c r="D27" s="74">
        <f>Assumptions!$O$23*Assumptions!$H$68*(1+Assumptions!$N$11)</f>
        <v>41.2</v>
      </c>
      <c r="E27" s="74">
        <f>Assumptions!$O$23*Assumptions!$H$68*(1+Assumptions!$N$11)</f>
        <v>41.2</v>
      </c>
      <c r="F27" s="74">
        <f>Assumptions!$O$23*Assumptions!$H$68*(1+Assumptions!$N$11)</f>
        <v>41.2</v>
      </c>
      <c r="G27" s="74">
        <f>Assumptions!$O$23*Assumptions!$H$68*(1+Assumptions!$N$11)</f>
        <v>41.2</v>
      </c>
      <c r="H27" s="74">
        <f>Assumptions!$O$23*Assumptions!$H$68*(1+Assumptions!$N$11)</f>
        <v>41.2</v>
      </c>
      <c r="I27" s="74">
        <f>Assumptions!$O$23*Assumptions!$H$68*(1+Assumptions!$N$11)</f>
        <v>41.2</v>
      </c>
      <c r="J27" s="74">
        <f>Assumptions!$O$23*Assumptions!$H$68*(1+Assumptions!$N$11)</f>
        <v>41.2</v>
      </c>
      <c r="K27" s="74">
        <f>Assumptions!$O$23*Assumptions!$H$68*(1+Assumptions!$N$11)</f>
        <v>41.2</v>
      </c>
      <c r="L27" s="74">
        <f>Assumptions!$O$23*Assumptions!$H$68*(1+Assumptions!$N$11)</f>
        <v>41.2</v>
      </c>
      <c r="M27" s="74">
        <f>Assumptions!$O$23*Assumptions!$H$68*(1+Assumptions!$N$11)</f>
        <v>41.2</v>
      </c>
      <c r="N27" s="74">
        <f>Assumptions!$O$23*Assumptions!$H$68*(1+Assumptions!$N$11)</f>
        <v>41.2</v>
      </c>
      <c r="O27" s="74">
        <f>Assumptions!$O$23*Assumptions!$H$68*(1+Assumptions!$N$11)</f>
        <v>41.2</v>
      </c>
      <c r="P27" s="74">
        <f>Assumptions!$O$23*Assumptions!$H$68*(1+Assumptions!$N$11)</f>
        <v>41.2</v>
      </c>
      <c r="Q27" s="74">
        <f>Assumptions!$O$23*Assumptions!$H$68*(1+Assumptions!$N$11)</f>
        <v>41.2</v>
      </c>
      <c r="R27" s="74">
        <f>Assumptions!$O$23*Assumptions!$H$68*(1+Assumptions!$N$11)</f>
        <v>41.2</v>
      </c>
      <c r="S27" s="74">
        <f>Assumptions!$O$23*Assumptions!$H$68*(1+Assumptions!$N$11)</f>
        <v>41.2</v>
      </c>
      <c r="T27" s="74">
        <f>Assumptions!$O$23*Assumptions!$H$68*(1+Assumptions!$N$11)</f>
        <v>41.2</v>
      </c>
      <c r="U27" s="74">
        <f>Assumptions!$O$23*Assumptions!$H$68*(1+Assumptions!$N$11)</f>
        <v>41.2</v>
      </c>
      <c r="V27" s="74">
        <f>Assumptions!$O$23*Assumptions!$H$68*(1+Assumptions!$N$11)</f>
        <v>41.2</v>
      </c>
      <c r="W27" s="74">
        <f>Assumptions!$O$23*Assumptions!$H$68*(1+Assumptions!$N$11)</f>
        <v>41.2</v>
      </c>
      <c r="X27" s="74">
        <f>Assumptions!$O$23*Assumptions!$H$68*(1+Assumptions!$N$11)</f>
        <v>41.2</v>
      </c>
      <c r="Y27" s="74">
        <f>Assumptions!$O$23*Assumptions!$H$68*(1+Assumptions!$N$11)</f>
        <v>41.2</v>
      </c>
      <c r="Z27" s="74">
        <f>Assumptions!$O$23*Assumptions!$H$68*(1+Assumptions!$N$11)</f>
        <v>41.2</v>
      </c>
      <c r="AA27" s="74">
        <f>Assumptions!$O$23*Assumptions!$H$68*(1+Assumptions!$N$11)</f>
        <v>41.2</v>
      </c>
      <c r="AB27" s="74">
        <f>Assumptions!$O$23*Assumptions!$H$68*(1+Assumptions!$N$11)</f>
        <v>41.2</v>
      </c>
      <c r="AC27" s="74">
        <f>Assumptions!$O$23*Assumptions!$H$68*(1+Assumptions!$N$11)</f>
        <v>41.2</v>
      </c>
      <c r="AD27" s="74">
        <f>Assumptions!$O$23*Assumptions!$H$68*(1+Assumptions!$N$11)</f>
        <v>41.2</v>
      </c>
      <c r="AE27" s="74">
        <f>Assumptions!$O$23*Assumptions!$H$68*(1+Assumptions!$N$11)</f>
        <v>41.2</v>
      </c>
      <c r="AF27" s="74">
        <f>Assumptions!$O$23*Assumptions!$H$68*(1+Assumptions!$N$11)</f>
        <v>41.2</v>
      </c>
      <c r="AG27" s="74">
        <f>Assumptions!$O$23*Assumptions!$H$68*(1+Assumptions!$N$11)</f>
        <v>41.2</v>
      </c>
    </row>
    <row r="28" spans="1:47">
      <c r="A28" s="3" t="s">
        <v>44</v>
      </c>
      <c r="C28" s="74">
        <f>Assumptions!$N24*Assumptions!H18/12</f>
        <v>26.666666666666668</v>
      </c>
      <c r="D28" s="74">
        <f>Assumptions!$N24*(1+Assumptions!$N$11)</f>
        <v>41.2</v>
      </c>
      <c r="E28" s="74">
        <f>D28*(1+Assumptions!$N$11)</f>
        <v>42.436000000000007</v>
      </c>
      <c r="F28" s="74">
        <f>E28*(1+Assumptions!$N$11)</f>
        <v>43.709080000000007</v>
      </c>
      <c r="G28" s="74">
        <f>F28*(1+Assumptions!$N$11)</f>
        <v>45.020352400000007</v>
      </c>
      <c r="H28" s="74">
        <f>G28*(1+Assumptions!$N$11)</f>
        <v>46.370962972000008</v>
      </c>
      <c r="I28" s="74">
        <f>H28*(1+Assumptions!$N$11)</f>
        <v>47.762091861160009</v>
      </c>
      <c r="J28" s="74">
        <f>I28*(1+Assumptions!$N$11)</f>
        <v>49.194954616994814</v>
      </c>
      <c r="K28" s="74">
        <f>J28*(1+Assumptions!$N$11)</f>
        <v>50.670803255504659</v>
      </c>
      <c r="L28" s="74">
        <f>K28*(1+Assumptions!$N$11)</f>
        <v>52.190927353169798</v>
      </c>
      <c r="M28" s="74">
        <f>L28*(1+Assumptions!$N$11)</f>
        <v>53.756655173764891</v>
      </c>
      <c r="N28" s="74">
        <f>M28*(1+Assumptions!$N$11)</f>
        <v>55.369354828977841</v>
      </c>
      <c r="O28" s="74">
        <f>N28*(1+Assumptions!$N$11)</f>
        <v>57.030435473847177</v>
      </c>
      <c r="P28" s="74">
        <f>O28*(1+Assumptions!$N$11)</f>
        <v>58.741348538062596</v>
      </c>
      <c r="Q28" s="74">
        <f>P28*(1+Assumptions!$N$11)</f>
        <v>60.503588994204478</v>
      </c>
      <c r="R28" s="74">
        <f>Q28*(1+Assumptions!$N$11)</f>
        <v>62.318696664030611</v>
      </c>
      <c r="S28" s="74">
        <f>R28*(1+Assumptions!$N$11)</f>
        <v>64.188257563951538</v>
      </c>
      <c r="T28" s="74">
        <f>S28*(1+Assumptions!$N$11)</f>
        <v>66.113905290870079</v>
      </c>
      <c r="U28" s="74">
        <f>T28*(1+Assumptions!$N$11)</f>
        <v>68.097322449596177</v>
      </c>
      <c r="V28" s="74">
        <f>U28*(1+Assumptions!$N$11)</f>
        <v>70.140242123084064</v>
      </c>
      <c r="W28" s="74">
        <f>V28*(1+Assumptions!$N$11)</f>
        <v>72.244449386776594</v>
      </c>
      <c r="X28" s="74">
        <f>W28*(1+Assumptions!$N$11)</f>
        <v>74.411782868379888</v>
      </c>
      <c r="Y28" s="74">
        <f>X28*(1+Assumptions!$N$11)</f>
        <v>76.644136354431282</v>
      </c>
      <c r="Z28" s="74">
        <f>Y28*(1+Assumptions!$N$11)</f>
        <v>78.943460445064218</v>
      </c>
      <c r="AA28" s="74">
        <f>Z28*(1+Assumptions!$N$11)</f>
        <v>81.311764258416147</v>
      </c>
      <c r="AB28" s="74">
        <f>AA28*(1+Assumptions!$N$11)</f>
        <v>83.751117186168628</v>
      </c>
      <c r="AC28" s="74">
        <f>AB28*(1+Assumptions!$N$11)</f>
        <v>86.26365070175369</v>
      </c>
      <c r="AD28" s="74">
        <f>AC28*(1+Assumptions!$N$11)</f>
        <v>88.851560222806299</v>
      </c>
      <c r="AE28" s="74">
        <f>AD28*(1+Assumptions!$N$11)</f>
        <v>91.517107029490489</v>
      </c>
      <c r="AF28" s="74">
        <f>AE28*(1+Assumptions!$N$11)</f>
        <v>94.262620240375213</v>
      </c>
      <c r="AG28" s="74">
        <f>AF28*(1+Assumptions!$N$11)</f>
        <v>97.090498847586474</v>
      </c>
    </row>
    <row r="29" spans="1:47">
      <c r="A29" s="3" t="s">
        <v>45</v>
      </c>
      <c r="C29" s="75">
        <f>Assumptions!$N25*Assumptions!H18/12</f>
        <v>26.666666666666668</v>
      </c>
      <c r="D29" s="75">
        <f>Assumptions!$N25*(1+Assumptions!$N$11)</f>
        <v>41.2</v>
      </c>
      <c r="E29" s="75">
        <f>D29*(1+Assumptions!$N$11)</f>
        <v>42.436000000000007</v>
      </c>
      <c r="F29" s="75">
        <f>E29*(1+Assumptions!$N$11)</f>
        <v>43.709080000000007</v>
      </c>
      <c r="G29" s="75">
        <f>F29*(1+Assumptions!$N$11)</f>
        <v>45.020352400000007</v>
      </c>
      <c r="H29" s="75">
        <f>G29*(1+Assumptions!$N$11)</f>
        <v>46.370962972000008</v>
      </c>
      <c r="I29" s="75">
        <f>H29*(1+Assumptions!$N$11)</f>
        <v>47.762091861160009</v>
      </c>
      <c r="J29" s="75">
        <f>I29*(1+Assumptions!$N$11)</f>
        <v>49.194954616994814</v>
      </c>
      <c r="K29" s="75">
        <f>J29*(1+Assumptions!$N$11)</f>
        <v>50.670803255504659</v>
      </c>
      <c r="L29" s="75">
        <f>K29*(1+Assumptions!$N$11)</f>
        <v>52.190927353169798</v>
      </c>
      <c r="M29" s="75">
        <f>L29*(1+Assumptions!$N$11)</f>
        <v>53.756655173764891</v>
      </c>
      <c r="N29" s="75">
        <f>M29*(1+Assumptions!$N$11)</f>
        <v>55.369354828977841</v>
      </c>
      <c r="O29" s="75">
        <f>N29*(1+Assumptions!$N$11)</f>
        <v>57.030435473847177</v>
      </c>
      <c r="P29" s="75">
        <f>O29*(1+Assumptions!$N$11)</f>
        <v>58.741348538062596</v>
      </c>
      <c r="Q29" s="75">
        <f>P29*(1+Assumptions!$N$11)</f>
        <v>60.503588994204478</v>
      </c>
      <c r="R29" s="75">
        <f>Q29*(1+Assumptions!$N$11)</f>
        <v>62.318696664030611</v>
      </c>
      <c r="S29" s="75">
        <f>R29*(1+Assumptions!$N$11)</f>
        <v>64.188257563951538</v>
      </c>
      <c r="T29" s="75">
        <f>S29*(1+Assumptions!$N$11)</f>
        <v>66.113905290870079</v>
      </c>
      <c r="U29" s="75">
        <f>T29*(1+Assumptions!$N$11)</f>
        <v>68.097322449596177</v>
      </c>
      <c r="V29" s="75">
        <f>U29*(1+Assumptions!$N$11)</f>
        <v>70.140242123084064</v>
      </c>
      <c r="W29" s="75">
        <f>V29*(1+Assumptions!$N$11)</f>
        <v>72.244449386776594</v>
      </c>
      <c r="X29" s="75">
        <f>W29*(1+Assumptions!$N$11)</f>
        <v>74.411782868379888</v>
      </c>
      <c r="Y29" s="75">
        <f>X29*(1+Assumptions!$N$11)</f>
        <v>76.644136354431282</v>
      </c>
      <c r="Z29" s="75">
        <f>Y29*(1+Assumptions!$N$11)</f>
        <v>78.943460445064218</v>
      </c>
      <c r="AA29" s="75">
        <f>Z29*(1+Assumptions!$N$11)</f>
        <v>81.311764258416147</v>
      </c>
      <c r="AB29" s="75">
        <f>AA29*(1+Assumptions!$N$11)</f>
        <v>83.751117186168628</v>
      </c>
      <c r="AC29" s="75">
        <f>AB29*(1+Assumptions!$N$11)</f>
        <v>86.26365070175369</v>
      </c>
      <c r="AD29" s="75">
        <f>AC29*(1+Assumptions!$N$11)</f>
        <v>88.851560222806299</v>
      </c>
      <c r="AE29" s="75">
        <f>AD29*(1+Assumptions!$N$11)</f>
        <v>91.517107029490489</v>
      </c>
      <c r="AF29" s="75">
        <f>AE29*(1+Assumptions!$N$11)</f>
        <v>94.262620240375213</v>
      </c>
      <c r="AG29" s="75">
        <f>AF29*(1+Assumptions!$N$11)</f>
        <v>97.090498847586474</v>
      </c>
    </row>
    <row r="30" spans="1:47">
      <c r="A30" s="3" t="s">
        <v>46</v>
      </c>
      <c r="C30" s="65">
        <f t="shared" ref="C30:X30" si="1">SUM(C16:C29)</f>
        <v>8532.6132553663501</v>
      </c>
      <c r="D30" s="65">
        <f t="shared" si="1"/>
        <v>8695.2977420234038</v>
      </c>
      <c r="E30" s="65">
        <f t="shared" si="1"/>
        <v>8803.9690106133712</v>
      </c>
      <c r="F30" s="65">
        <f t="shared" si="1"/>
        <v>8953.9355897329497</v>
      </c>
      <c r="G30" s="65">
        <f t="shared" si="1"/>
        <v>9128.4313305996602</v>
      </c>
      <c r="H30" s="65">
        <f t="shared" si="1"/>
        <v>9312.7531523898197</v>
      </c>
      <c r="I30" s="65">
        <f t="shared" si="1"/>
        <v>9503.0012428520622</v>
      </c>
      <c r="J30" s="65">
        <f t="shared" si="1"/>
        <v>9706.0790818590776</v>
      </c>
      <c r="K30" s="65">
        <f t="shared" si="1"/>
        <v>9922.0167016909527</v>
      </c>
      <c r="L30" s="65">
        <f t="shared" si="1"/>
        <v>10150.845009098219</v>
      </c>
      <c r="M30" s="65">
        <f t="shared" si="1"/>
        <v>10392.595811006049</v>
      </c>
      <c r="N30" s="65">
        <f t="shared" si="1"/>
        <v>10619.313631367646</v>
      </c>
      <c r="O30" s="65">
        <f t="shared" si="1"/>
        <v>10827.103987864577</v>
      </c>
      <c r="P30" s="65">
        <f t="shared" si="1"/>
        <v>11195.715316867232</v>
      </c>
      <c r="Q30" s="65">
        <f t="shared" si="1"/>
        <v>11489.493112394433</v>
      </c>
      <c r="R30" s="65">
        <f t="shared" si="1"/>
        <v>11796.366893834331</v>
      </c>
      <c r="S30" s="65">
        <f t="shared" si="1"/>
        <v>12116.374453157036</v>
      </c>
      <c r="T30" s="65">
        <f t="shared" si="1"/>
        <v>12449.554685045219</v>
      </c>
      <c r="U30" s="65">
        <f t="shared" si="1"/>
        <v>12795.947619354549</v>
      </c>
      <c r="V30" s="65">
        <f t="shared" si="1"/>
        <v>13155.5944545355</v>
      </c>
      <c r="W30" s="65">
        <f t="shared" si="1"/>
        <v>13528.53759204523</v>
      </c>
      <c r="X30" s="65">
        <f t="shared" si="1"/>
        <v>7308.5229568370505</v>
      </c>
      <c r="Y30" s="65">
        <f t="shared" ref="Y30:AG30" si="2">SUM(Y16:Y29)</f>
        <v>7366.4401236184667</v>
      </c>
      <c r="Z30" s="65">
        <f t="shared" si="2"/>
        <v>7426.0038654226946</v>
      </c>
      <c r="AA30" s="65">
        <f t="shared" si="2"/>
        <v>7487.2617607008024</v>
      </c>
      <c r="AB30" s="65">
        <f t="shared" si="2"/>
        <v>7550.2627788813998</v>
      </c>
      <c r="AC30" s="65">
        <f t="shared" si="2"/>
        <v>7615.0573213724465</v>
      </c>
      <c r="AD30" s="65">
        <f t="shared" si="2"/>
        <v>7681.6972637785584</v>
      </c>
      <c r="AE30" s="65">
        <f t="shared" si="2"/>
        <v>7750.235999369992</v>
      </c>
      <c r="AF30" s="65">
        <f t="shared" si="2"/>
        <v>7820.7284838405694</v>
      </c>
      <c r="AG30" s="65">
        <f t="shared" si="2"/>
        <v>7893.2312813928947</v>
      </c>
    </row>
    <row r="31" spans="1:47">
      <c r="A31" s="740" t="s">
        <v>715</v>
      </c>
      <c r="C31" s="65">
        <f>C30-C16-C17-C18</f>
        <v>839.19623978568075</v>
      </c>
      <c r="D31" s="65">
        <f t="shared" ref="D31:AG31" si="3">D30-D16-D17-D18</f>
        <v>971.2387936459229</v>
      </c>
      <c r="E31" s="65">
        <f t="shared" si="3"/>
        <v>996.07995745529831</v>
      </c>
      <c r="F31" s="65">
        <f t="shared" si="3"/>
        <v>1021.6051561789609</v>
      </c>
      <c r="G31" s="65">
        <f t="shared" si="3"/>
        <v>1047.8336868643282</v>
      </c>
      <c r="H31" s="65">
        <f t="shared" si="3"/>
        <v>1074.7854009902564</v>
      </c>
      <c r="I31" s="65">
        <f t="shared" si="3"/>
        <v>1102.4807206103633</v>
      </c>
      <c r="J31" s="65">
        <f t="shared" si="3"/>
        <v>1130.9406549708817</v>
      </c>
      <c r="K31" s="65">
        <f t="shared" si="3"/>
        <v>1160.1868176170624</v>
      </c>
      <c r="L31" s="65">
        <f t="shared" si="3"/>
        <v>1190.2414440025661</v>
      </c>
      <c r="M31" s="65">
        <f t="shared" si="3"/>
        <v>1221.1274096167779</v>
      </c>
      <c r="N31" s="65">
        <f t="shared" si="3"/>
        <v>1252.8682486452972</v>
      </c>
      <c r="O31" s="65">
        <f t="shared" si="3"/>
        <v>1285.4881731794737</v>
      </c>
      <c r="P31" s="65">
        <f t="shared" si="3"/>
        <v>1319.0120929911657</v>
      </c>
      <c r="Q31" s="65">
        <f t="shared" si="3"/>
        <v>1353.4656358895413</v>
      </c>
      <c r="R31" s="65">
        <f t="shared" si="3"/>
        <v>1388.875168677042</v>
      </c>
      <c r="S31" s="65">
        <f t="shared" si="3"/>
        <v>1425.2678187223796</v>
      </c>
      <c r="T31" s="65">
        <f t="shared" si="3"/>
        <v>1462.6714961687749</v>
      </c>
      <c r="U31" s="65">
        <f t="shared" si="3"/>
        <v>1501.114916796264</v>
      </c>
      <c r="V31" s="65">
        <f t="shared" si="3"/>
        <v>1540.6276255574203</v>
      </c>
      <c r="W31" s="65">
        <f t="shared" si="3"/>
        <v>1581.2400208065617</v>
      </c>
      <c r="X31" s="65">
        <f t="shared" si="3"/>
        <v>1622.983379242823</v>
      </c>
      <c r="Y31" s="65">
        <f t="shared" si="3"/>
        <v>1665.8898815884124</v>
      </c>
      <c r="Z31" s="65">
        <f t="shared" si="3"/>
        <v>1709.9926390237385</v>
      </c>
      <c r="AA31" s="65">
        <f t="shared" si="3"/>
        <v>1755.3257204018776</v>
      </c>
      <c r="AB31" s="65">
        <f t="shared" si="3"/>
        <v>1801.9241802655072</v>
      </c>
      <c r="AC31" s="65">
        <f t="shared" si="3"/>
        <v>1849.824087690077</v>
      </c>
      <c r="AD31" s="65">
        <f t="shared" si="3"/>
        <v>1899.0625559777181</v>
      </c>
      <c r="AE31" s="65">
        <f t="shared" si="3"/>
        <v>1949.6777732271264</v>
      </c>
      <c r="AF31" s="65">
        <f t="shared" si="3"/>
        <v>2001.7090338054181</v>
      </c>
      <c r="AG31" s="65">
        <f t="shared" si="3"/>
        <v>2055.1967707486888</v>
      </c>
    </row>
    <row r="32" spans="1:47">
      <c r="A32" s="4"/>
      <c r="C32" s="367"/>
      <c r="D32" s="367"/>
      <c r="E32" s="367"/>
      <c r="F32" s="367"/>
      <c r="G32" s="367"/>
      <c r="H32" s="367"/>
      <c r="I32" s="367"/>
      <c r="J32" s="367"/>
      <c r="K32" s="367"/>
      <c r="L32" s="367"/>
      <c r="M32" s="367"/>
      <c r="N32" s="367"/>
      <c r="O32" s="367"/>
      <c r="P32" s="367"/>
      <c r="Q32" s="367"/>
      <c r="R32" s="367"/>
      <c r="S32" s="367"/>
      <c r="T32" s="367"/>
      <c r="U32" s="367"/>
      <c r="V32" s="367"/>
      <c r="W32" s="367"/>
      <c r="X32" s="367"/>
      <c r="Y32" s="367"/>
      <c r="Z32" s="367"/>
      <c r="AA32" s="367"/>
      <c r="AB32" s="367"/>
      <c r="AC32" s="367"/>
      <c r="AD32" s="367"/>
      <c r="AE32" s="367"/>
      <c r="AF32" s="367"/>
      <c r="AG32" s="367"/>
    </row>
    <row r="33" spans="1:33">
      <c r="A33" s="1" t="s">
        <v>47</v>
      </c>
      <c r="C33" s="123">
        <f t="shared" ref="C33:X33" si="4">C13-C30</f>
        <v>3719.3333333333358</v>
      </c>
      <c r="D33" s="123">
        <f t="shared" si="4"/>
        <v>5730.899999999996</v>
      </c>
      <c r="E33" s="123">
        <f t="shared" si="4"/>
        <v>5708.4030000000021</v>
      </c>
      <c r="F33" s="123">
        <f t="shared" si="4"/>
        <v>5685.2922899999994</v>
      </c>
      <c r="G33" s="123">
        <f t="shared" si="4"/>
        <v>5661.5506826999972</v>
      </c>
      <c r="H33" s="123">
        <f t="shared" si="4"/>
        <v>5637.1604996609985</v>
      </c>
      <c r="I33" s="123">
        <f t="shared" si="4"/>
        <v>5612.103557060429</v>
      </c>
      <c r="J33" s="123">
        <f t="shared" si="4"/>
        <v>5586.3611510300361</v>
      </c>
      <c r="K33" s="123">
        <f t="shared" si="4"/>
        <v>5559.9140425638816</v>
      </c>
      <c r="L33" s="123">
        <f t="shared" si="4"/>
        <v>5532.742441983808</v>
      </c>
      <c r="M33" s="123">
        <f t="shared" si="4"/>
        <v>5504.8259929491851</v>
      </c>
      <c r="N33" s="123">
        <f t="shared" si="4"/>
        <v>5476.1437559976457</v>
      </c>
      <c r="O33" s="123">
        <f t="shared" si="4"/>
        <v>5446.6741916027568</v>
      </c>
      <c r="P33" s="123">
        <f t="shared" si="4"/>
        <v>5416.3951427345328</v>
      </c>
      <c r="Q33" s="123">
        <f t="shared" si="4"/>
        <v>5385.2838169079296</v>
      </c>
      <c r="R33" s="123">
        <f t="shared" si="4"/>
        <v>5353.3167677043475</v>
      </c>
      <c r="S33" s="123">
        <f t="shared" si="4"/>
        <v>5320.4698757504539</v>
      </c>
      <c r="T33" s="123">
        <f t="shared" si="4"/>
        <v>5286.7183291382426</v>
      </c>
      <c r="U33" s="123">
        <f t="shared" si="4"/>
        <v>5252.0366032699676</v>
      </c>
      <c r="V33" s="123">
        <f t="shared" si="4"/>
        <v>5216.3984401107973</v>
      </c>
      <c r="W33" s="123">
        <f t="shared" si="4"/>
        <v>1041.2805218260546</v>
      </c>
      <c r="X33" s="123">
        <f t="shared" si="4"/>
        <v>-1481.8560261754101</v>
      </c>
      <c r="Y33" s="123">
        <f t="shared" ref="Y33:AG33" si="5">Y13-Y30</f>
        <v>-1520.5287079289765</v>
      </c>
      <c r="Z33" s="123">
        <f t="shared" si="5"/>
        <v>-1560.2706301545213</v>
      </c>
      <c r="AA33" s="123">
        <f t="shared" si="5"/>
        <v>-1601.112051266583</v>
      </c>
      <c r="AB33" s="123">
        <f t="shared" si="5"/>
        <v>-1643.0841010561535</v>
      </c>
      <c r="AC33" s="123">
        <f t="shared" si="5"/>
        <v>-1686.2188061044426</v>
      </c>
      <c r="AD33" s="123">
        <f t="shared" si="5"/>
        <v>-1730.5491159445146</v>
      </c>
      <c r="AE33" s="123">
        <f t="shared" si="5"/>
        <v>-1776.1089299929272</v>
      </c>
      <c r="AF33" s="123">
        <f t="shared" si="5"/>
        <v>-1822.9331252741922</v>
      </c>
      <c r="AG33" s="123">
        <f t="shared" si="5"/>
        <v>-1871.057584961527</v>
      </c>
    </row>
    <row r="34" spans="1:33">
      <c r="A34" s="1"/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367"/>
      <c r="X34" s="367"/>
      <c r="Y34" s="367"/>
      <c r="Z34" s="367"/>
      <c r="AA34" s="367"/>
      <c r="AB34" s="367"/>
      <c r="AC34" s="367"/>
      <c r="AD34" s="367"/>
      <c r="AE34" s="367"/>
      <c r="AF34" s="367"/>
      <c r="AG34" s="367"/>
    </row>
    <row r="35" spans="1:33">
      <c r="A35" s="3" t="s">
        <v>48</v>
      </c>
      <c r="C35" s="65">
        <f>Depreciation!D48</f>
        <v>1897.3999999999999</v>
      </c>
      <c r="D35" s="65">
        <f>Depreciation!E48</f>
        <v>2846.1</v>
      </c>
      <c r="E35" s="65">
        <f>Depreciation!F48</f>
        <v>2846.1</v>
      </c>
      <c r="F35" s="65">
        <f>Depreciation!G48</f>
        <v>2846.1</v>
      </c>
      <c r="G35" s="65">
        <f>Depreciation!H48</f>
        <v>2846.1</v>
      </c>
      <c r="H35" s="65">
        <f>Depreciation!I48</f>
        <v>1902.1</v>
      </c>
      <c r="I35" s="65">
        <f>Depreciation!J48</f>
        <v>1430.1</v>
      </c>
      <c r="J35" s="65">
        <f>Depreciation!K48</f>
        <v>1430.1</v>
      </c>
      <c r="K35" s="65">
        <f>Depreciation!L48</f>
        <v>1430.1</v>
      </c>
      <c r="L35" s="65">
        <f>Depreciation!M48</f>
        <v>1430.1</v>
      </c>
      <c r="M35" s="65">
        <f>Depreciation!N48</f>
        <v>1430.1</v>
      </c>
      <c r="N35" s="65">
        <f>Depreciation!O48</f>
        <v>1430.1</v>
      </c>
      <c r="O35" s="65">
        <f>Depreciation!P48</f>
        <v>1430.1</v>
      </c>
      <c r="P35" s="65">
        <f>Depreciation!Q48</f>
        <v>1430.1</v>
      </c>
      <c r="Q35" s="65">
        <f>Depreciation!R48</f>
        <v>1430.1</v>
      </c>
      <c r="R35" s="65">
        <f>Depreciation!S48</f>
        <v>1430.1</v>
      </c>
      <c r="S35" s="65">
        <f>Depreciation!T48</f>
        <v>1430.1</v>
      </c>
      <c r="T35" s="65">
        <f>Depreciation!U48</f>
        <v>1430.1</v>
      </c>
      <c r="U35" s="65">
        <f>Depreciation!V48</f>
        <v>1430.1</v>
      </c>
      <c r="V35" s="65">
        <f>Depreciation!W48</f>
        <v>1430.1</v>
      </c>
      <c r="W35" s="65">
        <f>Depreciation!X48</f>
        <v>1430.1</v>
      </c>
      <c r="X35" s="65">
        <f>Depreciation!Y48</f>
        <v>1430.1</v>
      </c>
      <c r="Y35" s="65">
        <f>Depreciation!Z48</f>
        <v>1430.1</v>
      </c>
      <c r="Z35" s="65">
        <f>Depreciation!AA48</f>
        <v>1430.1</v>
      </c>
      <c r="AA35" s="65">
        <f>Depreciation!AB48</f>
        <v>1430.1</v>
      </c>
      <c r="AB35" s="65">
        <f>Depreciation!AC48</f>
        <v>1430.1</v>
      </c>
      <c r="AC35" s="65">
        <f>Depreciation!AD48</f>
        <v>1430.1</v>
      </c>
      <c r="AD35" s="65">
        <f>Depreciation!AE48</f>
        <v>1430.1</v>
      </c>
      <c r="AE35" s="65">
        <f>Depreciation!AF48</f>
        <v>1430.1</v>
      </c>
      <c r="AF35" s="65">
        <f>Depreciation!AG48</f>
        <v>1430.1</v>
      </c>
      <c r="AG35" s="65">
        <f>Depreciation!AH48</f>
        <v>476.7000000000001</v>
      </c>
    </row>
    <row r="36" spans="1:33">
      <c r="A36" s="3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</row>
    <row r="37" spans="1:33">
      <c r="A37" s="1" t="s">
        <v>49</v>
      </c>
      <c r="C37" s="123">
        <f>C33-C35</f>
        <v>1821.9333333333359</v>
      </c>
      <c r="D37" s="123">
        <f t="shared" ref="D37:X37" si="6">D33-D35</f>
        <v>2884.7999999999961</v>
      </c>
      <c r="E37" s="123">
        <f t="shared" si="6"/>
        <v>2862.3030000000022</v>
      </c>
      <c r="F37" s="123">
        <f t="shared" si="6"/>
        <v>2839.1922899999995</v>
      </c>
      <c r="G37" s="123">
        <f t="shared" si="6"/>
        <v>2815.4506826999973</v>
      </c>
      <c r="H37" s="123">
        <f t="shared" si="6"/>
        <v>3735.0604996609986</v>
      </c>
      <c r="I37" s="123">
        <f t="shared" si="6"/>
        <v>4182.0035570604286</v>
      </c>
      <c r="J37" s="123">
        <f t="shared" si="6"/>
        <v>4156.2611510300358</v>
      </c>
      <c r="K37" s="123">
        <f t="shared" si="6"/>
        <v>4129.8140425638812</v>
      </c>
      <c r="L37" s="123">
        <f t="shared" si="6"/>
        <v>4102.6424419838077</v>
      </c>
      <c r="M37" s="123">
        <f t="shared" si="6"/>
        <v>4074.7259929491852</v>
      </c>
      <c r="N37" s="123">
        <f t="shared" si="6"/>
        <v>4046.0437559976458</v>
      </c>
      <c r="O37" s="123">
        <f t="shared" si="6"/>
        <v>4016.5741916027569</v>
      </c>
      <c r="P37" s="123">
        <f t="shared" si="6"/>
        <v>3986.2951427345329</v>
      </c>
      <c r="Q37" s="123">
        <f t="shared" si="6"/>
        <v>3955.1838169079297</v>
      </c>
      <c r="R37" s="123">
        <f t="shared" si="6"/>
        <v>3923.2167677043476</v>
      </c>
      <c r="S37" s="123">
        <f t="shared" si="6"/>
        <v>3890.369875750454</v>
      </c>
      <c r="T37" s="123">
        <f t="shared" si="6"/>
        <v>3856.6183291382426</v>
      </c>
      <c r="U37" s="123">
        <f t="shared" si="6"/>
        <v>3821.9366032699677</v>
      </c>
      <c r="V37" s="123">
        <f t="shared" si="6"/>
        <v>3786.2984401107974</v>
      </c>
      <c r="W37" s="123">
        <f t="shared" si="6"/>
        <v>-388.8194781739453</v>
      </c>
      <c r="X37" s="123">
        <f t="shared" si="6"/>
        <v>-2911.95602617541</v>
      </c>
      <c r="Y37" s="123">
        <f t="shared" ref="Y37:AG37" si="7">Y33-Y35</f>
        <v>-2950.6287079289764</v>
      </c>
      <c r="Z37" s="123">
        <f t="shared" si="7"/>
        <v>-2990.3706301545212</v>
      </c>
      <c r="AA37" s="123">
        <f t="shared" si="7"/>
        <v>-3031.2120512665829</v>
      </c>
      <c r="AB37" s="123">
        <f t="shared" si="7"/>
        <v>-3073.1841010561534</v>
      </c>
      <c r="AC37" s="123">
        <f t="shared" si="7"/>
        <v>-3116.3188061044425</v>
      </c>
      <c r="AD37" s="123">
        <f t="shared" si="7"/>
        <v>-3160.6491159445145</v>
      </c>
      <c r="AE37" s="123">
        <f t="shared" si="7"/>
        <v>-3206.2089299929271</v>
      </c>
      <c r="AF37" s="123">
        <f t="shared" si="7"/>
        <v>-3253.0331252741921</v>
      </c>
      <c r="AG37" s="123">
        <f t="shared" si="7"/>
        <v>-2347.7575849615273</v>
      </c>
    </row>
    <row r="38" spans="1:33">
      <c r="A38" s="1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</row>
    <row r="39" spans="1:33">
      <c r="A39" s="3" t="s">
        <v>131</v>
      </c>
      <c r="C39" s="65">
        <f>Debt!B57</f>
        <v>3775.3872527379572</v>
      </c>
      <c r="D39" s="65">
        <f>Debt!C57</f>
        <v>5734.7322954159281</v>
      </c>
      <c r="E39" s="65">
        <f>Debt!D57</f>
        <v>5848.296632010175</v>
      </c>
      <c r="F39" s="65">
        <f>Debt!E57</f>
        <v>5971.6630641014726</v>
      </c>
      <c r="G39" s="65">
        <f>Debt!F57</f>
        <v>6106.2980475657077</v>
      </c>
      <c r="H39" s="65">
        <f>Debt!G57</f>
        <v>6254.1887115454892</v>
      </c>
      <c r="I39" s="65">
        <f>Debt!H57</f>
        <v>6416.083911545622</v>
      </c>
      <c r="J39" s="65">
        <f>Debt!I57</f>
        <v>6593.5235385001342</v>
      </c>
      <c r="K39" s="65">
        <f>Debt!J57</f>
        <v>6786.9984741327571</v>
      </c>
      <c r="L39" s="65">
        <f>Debt!K57</f>
        <v>6998.8213933149509</v>
      </c>
      <c r="M39" s="65">
        <f>Debt!L57</f>
        <v>7230.2251517451896</v>
      </c>
      <c r="N39" s="65">
        <f>Debt!M57</f>
        <v>7483.192906356775</v>
      </c>
      <c r="O39" s="65">
        <f>Debt!N57</f>
        <v>7758.8026546324081</v>
      </c>
      <c r="P39" s="65">
        <f>Debt!O57</f>
        <v>8059.8216980330462</v>
      </c>
      <c r="Q39" s="65">
        <f>Debt!P57</f>
        <v>8388.150732879456</v>
      </c>
      <c r="R39" s="65">
        <f>Debt!Q57</f>
        <v>8746.3876944877848</v>
      </c>
      <c r="S39" s="65">
        <f>Debt!R57</f>
        <v>9136.4181357967682</v>
      </c>
      <c r="T39" s="65">
        <f>Debt!S57</f>
        <v>9561.642888672528</v>
      </c>
      <c r="U39" s="65">
        <f>Debt!T57</f>
        <v>10024.884419864375</v>
      </c>
      <c r="V39" s="65">
        <f>Debt!U57</f>
        <v>10529.592698327413</v>
      </c>
      <c r="W39" s="65">
        <f>Debt!V57</f>
        <v>11178.359798686897</v>
      </c>
      <c r="X39" s="65">
        <f>Debt!W57</f>
        <v>12078.778952391089</v>
      </c>
      <c r="Y39" s="65">
        <f>Debt!X57</f>
        <v>13172.164025252927</v>
      </c>
      <c r="Z39" s="65">
        <f>Debt!Y57</f>
        <v>14380.103546363611</v>
      </c>
      <c r="AA39" s="65">
        <f>Debt!Z57</f>
        <v>15693.205964742818</v>
      </c>
      <c r="AB39" s="65">
        <f>Debt!AA57</f>
        <v>17118.726030322774</v>
      </c>
      <c r="AC39" s="65">
        <f>Debt!AB57</f>
        <v>18667.268288029933</v>
      </c>
      <c r="AD39" s="65">
        <f>Debt!AC57</f>
        <v>20348.615391845306</v>
      </c>
      <c r="AE39" s="65">
        <f>Debt!AD57</f>
        <v>22175.569978448271</v>
      </c>
      <c r="AF39" s="65">
        <f>Debt!AE57</f>
        <v>24158.233526509262</v>
      </c>
      <c r="AG39" s="65">
        <f>Debt!AF57</f>
        <v>26205.051221407139</v>
      </c>
    </row>
    <row r="40" spans="1:33" ht="12" customHeight="1">
      <c r="A40" s="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</row>
    <row r="41" spans="1:33">
      <c r="A41" s="1" t="s">
        <v>206</v>
      </c>
      <c r="C41" s="123">
        <f>C37-C39</f>
        <v>-1953.4539194046213</v>
      </c>
      <c r="D41" s="123">
        <f t="shared" ref="D41:X41" si="8">D37-D39</f>
        <v>-2849.932295415932</v>
      </c>
      <c r="E41" s="123">
        <f t="shared" si="8"/>
        <v>-2985.9936320101729</v>
      </c>
      <c r="F41" s="123">
        <f t="shared" si="8"/>
        <v>-3132.4707741014731</v>
      </c>
      <c r="G41" s="123">
        <f t="shared" si="8"/>
        <v>-3290.8473648657105</v>
      </c>
      <c r="H41" s="123">
        <f t="shared" si="8"/>
        <v>-2519.1282118844906</v>
      </c>
      <c r="I41" s="123">
        <f t="shared" si="8"/>
        <v>-2234.0803544851933</v>
      </c>
      <c r="J41" s="123">
        <f t="shared" si="8"/>
        <v>-2437.2623874700985</v>
      </c>
      <c r="K41" s="123">
        <f t="shared" si="8"/>
        <v>-2657.1844315688759</v>
      </c>
      <c r="L41" s="123">
        <f t="shared" si="8"/>
        <v>-2896.1789513311433</v>
      </c>
      <c r="M41" s="123">
        <f t="shared" si="8"/>
        <v>-3155.4991587960044</v>
      </c>
      <c r="N41" s="123">
        <f t="shared" si="8"/>
        <v>-3437.1491503591292</v>
      </c>
      <c r="O41" s="123">
        <f t="shared" si="8"/>
        <v>-3742.2284630296513</v>
      </c>
      <c r="P41" s="123">
        <f t="shared" si="8"/>
        <v>-4073.5265552985134</v>
      </c>
      <c r="Q41" s="123">
        <f t="shared" si="8"/>
        <v>-4432.9669159715268</v>
      </c>
      <c r="R41" s="123">
        <f t="shared" si="8"/>
        <v>-4823.1709267834376</v>
      </c>
      <c r="S41" s="123">
        <f t="shared" si="8"/>
        <v>-5246.0482600463147</v>
      </c>
      <c r="T41" s="123">
        <f t="shared" si="8"/>
        <v>-5705.0245595342858</v>
      </c>
      <c r="U41" s="123">
        <f t="shared" si="8"/>
        <v>-6202.9478165944074</v>
      </c>
      <c r="V41" s="123">
        <f t="shared" si="8"/>
        <v>-6743.2942582166161</v>
      </c>
      <c r="W41" s="123">
        <f t="shared" si="8"/>
        <v>-11567.179276860843</v>
      </c>
      <c r="X41" s="123">
        <f t="shared" si="8"/>
        <v>-14990.734978566499</v>
      </c>
      <c r="Y41" s="123">
        <f t="shared" ref="Y41:AG41" si="9">Y37-Y39</f>
        <v>-16122.792733181903</v>
      </c>
      <c r="Z41" s="123">
        <f t="shared" si="9"/>
        <v>-17370.474176518132</v>
      </c>
      <c r="AA41" s="123">
        <f t="shared" si="9"/>
        <v>-18724.4180160094</v>
      </c>
      <c r="AB41" s="123">
        <f t="shared" si="9"/>
        <v>-20191.910131378929</v>
      </c>
      <c r="AC41" s="123">
        <f t="shared" si="9"/>
        <v>-21783.587094134375</v>
      </c>
      <c r="AD41" s="123">
        <f t="shared" si="9"/>
        <v>-23509.26450778982</v>
      </c>
      <c r="AE41" s="123">
        <f t="shared" si="9"/>
        <v>-25381.7789084412</v>
      </c>
      <c r="AF41" s="123">
        <f t="shared" si="9"/>
        <v>-27411.266651783455</v>
      </c>
      <c r="AG41" s="123">
        <f t="shared" si="9"/>
        <v>-28552.808806368666</v>
      </c>
    </row>
    <row r="42" spans="1:33">
      <c r="A42" s="1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</row>
    <row r="43" spans="1:33">
      <c r="A43" s="3" t="s">
        <v>50</v>
      </c>
      <c r="B43" s="343">
        <f>Assumptions!N51</f>
        <v>7.0000000000000007E-2</v>
      </c>
      <c r="C43" s="74">
        <f>-C41*$B$43</f>
        <v>136.74177435832351</v>
      </c>
      <c r="D43" s="74">
        <f t="shared" ref="D43:AG43" si="10">-D41*$B$43</f>
        <v>199.49526067911526</v>
      </c>
      <c r="E43" s="74">
        <f t="shared" si="10"/>
        <v>209.01955424071213</v>
      </c>
      <c r="F43" s="74">
        <f t="shared" si="10"/>
        <v>219.27295418710315</v>
      </c>
      <c r="G43" s="74">
        <f t="shared" si="10"/>
        <v>230.35931554059977</v>
      </c>
      <c r="H43" s="74">
        <f t="shared" si="10"/>
        <v>176.33897483191436</v>
      </c>
      <c r="I43" s="74">
        <f t="shared" si="10"/>
        <v>156.38562481396355</v>
      </c>
      <c r="J43" s="74">
        <f t="shared" si="10"/>
        <v>170.60836712290691</v>
      </c>
      <c r="K43" s="74">
        <f t="shared" si="10"/>
        <v>186.00291020982132</v>
      </c>
      <c r="L43" s="74">
        <f t="shared" si="10"/>
        <v>202.73252659318004</v>
      </c>
      <c r="M43" s="74">
        <f t="shared" si="10"/>
        <v>220.88494111572032</v>
      </c>
      <c r="N43" s="74">
        <f t="shared" si="10"/>
        <v>240.60044052513908</v>
      </c>
      <c r="O43" s="74">
        <f t="shared" si="10"/>
        <v>261.9559924120756</v>
      </c>
      <c r="P43" s="74">
        <f t="shared" si="10"/>
        <v>285.14685887089598</v>
      </c>
      <c r="Q43" s="74">
        <f t="shared" si="10"/>
        <v>310.30768411800688</v>
      </c>
      <c r="R43" s="74">
        <f t="shared" si="10"/>
        <v>337.62196487484067</v>
      </c>
      <c r="S43" s="74">
        <f t="shared" si="10"/>
        <v>367.22337820324208</v>
      </c>
      <c r="T43" s="74">
        <f t="shared" si="10"/>
        <v>399.35171916740006</v>
      </c>
      <c r="U43" s="74">
        <f t="shared" si="10"/>
        <v>434.20634716160856</v>
      </c>
      <c r="V43" s="74">
        <f t="shared" si="10"/>
        <v>472.0305980751632</v>
      </c>
      <c r="W43" s="74">
        <f t="shared" si="10"/>
        <v>809.70254938025903</v>
      </c>
      <c r="X43" s="74">
        <f t="shared" si="10"/>
        <v>1049.3514484996551</v>
      </c>
      <c r="Y43" s="74">
        <f t="shared" si="10"/>
        <v>1128.5954913227333</v>
      </c>
      <c r="Z43" s="74">
        <f t="shared" si="10"/>
        <v>1215.9331923562693</v>
      </c>
      <c r="AA43" s="74">
        <f t="shared" si="10"/>
        <v>1310.7092611206581</v>
      </c>
      <c r="AB43" s="74">
        <f t="shared" si="10"/>
        <v>1413.4337091965251</v>
      </c>
      <c r="AC43" s="74">
        <f t="shared" si="10"/>
        <v>1524.8510965894063</v>
      </c>
      <c r="AD43" s="74">
        <f t="shared" si="10"/>
        <v>1645.6485155452876</v>
      </c>
      <c r="AE43" s="74">
        <f t="shared" si="10"/>
        <v>1776.7245235908842</v>
      </c>
      <c r="AF43" s="74">
        <f t="shared" si="10"/>
        <v>1918.788665624842</v>
      </c>
      <c r="AG43" s="74">
        <f t="shared" si="10"/>
        <v>1998.6966164458067</v>
      </c>
    </row>
    <row r="44" spans="1:33">
      <c r="A44" s="3" t="s">
        <v>51</v>
      </c>
      <c r="B44" s="343">
        <f>Assumptions!N50</f>
        <v>0.35</v>
      </c>
      <c r="C44" s="74">
        <f t="shared" ref="C44:AG44" si="11">(C41+C43)*-$B$44</f>
        <v>635.84925076620414</v>
      </c>
      <c r="D44" s="74">
        <f t="shared" si="11"/>
        <v>927.65296215788578</v>
      </c>
      <c r="E44" s="74">
        <f t="shared" si="11"/>
        <v>971.94092721931111</v>
      </c>
      <c r="F44" s="74">
        <f t="shared" si="11"/>
        <v>1019.6192369700294</v>
      </c>
      <c r="G44" s="74">
        <f t="shared" si="11"/>
        <v>1071.1708172637886</v>
      </c>
      <c r="H44" s="74">
        <f t="shared" si="11"/>
        <v>819.97623296840152</v>
      </c>
      <c r="I44" s="74">
        <f t="shared" si="11"/>
        <v>727.19315538493038</v>
      </c>
      <c r="J44" s="74">
        <f t="shared" si="11"/>
        <v>793.32890712151698</v>
      </c>
      <c r="K44" s="74">
        <f t="shared" si="11"/>
        <v>864.91353247566894</v>
      </c>
      <c r="L44" s="74">
        <f t="shared" si="11"/>
        <v>942.70624865828711</v>
      </c>
      <c r="M44" s="74">
        <f t="shared" si="11"/>
        <v>1027.1149761880995</v>
      </c>
      <c r="N44" s="74">
        <f t="shared" si="11"/>
        <v>1118.7920484418964</v>
      </c>
      <c r="O44" s="74">
        <f t="shared" si="11"/>
        <v>1218.0953647161514</v>
      </c>
      <c r="P44" s="74">
        <f t="shared" si="11"/>
        <v>1325.9328937496662</v>
      </c>
      <c r="Q44" s="74">
        <f t="shared" si="11"/>
        <v>1442.9307311487316</v>
      </c>
      <c r="R44" s="74">
        <f t="shared" si="11"/>
        <v>1569.9421366680087</v>
      </c>
      <c r="S44" s="74">
        <f t="shared" si="11"/>
        <v>1707.5887086450755</v>
      </c>
      <c r="T44" s="74">
        <f t="shared" si="11"/>
        <v>1856.98549412841</v>
      </c>
      <c r="U44" s="74">
        <f t="shared" si="11"/>
        <v>2019.0595143014796</v>
      </c>
      <c r="V44" s="74">
        <f t="shared" si="11"/>
        <v>2194.942281049508</v>
      </c>
      <c r="W44" s="74">
        <f t="shared" si="11"/>
        <v>3765.1168546182039</v>
      </c>
      <c r="X44" s="74">
        <f t="shared" si="11"/>
        <v>4879.484235523395</v>
      </c>
      <c r="Y44" s="74">
        <f t="shared" si="11"/>
        <v>5247.9690346507086</v>
      </c>
      <c r="Z44" s="74">
        <f t="shared" si="11"/>
        <v>5654.0893444566518</v>
      </c>
      <c r="AA44" s="74">
        <f t="shared" si="11"/>
        <v>6094.7980642110597</v>
      </c>
      <c r="AB44" s="74">
        <f t="shared" si="11"/>
        <v>6572.4667477638413</v>
      </c>
      <c r="AC44" s="74">
        <f t="shared" si="11"/>
        <v>7090.5575991407386</v>
      </c>
      <c r="AD44" s="74">
        <f t="shared" si="11"/>
        <v>7652.2655972855864</v>
      </c>
      <c r="AE44" s="74">
        <f t="shared" si="11"/>
        <v>8261.7690346976106</v>
      </c>
      <c r="AF44" s="74">
        <f t="shared" si="11"/>
        <v>8922.3672951555145</v>
      </c>
      <c r="AG44" s="74">
        <f t="shared" si="11"/>
        <v>9293.9392664730003</v>
      </c>
    </row>
    <row r="45" spans="1:33">
      <c r="A45" s="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</row>
    <row r="46" spans="1:33" ht="15.75">
      <c r="A46" s="54" t="s">
        <v>52</v>
      </c>
      <c r="B46" s="46"/>
      <c r="C46" s="368">
        <f t="shared" ref="C46:AG46" si="12">C41+C43+C44</f>
        <v>-1180.8628942800938</v>
      </c>
      <c r="D46" s="368">
        <f t="shared" si="12"/>
        <v>-1722.784072578931</v>
      </c>
      <c r="E46" s="368">
        <f t="shared" si="12"/>
        <v>-1805.0331505501495</v>
      </c>
      <c r="F46" s="368">
        <f t="shared" si="12"/>
        <v>-1893.5785829443407</v>
      </c>
      <c r="G46" s="368">
        <f t="shared" si="12"/>
        <v>-1989.3172320613221</v>
      </c>
      <c r="H46" s="368">
        <f t="shared" si="12"/>
        <v>-1522.8130040841745</v>
      </c>
      <c r="I46" s="368">
        <f t="shared" si="12"/>
        <v>-1350.5015742862993</v>
      </c>
      <c r="J46" s="368">
        <f t="shared" si="12"/>
        <v>-1473.3251132256744</v>
      </c>
      <c r="K46" s="368">
        <f t="shared" si="12"/>
        <v>-1606.2679888833854</v>
      </c>
      <c r="L46" s="368">
        <f t="shared" si="12"/>
        <v>-1750.7401760796761</v>
      </c>
      <c r="M46" s="368">
        <f t="shared" si="12"/>
        <v>-1907.4992414921846</v>
      </c>
      <c r="N46" s="368">
        <f t="shared" si="12"/>
        <v>-2077.7566613920935</v>
      </c>
      <c r="O46" s="368">
        <f t="shared" si="12"/>
        <v>-2262.1771059014245</v>
      </c>
      <c r="P46" s="368">
        <f t="shared" si="12"/>
        <v>-2462.4468026779514</v>
      </c>
      <c r="Q46" s="368">
        <f t="shared" si="12"/>
        <v>-2679.7285007047876</v>
      </c>
      <c r="R46" s="368">
        <f t="shared" si="12"/>
        <v>-2915.6068252405876</v>
      </c>
      <c r="S46" s="368">
        <f t="shared" si="12"/>
        <v>-3171.2361731979972</v>
      </c>
      <c r="T46" s="368">
        <f t="shared" si="12"/>
        <v>-3448.6873462384756</v>
      </c>
      <c r="U46" s="368">
        <f t="shared" si="12"/>
        <v>-3749.6819551313192</v>
      </c>
      <c r="V46" s="368">
        <f t="shared" si="12"/>
        <v>-4076.3213790919444</v>
      </c>
      <c r="W46" s="368">
        <f t="shared" si="12"/>
        <v>-6992.3598728623801</v>
      </c>
      <c r="X46" s="368">
        <f t="shared" si="12"/>
        <v>-9061.8992945434475</v>
      </c>
      <c r="Y46" s="368">
        <f t="shared" si="12"/>
        <v>-9746.2282072084599</v>
      </c>
      <c r="Z46" s="368">
        <f t="shared" si="12"/>
        <v>-10500.45163970521</v>
      </c>
      <c r="AA46" s="368">
        <f t="shared" si="12"/>
        <v>-11318.910690677683</v>
      </c>
      <c r="AB46" s="368">
        <f t="shared" si="12"/>
        <v>-12206.009674418563</v>
      </c>
      <c r="AC46" s="368">
        <f t="shared" si="12"/>
        <v>-13168.17839840423</v>
      </c>
      <c r="AD46" s="368">
        <f t="shared" si="12"/>
        <v>-14211.350394958947</v>
      </c>
      <c r="AE46" s="368">
        <f t="shared" si="12"/>
        <v>-15343.285350152704</v>
      </c>
      <c r="AF46" s="368">
        <f t="shared" si="12"/>
        <v>-16570.110691003101</v>
      </c>
      <c r="AG46" s="368">
        <f t="shared" si="12"/>
        <v>-17260.17292344986</v>
      </c>
    </row>
    <row r="49" spans="1:33"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</row>
    <row r="50" spans="1:33">
      <c r="A50" s="11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369"/>
      <c r="Y50" s="369"/>
      <c r="Z50" s="369"/>
      <c r="AA50" s="369"/>
      <c r="AB50" s="369"/>
      <c r="AC50" s="369"/>
      <c r="AD50" s="369"/>
      <c r="AE50" s="369"/>
      <c r="AF50" s="369"/>
      <c r="AG50" s="369"/>
    </row>
    <row r="51" spans="1:33">
      <c r="A51" s="11"/>
      <c r="C51" s="369"/>
      <c r="D51" s="369"/>
      <c r="E51" s="369"/>
      <c r="F51" s="369"/>
      <c r="G51" s="369"/>
      <c r="H51" s="369"/>
      <c r="I51" s="369"/>
      <c r="J51" s="369"/>
      <c r="K51" s="369"/>
      <c r="L51" s="369"/>
      <c r="M51" s="369"/>
      <c r="N51" s="369"/>
      <c r="O51" s="369"/>
      <c r="P51" s="369"/>
      <c r="Q51" s="369"/>
      <c r="R51" s="369"/>
      <c r="S51" s="369"/>
      <c r="T51" s="369"/>
      <c r="U51" s="369"/>
      <c r="V51" s="369"/>
      <c r="W51" s="369"/>
      <c r="X51" s="369"/>
      <c r="Y51" s="369"/>
      <c r="Z51" s="369"/>
      <c r="AA51" s="369"/>
      <c r="AB51" s="369"/>
      <c r="AC51" s="369"/>
      <c r="AD51" s="369"/>
      <c r="AE51" s="369"/>
      <c r="AF51" s="369"/>
      <c r="AG51" s="369"/>
    </row>
    <row r="52" spans="1:33">
      <c r="C52" s="369"/>
      <c r="D52" s="369"/>
      <c r="E52" s="369"/>
      <c r="F52" s="369"/>
      <c r="G52" s="369"/>
    </row>
    <row r="53" spans="1:33">
      <c r="C53" s="6"/>
      <c r="D53" s="6"/>
      <c r="E53" s="6"/>
      <c r="F53" s="6"/>
      <c r="G53" s="6"/>
    </row>
    <row r="54" spans="1:33">
      <c r="C54" s="369"/>
      <c r="D54" s="369"/>
      <c r="E54" s="369"/>
      <c r="F54" s="369"/>
      <c r="G54" s="369"/>
    </row>
    <row r="55" spans="1:33">
      <c r="C55" s="369"/>
      <c r="D55" s="369"/>
      <c r="E55" s="369"/>
      <c r="F55" s="369"/>
      <c r="G55" s="369"/>
    </row>
    <row r="56" spans="1:33">
      <c r="C56" s="369"/>
      <c r="D56" s="369"/>
      <c r="E56" s="369"/>
      <c r="F56" s="369"/>
      <c r="G56" s="369"/>
    </row>
    <row r="57" spans="1:33">
      <c r="C57" s="369"/>
      <c r="D57" s="369"/>
      <c r="E57" s="369"/>
      <c r="F57" s="369"/>
      <c r="G57" s="369"/>
    </row>
    <row r="58" spans="1:33">
      <c r="C58" s="369"/>
      <c r="D58" s="369"/>
      <c r="E58" s="369"/>
      <c r="F58" s="369"/>
      <c r="G58" s="369"/>
    </row>
    <row r="59" spans="1:33">
      <c r="C59" s="6"/>
      <c r="D59" s="6"/>
      <c r="E59" s="6"/>
      <c r="F59" s="6"/>
      <c r="G59" s="6"/>
    </row>
    <row r="60" spans="1:33">
      <c r="C60" s="6"/>
      <c r="D60" s="6"/>
      <c r="E60" s="6"/>
      <c r="F60" s="6"/>
      <c r="G60" s="6"/>
    </row>
    <row r="61" spans="1:33">
      <c r="C61" s="370"/>
      <c r="D61" s="370"/>
      <c r="E61" s="370"/>
      <c r="F61" s="370"/>
      <c r="G61" s="6"/>
    </row>
    <row r="62" spans="1:33">
      <c r="C62" s="6"/>
      <c r="D62" s="6"/>
      <c r="E62" s="6"/>
      <c r="F62" s="6"/>
      <c r="G62" s="6"/>
    </row>
    <row r="63" spans="1:33">
      <c r="C63" s="370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  <row r="65" spans="3:7">
      <c r="C65" s="6"/>
      <c r="D65" s="6"/>
      <c r="E65" s="6"/>
      <c r="F65" s="6"/>
      <c r="G65" s="6"/>
    </row>
  </sheetData>
  <pageMargins left="0.45" right="0.45" top="0.5" bottom="0.5" header="0.25" footer="0.25"/>
  <pageSetup scale="67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I27" sqref="I27"/>
    </sheetView>
  </sheetViews>
  <sheetFormatPr defaultRowHeight="12.75" outlineLevelCol="1"/>
  <cols>
    <col min="1" max="1" width="4.7109375" style="540" customWidth="1"/>
    <col min="2" max="2" width="41.42578125" style="540" customWidth="1"/>
    <col min="3" max="3" width="18.5703125" style="540" customWidth="1"/>
    <col min="4" max="4" width="11.85546875" style="540" customWidth="1"/>
    <col min="5" max="5" width="13.42578125" style="540" customWidth="1"/>
    <col min="6" max="6" width="12.140625" style="540" hidden="1" customWidth="1" outlineLevel="1"/>
    <col min="7" max="7" width="9.140625" style="540" hidden="1" customWidth="1" outlineLevel="1"/>
    <col min="8" max="8" width="13.7109375" style="540" customWidth="1" collapsed="1"/>
    <col min="9" max="11" width="9.140625" style="540"/>
    <col min="12" max="12" width="13.140625" style="540" customWidth="1"/>
    <col min="13" max="16384" width="9.140625" style="540"/>
  </cols>
  <sheetData>
    <row r="1" spans="1:9">
      <c r="A1" s="539" t="s">
        <v>437</v>
      </c>
      <c r="C1" s="579" t="s">
        <v>505</v>
      </c>
    </row>
    <row r="2" spans="1:9">
      <c r="A2" s="539" t="s">
        <v>506</v>
      </c>
    </row>
    <row r="3" spans="1:9">
      <c r="A3" s="539"/>
      <c r="B3" s="579" t="s">
        <v>507</v>
      </c>
      <c r="C3" s="579" t="s">
        <v>487</v>
      </c>
      <c r="D3" s="540">
        <v>0</v>
      </c>
      <c r="E3" s="579" t="s">
        <v>508</v>
      </c>
    </row>
    <row r="4" spans="1:9">
      <c r="A4" s="539"/>
      <c r="B4" s="579" t="s">
        <v>509</v>
      </c>
    </row>
    <row r="5" spans="1:9">
      <c r="C5" s="583" t="s">
        <v>510</v>
      </c>
      <c r="D5" s="584"/>
      <c r="E5" s="584"/>
      <c r="F5" s="584"/>
      <c r="G5" s="568"/>
      <c r="H5" s="585" t="s">
        <v>511</v>
      </c>
    </row>
    <row r="6" spans="1:9">
      <c r="A6" s="586" t="s">
        <v>512</v>
      </c>
      <c r="B6" s="587"/>
      <c r="C6" s="588" t="s">
        <v>513</v>
      </c>
      <c r="D6" s="588" t="s">
        <v>514</v>
      </c>
      <c r="E6" s="588" t="s">
        <v>515</v>
      </c>
      <c r="F6" s="589" t="s">
        <v>516</v>
      </c>
      <c r="G6" s="588"/>
      <c r="H6" s="590"/>
    </row>
    <row r="7" spans="1:9">
      <c r="B7" s="579" t="s">
        <v>517</v>
      </c>
      <c r="C7" s="591">
        <v>69000</v>
      </c>
      <c r="D7" s="590">
        <v>1000</v>
      </c>
      <c r="E7" s="590">
        <f>C7+D7</f>
        <v>70000</v>
      </c>
      <c r="F7" s="590">
        <f t="shared" ref="F7:F14" si="0">(C7+D7)/5</f>
        <v>14000</v>
      </c>
      <c r="G7" s="568"/>
      <c r="H7" s="592">
        <f>E7</f>
        <v>70000</v>
      </c>
      <c r="I7" s="593">
        <f t="shared" ref="I7:I14" si="1">E7-H7</f>
        <v>0</v>
      </c>
    </row>
    <row r="8" spans="1:9">
      <c r="B8" s="579" t="s">
        <v>518</v>
      </c>
      <c r="C8" s="594">
        <f>300*5*(1-D3)</f>
        <v>1500</v>
      </c>
      <c r="D8" s="595">
        <v>0</v>
      </c>
      <c r="E8" s="590">
        <f>C8+D8</f>
        <v>1500</v>
      </c>
      <c r="F8" s="590">
        <f t="shared" si="0"/>
        <v>300</v>
      </c>
      <c r="G8" s="568"/>
      <c r="H8" s="596"/>
      <c r="I8" s="593">
        <f t="shared" si="1"/>
        <v>1500</v>
      </c>
    </row>
    <row r="9" spans="1:9">
      <c r="B9" s="540" t="s">
        <v>519</v>
      </c>
      <c r="C9" s="591">
        <v>3800</v>
      </c>
      <c r="D9" s="590">
        <v>250</v>
      </c>
      <c r="E9" s="590">
        <f t="shared" ref="E9:E14" si="2">C9+D9</f>
        <v>4050</v>
      </c>
      <c r="F9" s="590">
        <f t="shared" si="0"/>
        <v>810</v>
      </c>
      <c r="G9" s="568"/>
      <c r="H9" s="590">
        <v>4278</v>
      </c>
      <c r="I9" s="593">
        <f t="shared" si="1"/>
        <v>-228</v>
      </c>
    </row>
    <row r="10" spans="1:9">
      <c r="B10" s="540" t="s">
        <v>520</v>
      </c>
      <c r="C10" s="591">
        <v>1000</v>
      </c>
      <c r="D10" s="590">
        <v>250</v>
      </c>
      <c r="E10" s="590">
        <f t="shared" si="2"/>
        <v>1250</v>
      </c>
      <c r="F10" s="590">
        <f t="shared" si="0"/>
        <v>250</v>
      </c>
      <c r="G10" s="568"/>
      <c r="H10" s="590">
        <v>770</v>
      </c>
      <c r="I10" s="593">
        <f t="shared" si="1"/>
        <v>480</v>
      </c>
    </row>
    <row r="11" spans="1:9">
      <c r="B11" s="579" t="s">
        <v>521</v>
      </c>
      <c r="C11" s="591">
        <v>1250</v>
      </c>
      <c r="D11" s="590">
        <v>250</v>
      </c>
      <c r="E11" s="590">
        <f t="shared" si="2"/>
        <v>1500</v>
      </c>
      <c r="F11" s="590">
        <f t="shared" si="0"/>
        <v>300</v>
      </c>
      <c r="G11" s="568"/>
      <c r="H11" s="596"/>
      <c r="I11" s="593">
        <f t="shared" si="1"/>
        <v>1500</v>
      </c>
    </row>
    <row r="12" spans="1:9">
      <c r="B12" s="540" t="s">
        <v>522</v>
      </c>
      <c r="C12" s="597">
        <v>0</v>
      </c>
      <c r="D12" s="597">
        <v>0</v>
      </c>
      <c r="E12" s="590">
        <f t="shared" si="2"/>
        <v>0</v>
      </c>
      <c r="F12" s="590">
        <f t="shared" si="0"/>
        <v>0</v>
      </c>
      <c r="G12" s="568"/>
      <c r="H12" s="596"/>
      <c r="I12" s="593">
        <f t="shared" si="1"/>
        <v>0</v>
      </c>
    </row>
    <row r="13" spans="1:9">
      <c r="B13" s="540" t="s">
        <v>523</v>
      </c>
      <c r="C13" s="591">
        <v>500</v>
      </c>
      <c r="D13" s="596">
        <v>0</v>
      </c>
      <c r="E13" s="590">
        <f t="shared" si="2"/>
        <v>500</v>
      </c>
      <c r="F13" s="590">
        <f t="shared" si="0"/>
        <v>100</v>
      </c>
      <c r="G13" s="568"/>
      <c r="H13" s="596"/>
      <c r="I13" s="593">
        <f t="shared" si="1"/>
        <v>500</v>
      </c>
    </row>
    <row r="14" spans="1:9">
      <c r="B14" s="540" t="s">
        <v>524</v>
      </c>
      <c r="C14" s="591">
        <v>350</v>
      </c>
      <c r="D14" s="596">
        <v>0</v>
      </c>
      <c r="E14" s="590">
        <f t="shared" si="2"/>
        <v>350</v>
      </c>
      <c r="F14" s="590">
        <f t="shared" si="0"/>
        <v>70</v>
      </c>
      <c r="G14" s="568"/>
      <c r="H14" s="590">
        <v>250</v>
      </c>
      <c r="I14" s="593">
        <f t="shared" si="1"/>
        <v>100</v>
      </c>
    </row>
    <row r="15" spans="1:9">
      <c r="A15" s="539" t="s">
        <v>525</v>
      </c>
      <c r="B15" s="539"/>
      <c r="C15" s="598">
        <f>SUM(C7:C14)</f>
        <v>77400</v>
      </c>
      <c r="D15" s="598">
        <f>SUM(D7:D14)</f>
        <v>1750</v>
      </c>
      <c r="E15" s="599">
        <f>C15+D15</f>
        <v>79150</v>
      </c>
      <c r="F15" s="600">
        <f>SUM(F7:F14)</f>
        <v>15830</v>
      </c>
      <c r="G15" s="577"/>
      <c r="H15" s="599">
        <f>SUM(H7:H14)</f>
        <v>75298</v>
      </c>
      <c r="I15" s="599">
        <f>SUM(I7:I14)</f>
        <v>3852</v>
      </c>
    </row>
    <row r="16" spans="1:9">
      <c r="A16" s="539"/>
      <c r="B16" s="539"/>
      <c r="C16" s="598"/>
      <c r="D16" s="598"/>
      <c r="E16" s="599"/>
      <c r="F16" s="600"/>
      <c r="G16" s="601"/>
      <c r="H16" s="602"/>
      <c r="I16" s="602"/>
    </row>
    <row r="17" spans="1:9">
      <c r="A17" s="586" t="s">
        <v>526</v>
      </c>
      <c r="B17" s="587"/>
      <c r="C17" s="598"/>
      <c r="D17" s="598"/>
      <c r="E17" s="599"/>
      <c r="F17" s="600"/>
      <c r="G17" s="601"/>
      <c r="H17" s="602"/>
      <c r="I17" s="602"/>
    </row>
    <row r="18" spans="1:9">
      <c r="B18" s="579" t="s">
        <v>527</v>
      </c>
      <c r="C18" s="591">
        <v>4600</v>
      </c>
      <c r="D18" s="590">
        <v>250</v>
      </c>
      <c r="E18" s="590">
        <f>C18+D18</f>
        <v>4850</v>
      </c>
      <c r="F18" s="590">
        <f>(C18+D18)/5</f>
        <v>970</v>
      </c>
      <c r="G18" s="603"/>
      <c r="H18" s="604"/>
      <c r="I18" s="605"/>
    </row>
    <row r="19" spans="1:9">
      <c r="B19" s="579" t="s">
        <v>528</v>
      </c>
      <c r="C19" s="591">
        <v>1000</v>
      </c>
      <c r="D19" s="590">
        <v>100</v>
      </c>
      <c r="E19" s="590">
        <f>C19+D19</f>
        <v>1100</v>
      </c>
      <c r="F19" s="590">
        <f>(C19+D19)/5</f>
        <v>220</v>
      </c>
      <c r="G19" s="603"/>
      <c r="H19" s="604"/>
      <c r="I19" s="605"/>
    </row>
    <row r="20" spans="1:9">
      <c r="B20" s="579" t="s">
        <v>529</v>
      </c>
      <c r="C20" s="594">
        <f>D3*6500</f>
        <v>0</v>
      </c>
      <c r="D20" s="590">
        <v>200</v>
      </c>
      <c r="E20" s="590">
        <f>C20+D20</f>
        <v>200</v>
      </c>
      <c r="F20" s="590">
        <f>(C20+D20)/5</f>
        <v>40</v>
      </c>
      <c r="G20" s="603"/>
      <c r="H20" s="606"/>
      <c r="I20" s="605"/>
    </row>
    <row r="21" spans="1:9">
      <c r="C21" s="598">
        <f>SUM(C18:C20)</f>
        <v>5600</v>
      </c>
      <c r="D21" s="598">
        <f>SUM(D18:D20)</f>
        <v>550</v>
      </c>
      <c r="E21" s="598">
        <f>SUM(E18:E20)</f>
        <v>6150</v>
      </c>
      <c r="F21" s="598">
        <f>SUM(F18:F20)</f>
        <v>1230</v>
      </c>
      <c r="G21" s="603"/>
      <c r="H21" s="602"/>
      <c r="I21" s="602"/>
    </row>
    <row r="22" spans="1:9">
      <c r="A22" s="586" t="s">
        <v>530</v>
      </c>
      <c r="B22" s="587"/>
      <c r="C22" s="568"/>
      <c r="D22" s="590"/>
      <c r="E22" s="590"/>
      <c r="F22" s="590"/>
      <c r="G22" s="603"/>
      <c r="H22" s="604"/>
      <c r="I22" s="607"/>
    </row>
    <row r="23" spans="1:9">
      <c r="B23" s="540" t="s">
        <v>531</v>
      </c>
      <c r="C23" s="591">
        <v>1200</v>
      </c>
      <c r="D23" s="590">
        <v>400</v>
      </c>
      <c r="E23" s="590">
        <f t="shared" ref="E23:E35" si="3">C23+D23</f>
        <v>1600</v>
      </c>
      <c r="F23" s="590">
        <f>(C23+D23)/5</f>
        <v>320</v>
      </c>
      <c r="G23" s="603"/>
      <c r="H23" s="604"/>
      <c r="I23" s="607"/>
    </row>
    <row r="24" spans="1:9">
      <c r="B24" s="540" t="s">
        <v>532</v>
      </c>
      <c r="C24" s="591">
        <v>1000</v>
      </c>
      <c r="D24" s="590">
        <v>250</v>
      </c>
      <c r="E24" s="590">
        <f t="shared" si="3"/>
        <v>1250</v>
      </c>
      <c r="F24" s="590">
        <f t="shared" ref="F24:F35" si="4">(C24+D24)/5</f>
        <v>250</v>
      </c>
      <c r="G24" s="603"/>
      <c r="H24" s="604"/>
      <c r="I24" s="607"/>
    </row>
    <row r="25" spans="1:9">
      <c r="B25" s="540" t="s">
        <v>533</v>
      </c>
      <c r="C25" s="591">
        <v>250</v>
      </c>
      <c r="D25" s="590">
        <v>100</v>
      </c>
      <c r="E25" s="590">
        <f t="shared" si="3"/>
        <v>350</v>
      </c>
      <c r="F25" s="590">
        <f t="shared" si="4"/>
        <v>70</v>
      </c>
      <c r="G25" s="603"/>
      <c r="H25" s="604"/>
      <c r="I25" s="607"/>
    </row>
    <row r="26" spans="1:9">
      <c r="B26" s="540" t="s">
        <v>534</v>
      </c>
      <c r="C26" s="597">
        <v>50</v>
      </c>
      <c r="D26" s="597">
        <v>50</v>
      </c>
      <c r="E26" s="590">
        <f t="shared" si="3"/>
        <v>100</v>
      </c>
      <c r="F26" s="590">
        <f t="shared" si="4"/>
        <v>20</v>
      </c>
      <c r="G26" s="603"/>
      <c r="H26" s="604"/>
      <c r="I26" s="607"/>
    </row>
    <row r="27" spans="1:9">
      <c r="B27" s="579" t="s">
        <v>535</v>
      </c>
      <c r="C27" s="591">
        <f>(1-D3)*500</f>
        <v>500</v>
      </c>
      <c r="D27" s="590">
        <v>100</v>
      </c>
      <c r="E27" s="590">
        <f t="shared" si="3"/>
        <v>600</v>
      </c>
      <c r="F27" s="590">
        <f t="shared" si="4"/>
        <v>120</v>
      </c>
      <c r="G27" s="603"/>
      <c r="H27" s="604"/>
      <c r="I27" s="607"/>
    </row>
    <row r="28" spans="1:9">
      <c r="B28" s="540" t="s">
        <v>536</v>
      </c>
      <c r="C28" s="591">
        <v>300</v>
      </c>
      <c r="D28" s="590">
        <v>100</v>
      </c>
      <c r="E28" s="590">
        <f t="shared" si="3"/>
        <v>400</v>
      </c>
      <c r="F28" s="590">
        <f t="shared" si="4"/>
        <v>80</v>
      </c>
      <c r="G28" s="603"/>
      <c r="H28" s="604"/>
      <c r="I28" s="607"/>
    </row>
    <row r="29" spans="1:9">
      <c r="B29" s="579" t="s">
        <v>537</v>
      </c>
      <c r="C29" s="591">
        <v>1200</v>
      </c>
      <c r="D29" s="590">
        <v>350</v>
      </c>
      <c r="E29" s="590">
        <f t="shared" si="3"/>
        <v>1550</v>
      </c>
      <c r="F29" s="590">
        <f t="shared" si="4"/>
        <v>310</v>
      </c>
      <c r="G29" s="603"/>
      <c r="H29" s="604"/>
      <c r="I29" s="607"/>
    </row>
    <row r="30" spans="1:9">
      <c r="B30" s="540" t="s">
        <v>538</v>
      </c>
      <c r="C30" s="591">
        <v>250</v>
      </c>
      <c r="D30" s="590">
        <v>50</v>
      </c>
      <c r="E30" s="590">
        <f t="shared" si="3"/>
        <v>300</v>
      </c>
      <c r="F30" s="590">
        <f t="shared" si="4"/>
        <v>60</v>
      </c>
      <c r="G30" s="603"/>
      <c r="H30" s="604"/>
      <c r="I30" s="607"/>
    </row>
    <row r="31" spans="1:9">
      <c r="B31" s="579" t="s">
        <v>539</v>
      </c>
      <c r="C31" s="591">
        <v>1500</v>
      </c>
      <c r="D31" s="590">
        <v>300</v>
      </c>
      <c r="E31" s="590">
        <f t="shared" si="3"/>
        <v>1800</v>
      </c>
      <c r="F31" s="590">
        <f t="shared" si="4"/>
        <v>360</v>
      </c>
      <c r="G31" s="603"/>
      <c r="H31" s="604"/>
      <c r="I31" s="607"/>
    </row>
    <row r="32" spans="1:9">
      <c r="B32" s="540" t="s">
        <v>540</v>
      </c>
      <c r="C32" s="591">
        <v>300</v>
      </c>
      <c r="D32" s="590">
        <v>120</v>
      </c>
      <c r="E32" s="590">
        <f t="shared" si="3"/>
        <v>420</v>
      </c>
      <c r="F32" s="590">
        <f t="shared" si="4"/>
        <v>84</v>
      </c>
      <c r="G32" s="603"/>
      <c r="H32" s="604"/>
      <c r="I32" s="607"/>
    </row>
    <row r="33" spans="1:9">
      <c r="B33" s="540" t="s">
        <v>541</v>
      </c>
      <c r="C33" s="591">
        <v>700</v>
      </c>
      <c r="D33" s="590">
        <v>450</v>
      </c>
      <c r="E33" s="590">
        <f t="shared" si="3"/>
        <v>1150</v>
      </c>
      <c r="F33" s="590">
        <f t="shared" si="4"/>
        <v>230</v>
      </c>
      <c r="G33" s="603"/>
      <c r="H33" s="604"/>
      <c r="I33" s="607"/>
    </row>
    <row r="34" spans="1:9">
      <c r="B34" s="540" t="s">
        <v>542</v>
      </c>
      <c r="C34" s="591">
        <v>550</v>
      </c>
      <c r="D34" s="590">
        <v>150</v>
      </c>
      <c r="E34" s="590">
        <f t="shared" si="3"/>
        <v>700</v>
      </c>
      <c r="F34" s="590">
        <f t="shared" si="4"/>
        <v>140</v>
      </c>
      <c r="G34" s="603"/>
      <c r="H34" s="604"/>
      <c r="I34" s="607"/>
    </row>
    <row r="35" spans="1:9">
      <c r="B35" s="540" t="s">
        <v>543</v>
      </c>
      <c r="C35" s="597">
        <v>0</v>
      </c>
      <c r="D35" s="597">
        <v>0</v>
      </c>
      <c r="E35" s="590">
        <f t="shared" si="3"/>
        <v>0</v>
      </c>
      <c r="F35" s="590">
        <f t="shared" si="4"/>
        <v>0</v>
      </c>
      <c r="G35" s="603"/>
      <c r="H35" s="604"/>
      <c r="I35" s="607"/>
    </row>
    <row r="36" spans="1:9">
      <c r="A36" s="539" t="s">
        <v>544</v>
      </c>
      <c r="B36" s="539"/>
      <c r="C36" s="598">
        <f>SUM(C21:C35)</f>
        <v>13400</v>
      </c>
      <c r="D36" s="598">
        <f>SUM(D21:D35)</f>
        <v>2970</v>
      </c>
      <c r="E36" s="598">
        <f>SUM(E21:E35)</f>
        <v>16370</v>
      </c>
      <c r="F36" s="598">
        <f>SUM(F21:F35)</f>
        <v>3274</v>
      </c>
      <c r="G36" s="608"/>
      <c r="H36" s="602"/>
      <c r="I36" s="602"/>
    </row>
    <row r="37" spans="1:9">
      <c r="A37" s="539" t="s">
        <v>545</v>
      </c>
      <c r="B37" s="539"/>
      <c r="C37" s="598"/>
      <c r="D37" s="598"/>
      <c r="E37" s="598">
        <f>E15+E36</f>
        <v>95520</v>
      </c>
      <c r="F37" s="598">
        <f>F15+F36</f>
        <v>19104</v>
      </c>
      <c r="G37" s="601"/>
      <c r="H37" s="602"/>
      <c r="I37" s="602"/>
    </row>
    <row r="38" spans="1:9">
      <c r="B38" s="579"/>
      <c r="C38" s="591"/>
      <c r="D38" s="590"/>
      <c r="E38" s="590"/>
      <c r="F38" s="590"/>
      <c r="G38" s="603"/>
      <c r="H38" s="604"/>
      <c r="I38" s="607"/>
    </row>
    <row r="39" spans="1:9">
      <c r="A39" s="586" t="s">
        <v>546</v>
      </c>
      <c r="B39" s="587"/>
      <c r="C39" s="568"/>
      <c r="D39" s="590"/>
      <c r="E39" s="590"/>
      <c r="F39" s="590"/>
      <c r="G39" s="603"/>
      <c r="H39" s="604"/>
      <c r="I39" s="607"/>
    </row>
    <row r="40" spans="1:9">
      <c r="B40" s="540" t="s">
        <v>547</v>
      </c>
      <c r="C40" s="591">
        <v>500</v>
      </c>
      <c r="D40" s="590"/>
      <c r="E40" s="590"/>
      <c r="F40" s="590">
        <f t="shared" ref="F40:F58" si="5">(C40+D40)/5</f>
        <v>100</v>
      </c>
      <c r="G40" s="603"/>
      <c r="H40" s="604"/>
      <c r="I40" s="607"/>
    </row>
    <row r="41" spans="1:9">
      <c r="B41" s="540" t="s">
        <v>548</v>
      </c>
      <c r="C41" s="591">
        <v>25</v>
      </c>
      <c r="D41" s="590"/>
      <c r="E41" s="590"/>
      <c r="F41" s="590">
        <f t="shared" si="5"/>
        <v>5</v>
      </c>
      <c r="G41" s="603"/>
      <c r="H41" s="604"/>
      <c r="I41" s="607"/>
    </row>
    <row r="42" spans="1:9">
      <c r="B42" s="540" t="s">
        <v>549</v>
      </c>
      <c r="C42" s="591">
        <v>2000</v>
      </c>
      <c r="D42" s="590"/>
      <c r="E42" s="590"/>
      <c r="F42" s="590">
        <f t="shared" si="5"/>
        <v>400</v>
      </c>
      <c r="G42" s="603"/>
      <c r="H42" s="604"/>
      <c r="I42" s="607"/>
    </row>
    <row r="43" spans="1:9">
      <c r="B43" s="540" t="s">
        <v>550</v>
      </c>
      <c r="C43" s="591">
        <v>750</v>
      </c>
      <c r="D43" s="590"/>
      <c r="E43" s="590"/>
      <c r="F43" s="590">
        <f t="shared" si="5"/>
        <v>150</v>
      </c>
      <c r="G43" s="603"/>
      <c r="H43" s="604"/>
      <c r="I43" s="607"/>
    </row>
    <row r="44" spans="1:9">
      <c r="B44" s="540" t="s">
        <v>551</v>
      </c>
      <c r="C44" s="591">
        <v>250</v>
      </c>
      <c r="D44" s="590"/>
      <c r="E44" s="590"/>
      <c r="F44" s="590">
        <f t="shared" si="5"/>
        <v>50</v>
      </c>
      <c r="G44" s="603"/>
      <c r="H44" s="604"/>
      <c r="I44" s="607"/>
    </row>
    <row r="45" spans="1:9">
      <c r="B45" s="540" t="s">
        <v>552</v>
      </c>
      <c r="C45" s="591">
        <v>1000</v>
      </c>
      <c r="D45" s="609"/>
      <c r="E45" s="590"/>
      <c r="F45" s="590">
        <f t="shared" si="5"/>
        <v>200</v>
      </c>
      <c r="G45" s="603"/>
      <c r="H45" s="604"/>
      <c r="I45" s="607"/>
    </row>
    <row r="46" spans="1:9">
      <c r="B46" s="540" t="s">
        <v>553</v>
      </c>
      <c r="C46" s="591">
        <v>200</v>
      </c>
      <c r="D46" s="590"/>
      <c r="E46" s="590"/>
      <c r="F46" s="590">
        <f t="shared" si="5"/>
        <v>40</v>
      </c>
      <c r="G46" s="603"/>
      <c r="H46" s="604"/>
      <c r="I46" s="607"/>
    </row>
    <row r="47" spans="1:9">
      <c r="B47" s="579" t="s">
        <v>554</v>
      </c>
      <c r="C47" s="591">
        <v>35</v>
      </c>
      <c r="D47" s="590"/>
      <c r="E47" s="590"/>
      <c r="F47" s="590">
        <f t="shared" si="5"/>
        <v>7</v>
      </c>
      <c r="G47" s="603"/>
      <c r="H47" s="604"/>
      <c r="I47" s="607"/>
    </row>
    <row r="48" spans="1:9">
      <c r="B48" s="540" t="s">
        <v>555</v>
      </c>
      <c r="C48" s="591">
        <v>50</v>
      </c>
      <c r="D48" s="590"/>
      <c r="E48" s="590"/>
      <c r="F48" s="590">
        <f t="shared" si="5"/>
        <v>10</v>
      </c>
      <c r="G48" s="603"/>
      <c r="H48" s="604"/>
      <c r="I48" s="607"/>
    </row>
    <row r="49" spans="1:9">
      <c r="B49" s="540" t="s">
        <v>556</v>
      </c>
      <c r="C49" s="591">
        <v>75</v>
      </c>
      <c r="D49" s="590"/>
      <c r="E49" s="590"/>
      <c r="F49" s="590">
        <f t="shared" si="5"/>
        <v>15</v>
      </c>
      <c r="G49" s="603"/>
      <c r="H49" s="604"/>
      <c r="I49" s="607"/>
    </row>
    <row r="50" spans="1:9">
      <c r="B50" s="579" t="s">
        <v>557</v>
      </c>
      <c r="C50" s="591">
        <v>600</v>
      </c>
      <c r="D50" s="590"/>
      <c r="E50" s="590"/>
      <c r="F50" s="590">
        <f t="shared" si="5"/>
        <v>120</v>
      </c>
      <c r="G50" s="603"/>
      <c r="H50" s="604"/>
      <c r="I50" s="607"/>
    </row>
    <row r="51" spans="1:9">
      <c r="B51" s="579" t="s">
        <v>558</v>
      </c>
      <c r="C51" s="591">
        <f>6/12*0.07*115000*0.8</f>
        <v>3220.0000000000005</v>
      </c>
      <c r="D51" s="590"/>
      <c r="E51" s="590"/>
      <c r="F51" s="590">
        <f t="shared" si="5"/>
        <v>644.00000000000011</v>
      </c>
      <c r="G51" s="603"/>
      <c r="H51" s="610"/>
      <c r="I51" s="607"/>
    </row>
    <row r="52" spans="1:9">
      <c r="B52" s="540" t="s">
        <v>559</v>
      </c>
      <c r="C52" s="611"/>
      <c r="D52" s="590"/>
      <c r="E52" s="590"/>
      <c r="F52" s="590">
        <f t="shared" si="5"/>
        <v>0</v>
      </c>
      <c r="G52" s="603"/>
      <c r="H52" s="604"/>
      <c r="I52" s="607"/>
    </row>
    <row r="53" spans="1:9">
      <c r="B53" s="540" t="s">
        <v>560</v>
      </c>
      <c r="C53" s="591">
        <v>500</v>
      </c>
      <c r="D53" s="590"/>
      <c r="E53" s="590"/>
      <c r="F53" s="590">
        <f t="shared" si="5"/>
        <v>100</v>
      </c>
      <c r="G53" s="603"/>
      <c r="H53" s="604"/>
      <c r="I53" s="607"/>
    </row>
    <row r="54" spans="1:9">
      <c r="B54" s="540" t="s">
        <v>561</v>
      </c>
      <c r="C54" s="591">
        <v>500</v>
      </c>
      <c r="D54" s="590"/>
      <c r="E54" s="590"/>
      <c r="F54" s="590">
        <f t="shared" si="5"/>
        <v>100</v>
      </c>
      <c r="G54" s="603"/>
      <c r="H54" s="604"/>
      <c r="I54" s="607"/>
    </row>
    <row r="55" spans="1:9">
      <c r="B55" s="540" t="s">
        <v>562</v>
      </c>
      <c r="C55" s="591">
        <v>350</v>
      </c>
      <c r="D55" s="590"/>
      <c r="E55" s="590"/>
      <c r="F55" s="590">
        <f t="shared" si="5"/>
        <v>70</v>
      </c>
      <c r="G55" s="603"/>
      <c r="H55" s="604"/>
      <c r="I55" s="607"/>
    </row>
    <row r="56" spans="1:9">
      <c r="B56" s="540" t="s">
        <v>563</v>
      </c>
      <c r="C56" s="591">
        <f>[6]Proforma!B5</f>
        <v>2500</v>
      </c>
      <c r="D56" s="590"/>
      <c r="E56" s="590"/>
      <c r="F56" s="590">
        <f t="shared" si="5"/>
        <v>500</v>
      </c>
      <c r="G56" s="603"/>
      <c r="H56" s="604"/>
      <c r="I56" s="607"/>
    </row>
    <row r="57" spans="1:9">
      <c r="B57" s="579" t="s">
        <v>564</v>
      </c>
      <c r="C57" s="597">
        <v>100</v>
      </c>
      <c r="D57" s="590"/>
      <c r="E57" s="590"/>
      <c r="F57" s="590">
        <f t="shared" si="5"/>
        <v>20</v>
      </c>
      <c r="G57" s="603"/>
      <c r="H57" s="604"/>
      <c r="I57" s="607"/>
    </row>
    <row r="58" spans="1:9">
      <c r="B58" s="540" t="s">
        <v>565</v>
      </c>
      <c r="C58" s="591">
        <f>0.03*E37</f>
        <v>2865.6</v>
      </c>
      <c r="D58" s="590"/>
      <c r="E58" s="590"/>
      <c r="F58" s="590">
        <f t="shared" si="5"/>
        <v>573.12</v>
      </c>
      <c r="G58" s="603"/>
      <c r="H58" s="604"/>
      <c r="I58" s="607"/>
    </row>
    <row r="59" spans="1:9">
      <c r="A59" s="539" t="s">
        <v>566</v>
      </c>
      <c r="B59" s="539"/>
      <c r="C59" s="598">
        <f>SUM(C40:C58)</f>
        <v>15520.6</v>
      </c>
      <c r="D59" s="599"/>
      <c r="E59" s="599"/>
      <c r="F59" s="598">
        <f>SUM(F40:F58)</f>
        <v>3104.12</v>
      </c>
      <c r="G59" s="601"/>
      <c r="H59" s="612"/>
      <c r="I59" s="607"/>
    </row>
    <row r="60" spans="1:9">
      <c r="C60" s="568"/>
      <c r="D60" s="568"/>
      <c r="E60" s="568"/>
      <c r="F60" s="568"/>
      <c r="G60" s="603"/>
      <c r="H60" s="604"/>
      <c r="I60" s="607"/>
    </row>
    <row r="61" spans="1:9">
      <c r="A61" s="586" t="s">
        <v>567</v>
      </c>
      <c r="B61" s="587"/>
      <c r="C61" s="568"/>
      <c r="D61" s="568"/>
      <c r="E61" s="568"/>
      <c r="F61" s="568"/>
      <c r="G61" s="603"/>
      <c r="H61" s="604"/>
      <c r="I61" s="607"/>
    </row>
    <row r="62" spans="1:9">
      <c r="B62" s="579" t="s">
        <v>568</v>
      </c>
      <c r="C62" s="591">
        <v>250</v>
      </c>
      <c r="D62" s="568"/>
      <c r="E62" s="568"/>
      <c r="F62" s="590">
        <f>(C62+D62)/5</f>
        <v>50</v>
      </c>
      <c r="G62" s="603"/>
      <c r="H62" s="604"/>
      <c r="I62" s="607"/>
    </row>
    <row r="63" spans="1:9">
      <c r="B63" s="540" t="s">
        <v>569</v>
      </c>
      <c r="C63" s="591">
        <v>500</v>
      </c>
      <c r="D63" s="568"/>
      <c r="E63" s="568"/>
      <c r="F63" s="590">
        <f>(C63+D63)/5</f>
        <v>100</v>
      </c>
      <c r="G63" s="603"/>
      <c r="H63" s="604"/>
      <c r="I63" s="607"/>
    </row>
    <row r="64" spans="1:9">
      <c r="A64" s="539" t="s">
        <v>570</v>
      </c>
      <c r="B64" s="539"/>
      <c r="C64" s="598">
        <f>SUM(C62:C63)</f>
        <v>750</v>
      </c>
      <c r="D64" s="577"/>
      <c r="E64" s="577"/>
      <c r="F64" s="598">
        <f>SUM(F62:F63)</f>
        <v>150</v>
      </c>
      <c r="G64" s="601"/>
      <c r="H64" s="612"/>
      <c r="I64" s="607"/>
    </row>
    <row r="65" spans="1:9">
      <c r="C65" s="568"/>
      <c r="D65" s="568"/>
      <c r="E65" s="568"/>
      <c r="F65" s="568"/>
      <c r="G65" s="603"/>
      <c r="H65" s="604"/>
      <c r="I65" s="607"/>
    </row>
    <row r="66" spans="1:9">
      <c r="A66" s="586" t="s">
        <v>515</v>
      </c>
      <c r="B66" s="587"/>
      <c r="C66" s="568"/>
      <c r="D66" s="568"/>
      <c r="E66" s="568"/>
      <c r="F66" s="568"/>
      <c r="G66" s="603"/>
      <c r="H66" s="604"/>
      <c r="I66" s="607"/>
    </row>
    <row r="67" spans="1:9">
      <c r="B67" s="540" t="s">
        <v>571</v>
      </c>
      <c r="C67" s="591">
        <f>C15+D15</f>
        <v>79150</v>
      </c>
      <c r="D67" s="568"/>
      <c r="E67" s="568"/>
      <c r="F67" s="590">
        <f>C67/5</f>
        <v>15830</v>
      </c>
      <c r="G67" s="603"/>
      <c r="H67" s="604"/>
      <c r="I67" s="607"/>
    </row>
    <row r="68" spans="1:9">
      <c r="B68" s="540" t="s">
        <v>572</v>
      </c>
      <c r="C68" s="591">
        <f>C36+D36</f>
        <v>16370</v>
      </c>
      <c r="D68" s="568"/>
      <c r="E68" s="568"/>
      <c r="F68" s="590">
        <f>C68/5</f>
        <v>3274</v>
      </c>
      <c r="G68" s="603"/>
      <c r="H68" s="604"/>
      <c r="I68" s="607"/>
    </row>
    <row r="69" spans="1:9">
      <c r="B69" s="540" t="s">
        <v>573</v>
      </c>
      <c r="C69" s="591">
        <f>0.05*(C15+C36)</f>
        <v>4540</v>
      </c>
      <c r="D69" s="568"/>
      <c r="E69" s="568"/>
      <c r="F69" s="590">
        <f>C69/5</f>
        <v>908</v>
      </c>
      <c r="G69" s="603"/>
      <c r="H69" s="605"/>
      <c r="I69" s="607"/>
    </row>
    <row r="70" spans="1:9">
      <c r="B70" s="540" t="s">
        <v>546</v>
      </c>
      <c r="C70" s="591">
        <f>C59</f>
        <v>15520.6</v>
      </c>
      <c r="D70" s="568"/>
      <c r="E70" s="568"/>
      <c r="F70" s="590">
        <f>C70/5</f>
        <v>3104.12</v>
      </c>
      <c r="G70" s="603"/>
      <c r="H70" s="604"/>
      <c r="I70" s="607"/>
    </row>
    <row r="71" spans="1:9">
      <c r="B71" s="540" t="s">
        <v>574</v>
      </c>
      <c r="C71" s="591">
        <f>C64</f>
        <v>750</v>
      </c>
      <c r="D71" s="568"/>
      <c r="E71" s="568"/>
      <c r="F71" s="590">
        <f>C71/5</f>
        <v>150</v>
      </c>
      <c r="G71" s="603"/>
      <c r="H71" s="604"/>
      <c r="I71" s="607"/>
    </row>
    <row r="72" spans="1:9">
      <c r="A72" s="539" t="s">
        <v>575</v>
      </c>
      <c r="C72" s="598">
        <f>SUM(C67:C71)</f>
        <v>116330.6</v>
      </c>
      <c r="D72" s="577"/>
      <c r="E72" s="577"/>
      <c r="F72" s="598">
        <f>SUM(F67:F71)</f>
        <v>23266.12</v>
      </c>
      <c r="G72" s="601"/>
      <c r="H72" s="602"/>
      <c r="I72" s="607"/>
    </row>
    <row r="73" spans="1:9">
      <c r="C73" s="588"/>
      <c r="D73" s="568"/>
      <c r="E73" s="568"/>
      <c r="F73" s="568"/>
      <c r="G73" s="603"/>
      <c r="H73" s="607"/>
      <c r="I73" s="607"/>
    </row>
    <row r="74" spans="1:9">
      <c r="A74" s="539" t="s">
        <v>576</v>
      </c>
      <c r="B74" s="539"/>
      <c r="C74" s="613">
        <f>IF(D3=1,C77,C78)</f>
        <v>227.5</v>
      </c>
      <c r="D74" s="577"/>
      <c r="E74" s="577"/>
      <c r="F74" s="577">
        <v>45.5</v>
      </c>
      <c r="G74" s="601"/>
      <c r="H74" s="614"/>
      <c r="I74" s="607"/>
    </row>
    <row r="75" spans="1:9">
      <c r="A75" s="539" t="s">
        <v>194</v>
      </c>
      <c r="B75" s="539"/>
      <c r="C75" s="598">
        <f>C72/C74</f>
        <v>511.34329670329674</v>
      </c>
      <c r="D75" s="577"/>
      <c r="E75" s="577"/>
      <c r="F75" s="598">
        <f>F72/F74</f>
        <v>511.34329670329669</v>
      </c>
      <c r="G75" s="601"/>
      <c r="H75" s="602"/>
      <c r="I75" s="607"/>
    </row>
    <row r="77" spans="1:9">
      <c r="B77" s="579" t="s">
        <v>577</v>
      </c>
      <c r="C77" s="613">
        <v>221.6</v>
      </c>
    </row>
    <row r="78" spans="1:9">
      <c r="A78" s="539"/>
      <c r="B78" s="579" t="s">
        <v>578</v>
      </c>
      <c r="C78" s="577">
        <v>227.5</v>
      </c>
    </row>
    <row r="79" spans="1:9">
      <c r="C79" s="593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2.75"/>
  <cols>
    <col min="2" max="2" width="10.140625" bestFit="1" customWidth="1"/>
    <col min="3" max="3" width="13" customWidth="1"/>
  </cols>
  <sheetData>
    <row r="3" spans="2:8">
      <c r="C3" s="531" t="s">
        <v>430</v>
      </c>
    </row>
    <row r="4" spans="2:8">
      <c r="C4" s="531" t="s">
        <v>431</v>
      </c>
      <c r="D4" s="534" t="s">
        <v>192</v>
      </c>
      <c r="F4" s="535" t="s">
        <v>23</v>
      </c>
      <c r="G4" s="535" t="s">
        <v>432</v>
      </c>
    </row>
    <row r="5" spans="2:8">
      <c r="B5" s="532">
        <v>36892</v>
      </c>
      <c r="C5" s="533">
        <v>4.0555000000000003</v>
      </c>
      <c r="F5">
        <v>2001</v>
      </c>
      <c r="G5" s="533">
        <f>D16</f>
        <v>3.1783749999999995</v>
      </c>
    </row>
    <row r="6" spans="2:8">
      <c r="B6" s="532">
        <v>36923</v>
      </c>
      <c r="C6" s="533">
        <v>3.8955000000000006</v>
      </c>
      <c r="F6">
        <v>2002</v>
      </c>
      <c r="G6" s="533">
        <f>D28</f>
        <v>3.1596666666666668</v>
      </c>
    </row>
    <row r="7" spans="2:8">
      <c r="B7" s="532">
        <v>36951</v>
      </c>
      <c r="C7" s="533">
        <v>3.3430000000000004</v>
      </c>
      <c r="F7">
        <v>2003</v>
      </c>
      <c r="G7" s="533">
        <f>D40</f>
        <v>3.1917083333333331</v>
      </c>
      <c r="H7" s="536">
        <f t="shared" ref="H7:H18" si="0">G7/G6</f>
        <v>1.0101408376411012</v>
      </c>
    </row>
    <row r="8" spans="2:8">
      <c r="B8" s="532">
        <v>36982</v>
      </c>
      <c r="C8" s="533">
        <v>2.8630000000000004</v>
      </c>
      <c r="F8">
        <v>2004</v>
      </c>
      <c r="G8" s="533">
        <f>D52</f>
        <v>3.2408750000000004</v>
      </c>
      <c r="H8" s="536">
        <f t="shared" si="0"/>
        <v>1.0154044986357882</v>
      </c>
    </row>
    <row r="9" spans="2:8">
      <c r="B9" s="532">
        <v>37012</v>
      </c>
      <c r="C9" s="533">
        <v>2.7810000000000001</v>
      </c>
      <c r="F9">
        <v>2005</v>
      </c>
      <c r="G9" s="533">
        <f>D64</f>
        <v>3.300041666666667</v>
      </c>
      <c r="H9" s="536">
        <f t="shared" si="0"/>
        <v>1.0182563865211298</v>
      </c>
    </row>
    <row r="10" spans="2:8">
      <c r="B10" s="532">
        <v>37043</v>
      </c>
      <c r="C10" s="533">
        <v>2.7930000000000001</v>
      </c>
      <c r="F10">
        <v>2006</v>
      </c>
      <c r="G10" s="533">
        <f>D76</f>
        <v>3.3629583333333333</v>
      </c>
      <c r="H10" s="536">
        <f t="shared" si="0"/>
        <v>1.0190654158407089</v>
      </c>
    </row>
    <row r="11" spans="2:8">
      <c r="B11" s="532">
        <v>37073</v>
      </c>
      <c r="C11" s="533">
        <v>2.8159999999999998</v>
      </c>
      <c r="F11">
        <v>2007</v>
      </c>
      <c r="G11" s="533">
        <f>D88</f>
        <v>3.4279583333333341</v>
      </c>
      <c r="H11" s="536">
        <f t="shared" si="0"/>
        <v>1.0193282204408323</v>
      </c>
    </row>
    <row r="12" spans="2:8">
      <c r="B12" s="532">
        <v>37104</v>
      </c>
      <c r="C12" s="533">
        <v>2.8155000000000006</v>
      </c>
      <c r="F12">
        <v>2008</v>
      </c>
      <c r="G12" s="533">
        <f>D100</f>
        <v>3.4979583333333335</v>
      </c>
      <c r="H12" s="536">
        <f t="shared" si="0"/>
        <v>1.0204203182166254</v>
      </c>
    </row>
    <row r="13" spans="2:8">
      <c r="B13" s="532">
        <v>37135</v>
      </c>
      <c r="C13" s="533">
        <v>2.7960000000000003</v>
      </c>
      <c r="F13">
        <v>2009</v>
      </c>
      <c r="G13" s="533">
        <f>D112</f>
        <v>3.5729583333333337</v>
      </c>
      <c r="H13" s="536">
        <f t="shared" si="0"/>
        <v>1.0214410787244941</v>
      </c>
    </row>
    <row r="14" spans="2:8">
      <c r="B14" s="532">
        <v>37165</v>
      </c>
      <c r="C14" s="533">
        <v>2.8405</v>
      </c>
      <c r="F14">
        <v>2010</v>
      </c>
      <c r="G14" s="533">
        <f>D124</f>
        <v>3.6529583333333329</v>
      </c>
      <c r="H14" s="536">
        <f t="shared" si="0"/>
        <v>1.022390409441289</v>
      </c>
    </row>
    <row r="15" spans="2:8">
      <c r="B15" s="532">
        <v>37196</v>
      </c>
      <c r="C15" s="533">
        <v>3.2795000000000001</v>
      </c>
      <c r="F15">
        <v>2011</v>
      </c>
      <c r="G15" s="533">
        <f>D136</f>
        <v>3.7379583333333333</v>
      </c>
      <c r="H15" s="536">
        <f t="shared" si="0"/>
        <v>1.0232688118077815</v>
      </c>
    </row>
    <row r="16" spans="2:8">
      <c r="B16" s="532">
        <v>37226</v>
      </c>
      <c r="C16" s="533">
        <v>3.8619999999999997</v>
      </c>
      <c r="D16" s="533">
        <f>AVERAGE(C5:C16)</f>
        <v>3.1783749999999995</v>
      </c>
      <c r="F16">
        <v>2012</v>
      </c>
      <c r="G16" s="533">
        <f>D148</f>
        <v>3.8160833333333337</v>
      </c>
      <c r="H16" s="536">
        <f t="shared" si="0"/>
        <v>1.0209004469908931</v>
      </c>
    </row>
    <row r="17" spans="2:8">
      <c r="B17" s="532">
        <v>37257</v>
      </c>
      <c r="C17" s="533">
        <v>4.0724999999999998</v>
      </c>
      <c r="F17">
        <v>2013</v>
      </c>
      <c r="G17" s="533">
        <f>D160</f>
        <v>3.8856666666666668</v>
      </c>
      <c r="H17" s="536">
        <f t="shared" si="0"/>
        <v>1.0182342279387679</v>
      </c>
    </row>
    <row r="18" spans="2:8">
      <c r="B18" s="532">
        <v>37288</v>
      </c>
      <c r="C18" s="533">
        <v>3.9249999999999998</v>
      </c>
      <c r="F18">
        <v>2014</v>
      </c>
      <c r="G18" s="533">
        <f>D172</f>
        <v>4.0229583333333343</v>
      </c>
      <c r="H18" s="536">
        <f t="shared" si="0"/>
        <v>1.0353328472162651</v>
      </c>
    </row>
    <row r="19" spans="2:8">
      <c r="B19" s="532">
        <v>37316</v>
      </c>
      <c r="C19" s="533">
        <v>3.3155000000000001</v>
      </c>
      <c r="F19">
        <v>2015</v>
      </c>
      <c r="G19" s="533">
        <f>D184</f>
        <v>4.127958333333333</v>
      </c>
      <c r="H19" s="536">
        <f>G19/G18</f>
        <v>1.0261001957514677</v>
      </c>
    </row>
    <row r="20" spans="2:8">
      <c r="B20" s="532">
        <v>37347</v>
      </c>
      <c r="C20" s="533">
        <v>2.8290000000000002</v>
      </c>
      <c r="F20">
        <v>2016</v>
      </c>
      <c r="G20" s="533">
        <f>D196</f>
        <v>4.2379583333333333</v>
      </c>
      <c r="H20" s="536">
        <f t="shared" ref="H20:H25" si="1">G20/G19</f>
        <v>1.0266475557933201</v>
      </c>
    </row>
    <row r="21" spans="2:8">
      <c r="B21" s="532">
        <v>37377</v>
      </c>
      <c r="C21" s="533">
        <v>2.77</v>
      </c>
      <c r="F21">
        <v>2017</v>
      </c>
      <c r="G21" s="533">
        <f>D208</f>
        <v>4.3529583333333335</v>
      </c>
      <c r="H21" s="536">
        <f t="shared" si="1"/>
        <v>1.0271357080355124</v>
      </c>
    </row>
    <row r="22" spans="2:8">
      <c r="B22" s="532">
        <v>37408</v>
      </c>
      <c r="C22" s="533">
        <v>2.782</v>
      </c>
      <c r="F22">
        <v>2018</v>
      </c>
      <c r="G22" s="533">
        <f>D220</f>
        <v>4.4729583333333336</v>
      </c>
      <c r="H22" s="536">
        <f t="shared" si="1"/>
        <v>1.0275674589120427</v>
      </c>
    </row>
    <row r="23" spans="2:8">
      <c r="B23" s="532">
        <v>37438</v>
      </c>
      <c r="C23" s="533">
        <v>2.7989999999999999</v>
      </c>
      <c r="F23">
        <v>2019</v>
      </c>
      <c r="G23" s="533">
        <f>D232</f>
        <v>4.5979583333333336</v>
      </c>
      <c r="H23" s="536">
        <f t="shared" si="1"/>
        <v>1.0279457107991541</v>
      </c>
    </row>
    <row r="24" spans="2:8">
      <c r="B24" s="532">
        <v>37469</v>
      </c>
      <c r="C24" s="533">
        <v>2.8025000000000002</v>
      </c>
      <c r="F24">
        <v>2020</v>
      </c>
      <c r="G24" s="533">
        <f>D244</f>
        <v>4.7279583333333335</v>
      </c>
      <c r="H24" s="536">
        <f t="shared" si="1"/>
        <v>1.028273418455655</v>
      </c>
    </row>
    <row r="25" spans="2:8">
      <c r="B25" s="532">
        <v>37500</v>
      </c>
      <c r="C25" s="533">
        <v>2.7820000000000005</v>
      </c>
      <c r="F25">
        <v>2021</v>
      </c>
      <c r="G25" s="533">
        <f>D256</f>
        <v>4.8629583333333333</v>
      </c>
      <c r="H25" s="536">
        <f t="shared" si="1"/>
        <v>1.0285535511276009</v>
      </c>
    </row>
    <row r="26" spans="2:8">
      <c r="B26" s="532">
        <v>37530</v>
      </c>
      <c r="C26" s="533">
        <v>2.8255000000000003</v>
      </c>
    </row>
    <row r="27" spans="2:8">
      <c r="B27" s="532">
        <v>37561</v>
      </c>
      <c r="C27" s="533">
        <v>3.2965</v>
      </c>
    </row>
    <row r="28" spans="2:8">
      <c r="B28" s="532">
        <v>37591</v>
      </c>
      <c r="C28" s="533">
        <v>3.7165000000000004</v>
      </c>
      <c r="D28" s="533">
        <f>AVERAGE(C17:C28)</f>
        <v>3.1596666666666668</v>
      </c>
    </row>
    <row r="29" spans="2:8">
      <c r="B29" s="532">
        <v>37622</v>
      </c>
      <c r="C29" s="533">
        <v>4.0724999999999998</v>
      </c>
    </row>
    <row r="30" spans="2:8">
      <c r="B30" s="532">
        <v>37653</v>
      </c>
      <c r="C30" s="533">
        <v>3.9369999999999998</v>
      </c>
    </row>
    <row r="31" spans="2:8">
      <c r="B31" s="532">
        <v>37681</v>
      </c>
      <c r="C31" s="533">
        <v>3.3580000000000001</v>
      </c>
    </row>
    <row r="32" spans="2:8">
      <c r="B32" s="532">
        <v>37712</v>
      </c>
      <c r="C32" s="533">
        <v>2.8640000000000003</v>
      </c>
    </row>
    <row r="33" spans="2:4">
      <c r="B33" s="532">
        <v>37742</v>
      </c>
      <c r="C33" s="533">
        <v>2.8050000000000002</v>
      </c>
    </row>
    <row r="34" spans="2:4">
      <c r="B34" s="532">
        <v>37773</v>
      </c>
      <c r="C34" s="533">
        <v>2.8170000000000002</v>
      </c>
    </row>
    <row r="35" spans="2:4">
      <c r="B35" s="532">
        <v>37803</v>
      </c>
      <c r="C35" s="533">
        <v>2.8340000000000001</v>
      </c>
    </row>
    <row r="36" spans="2:4">
      <c r="B36" s="532">
        <v>37834</v>
      </c>
      <c r="C36" s="533">
        <v>2.8374999999999999</v>
      </c>
    </row>
    <row r="37" spans="2:4">
      <c r="B37" s="532">
        <v>37865</v>
      </c>
      <c r="C37" s="533">
        <v>2.8170000000000002</v>
      </c>
    </row>
    <row r="38" spans="2:4">
      <c r="B38" s="532">
        <v>37895</v>
      </c>
      <c r="C38" s="533">
        <v>2.8605</v>
      </c>
    </row>
    <row r="39" spans="2:4">
      <c r="B39" s="532">
        <v>37926</v>
      </c>
      <c r="C39" s="533">
        <v>3.3364999999999996</v>
      </c>
    </row>
    <row r="40" spans="2:4">
      <c r="B40" s="532">
        <v>37956</v>
      </c>
      <c r="C40" s="533">
        <v>3.7615000000000003</v>
      </c>
      <c r="D40" s="533">
        <f>AVERAGE(C29:C40)</f>
        <v>3.1917083333333331</v>
      </c>
    </row>
    <row r="41" spans="2:4">
      <c r="B41" s="532">
        <v>37987</v>
      </c>
      <c r="C41" s="533">
        <v>4.1325000000000003</v>
      </c>
    </row>
    <row r="42" spans="2:4">
      <c r="B42" s="532">
        <v>38018</v>
      </c>
      <c r="C42" s="533">
        <v>3.9970000000000003</v>
      </c>
    </row>
    <row r="43" spans="2:4">
      <c r="B43" s="532">
        <v>38047</v>
      </c>
      <c r="C43" s="533">
        <v>3.4079999999999999</v>
      </c>
    </row>
    <row r="44" spans="2:4">
      <c r="B44" s="532">
        <v>38078</v>
      </c>
      <c r="C44" s="533">
        <v>2.9089999999999998</v>
      </c>
    </row>
    <row r="45" spans="2:4">
      <c r="B45" s="532">
        <v>38108</v>
      </c>
      <c r="C45" s="533">
        <v>2.85</v>
      </c>
    </row>
    <row r="46" spans="2:4">
      <c r="B46" s="532">
        <v>38139</v>
      </c>
      <c r="C46" s="533">
        <v>2.8619999999999997</v>
      </c>
    </row>
    <row r="47" spans="2:4">
      <c r="B47" s="532">
        <v>38169</v>
      </c>
      <c r="C47" s="533">
        <v>2.879</v>
      </c>
    </row>
    <row r="48" spans="2:4">
      <c r="B48" s="532">
        <v>38200</v>
      </c>
      <c r="C48" s="533">
        <v>2.8824999999999998</v>
      </c>
    </row>
    <row r="49" spans="2:4">
      <c r="B49" s="532">
        <v>38231</v>
      </c>
      <c r="C49" s="533">
        <v>2.8620000000000001</v>
      </c>
    </row>
    <row r="50" spans="2:4">
      <c r="B50" s="532">
        <v>38261</v>
      </c>
      <c r="C50" s="533">
        <v>2.9055000000000004</v>
      </c>
    </row>
    <row r="51" spans="2:4">
      <c r="B51" s="532">
        <v>38292</v>
      </c>
      <c r="C51" s="533">
        <v>3.3865000000000003</v>
      </c>
    </row>
    <row r="52" spans="2:4">
      <c r="B52" s="532">
        <v>38322</v>
      </c>
      <c r="C52" s="533">
        <v>3.8165000000000004</v>
      </c>
      <c r="D52" s="533">
        <f>AVERAGE(C41:C52)</f>
        <v>3.2408750000000004</v>
      </c>
    </row>
    <row r="53" spans="2:4">
      <c r="B53" s="532">
        <v>38353</v>
      </c>
      <c r="C53" s="533">
        <v>4.2024999999999997</v>
      </c>
    </row>
    <row r="54" spans="2:4">
      <c r="B54" s="532">
        <v>38384</v>
      </c>
      <c r="C54" s="533">
        <v>4.0669999999999993</v>
      </c>
    </row>
    <row r="55" spans="2:4">
      <c r="B55" s="532">
        <v>38412</v>
      </c>
      <c r="C55" s="533">
        <v>3.468</v>
      </c>
    </row>
    <row r="56" spans="2:4">
      <c r="B56" s="532">
        <v>38443</v>
      </c>
      <c r="C56" s="533">
        <v>2.964</v>
      </c>
    </row>
    <row r="57" spans="2:4">
      <c r="B57" s="532">
        <v>38473</v>
      </c>
      <c r="C57" s="533">
        <v>2.9049999999999998</v>
      </c>
    </row>
    <row r="58" spans="2:4">
      <c r="B58" s="532">
        <v>38504</v>
      </c>
      <c r="C58" s="533">
        <v>2.9169999999999998</v>
      </c>
    </row>
    <row r="59" spans="2:4">
      <c r="B59" s="532">
        <v>38534</v>
      </c>
      <c r="C59" s="533">
        <v>2.9339999999999997</v>
      </c>
    </row>
    <row r="60" spans="2:4">
      <c r="B60" s="532">
        <v>38565</v>
      </c>
      <c r="C60" s="533">
        <v>2.9375</v>
      </c>
    </row>
    <row r="61" spans="2:4">
      <c r="B61" s="532">
        <v>38596</v>
      </c>
      <c r="C61" s="533">
        <v>2.9170000000000003</v>
      </c>
    </row>
    <row r="62" spans="2:4">
      <c r="B62" s="532">
        <v>38626</v>
      </c>
      <c r="C62" s="533">
        <v>2.9605000000000001</v>
      </c>
    </row>
    <row r="63" spans="2:4">
      <c r="B63" s="532">
        <v>38657</v>
      </c>
      <c r="C63" s="533">
        <v>3.4464999999999999</v>
      </c>
    </row>
    <row r="64" spans="2:4">
      <c r="B64" s="532">
        <v>38687</v>
      </c>
      <c r="C64" s="533">
        <v>3.8815</v>
      </c>
      <c r="D64" s="533">
        <f>AVERAGE(C53:C64)</f>
        <v>3.300041666666667</v>
      </c>
    </row>
    <row r="65" spans="2:4">
      <c r="B65" s="532">
        <v>38718</v>
      </c>
      <c r="C65" s="533">
        <v>4.2774999999999999</v>
      </c>
    </row>
    <row r="66" spans="2:4">
      <c r="B66" s="532">
        <v>38749</v>
      </c>
      <c r="C66" s="533">
        <v>4.1419999999999995</v>
      </c>
    </row>
    <row r="67" spans="2:4">
      <c r="B67" s="532">
        <v>38777</v>
      </c>
      <c r="C67" s="533">
        <v>3.5330000000000004</v>
      </c>
    </row>
    <row r="68" spans="2:4">
      <c r="B68" s="532">
        <v>38808</v>
      </c>
      <c r="C68" s="533">
        <v>3.024</v>
      </c>
    </row>
    <row r="69" spans="2:4">
      <c r="B69" s="532">
        <v>38838</v>
      </c>
      <c r="C69" s="533">
        <v>2.9649999999999999</v>
      </c>
    </row>
    <row r="70" spans="2:4">
      <c r="B70" s="532">
        <v>38869</v>
      </c>
      <c r="C70" s="533">
        <v>2.9769999999999999</v>
      </c>
    </row>
    <row r="71" spans="2:4">
      <c r="B71" s="532">
        <v>38899</v>
      </c>
      <c r="C71" s="533">
        <v>2.9939999999999998</v>
      </c>
    </row>
    <row r="72" spans="2:4">
      <c r="B72" s="532">
        <v>38930</v>
      </c>
      <c r="C72" s="533">
        <v>2.9975000000000001</v>
      </c>
    </row>
    <row r="73" spans="2:4">
      <c r="B73" s="532">
        <v>38961</v>
      </c>
      <c r="C73" s="533">
        <v>2.9770000000000003</v>
      </c>
    </row>
    <row r="74" spans="2:4">
      <c r="B74" s="532">
        <v>38991</v>
      </c>
      <c r="C74" s="533">
        <v>3.0205000000000002</v>
      </c>
    </row>
    <row r="75" spans="2:4">
      <c r="B75" s="532">
        <v>39022</v>
      </c>
      <c r="C75" s="533">
        <v>3.5065000000000004</v>
      </c>
    </row>
    <row r="76" spans="2:4">
      <c r="B76" s="532">
        <v>39052</v>
      </c>
      <c r="C76" s="533">
        <v>3.9415</v>
      </c>
      <c r="D76" s="533">
        <f>AVERAGE(C65:C76)</f>
        <v>3.3629583333333333</v>
      </c>
    </row>
    <row r="77" spans="2:4">
      <c r="B77" s="532">
        <v>39083</v>
      </c>
      <c r="C77" s="533">
        <v>4.3425000000000002</v>
      </c>
    </row>
    <row r="78" spans="2:4">
      <c r="B78" s="532">
        <v>39114</v>
      </c>
      <c r="C78" s="533">
        <v>4.2069999999999999</v>
      </c>
    </row>
    <row r="79" spans="2:4">
      <c r="B79" s="532">
        <v>39142</v>
      </c>
      <c r="C79" s="533">
        <v>3.5980000000000003</v>
      </c>
    </row>
    <row r="80" spans="2:4">
      <c r="B80" s="532">
        <v>39173</v>
      </c>
      <c r="C80" s="533">
        <v>3.0890000000000004</v>
      </c>
    </row>
    <row r="81" spans="2:4">
      <c r="B81" s="532">
        <v>39203</v>
      </c>
      <c r="C81" s="533">
        <v>3.03</v>
      </c>
    </row>
    <row r="82" spans="2:4">
      <c r="B82" s="532">
        <v>39234</v>
      </c>
      <c r="C82" s="533">
        <v>3.0419999999999998</v>
      </c>
    </row>
    <row r="83" spans="2:4">
      <c r="B83" s="532">
        <v>39264</v>
      </c>
      <c r="C83" s="533">
        <v>3.0590000000000006</v>
      </c>
    </row>
    <row r="84" spans="2:4">
      <c r="B84" s="532">
        <v>39295</v>
      </c>
      <c r="C84" s="533">
        <v>3.0625</v>
      </c>
    </row>
    <row r="85" spans="2:4">
      <c r="B85" s="532">
        <v>39326</v>
      </c>
      <c r="C85" s="533">
        <v>3.0420000000000003</v>
      </c>
    </row>
    <row r="86" spans="2:4">
      <c r="B86" s="532">
        <v>39356</v>
      </c>
      <c r="C86" s="533">
        <v>3.0855000000000001</v>
      </c>
    </row>
    <row r="87" spans="2:4">
      <c r="B87" s="532">
        <v>39387</v>
      </c>
      <c r="C87" s="533">
        <v>3.5714999999999999</v>
      </c>
    </row>
    <row r="88" spans="2:4">
      <c r="B88" s="532">
        <v>39417</v>
      </c>
      <c r="C88" s="533">
        <v>4.0065000000000008</v>
      </c>
      <c r="D88" s="533">
        <f>AVERAGE(C77:C88)</f>
        <v>3.4279583333333341</v>
      </c>
    </row>
    <row r="89" spans="2:4">
      <c r="B89" s="532">
        <v>39448</v>
      </c>
      <c r="C89" s="533">
        <v>4.4124999999999996</v>
      </c>
    </row>
    <row r="90" spans="2:4">
      <c r="B90" s="532">
        <v>39479</v>
      </c>
      <c r="C90" s="533">
        <v>4.2770000000000001</v>
      </c>
    </row>
    <row r="91" spans="2:4">
      <c r="B91" s="532">
        <v>39508</v>
      </c>
      <c r="C91" s="533">
        <v>3.6680000000000001</v>
      </c>
    </row>
    <row r="92" spans="2:4">
      <c r="B92" s="532">
        <v>39539</v>
      </c>
      <c r="C92" s="533">
        <v>3.1590000000000007</v>
      </c>
    </row>
    <row r="93" spans="2:4">
      <c r="B93" s="532">
        <v>39569</v>
      </c>
      <c r="C93" s="533">
        <v>3.1</v>
      </c>
    </row>
    <row r="94" spans="2:4">
      <c r="B94" s="532">
        <v>39600</v>
      </c>
      <c r="C94" s="533">
        <v>3.1119999999999997</v>
      </c>
    </row>
    <row r="95" spans="2:4">
      <c r="B95" s="532">
        <v>39630</v>
      </c>
      <c r="C95" s="533">
        <v>3.1290000000000004</v>
      </c>
    </row>
    <row r="96" spans="2:4">
      <c r="B96" s="532">
        <v>39661</v>
      </c>
      <c r="C96" s="533">
        <v>3.1324999999999998</v>
      </c>
    </row>
    <row r="97" spans="2:4">
      <c r="B97" s="532">
        <v>39692</v>
      </c>
      <c r="C97" s="533">
        <v>3.1120000000000001</v>
      </c>
    </row>
    <row r="98" spans="2:4">
      <c r="B98" s="532">
        <v>39722</v>
      </c>
      <c r="C98" s="533">
        <v>3.1555000000000004</v>
      </c>
    </row>
    <row r="99" spans="2:4">
      <c r="B99" s="532">
        <v>39753</v>
      </c>
      <c r="C99" s="533">
        <v>3.6415000000000002</v>
      </c>
    </row>
    <row r="100" spans="2:4">
      <c r="B100" s="532">
        <v>39783</v>
      </c>
      <c r="C100" s="533">
        <v>4.0765000000000002</v>
      </c>
      <c r="D100" s="533">
        <f>AVERAGE(C89:C100)</f>
        <v>3.4979583333333335</v>
      </c>
    </row>
    <row r="101" spans="2:4">
      <c r="B101" s="532">
        <v>39814</v>
      </c>
      <c r="C101" s="533">
        <v>4.4874999999999998</v>
      </c>
    </row>
    <row r="102" spans="2:4">
      <c r="B102" s="532">
        <v>39845</v>
      </c>
      <c r="C102" s="533">
        <v>4.3519999999999994</v>
      </c>
    </row>
    <row r="103" spans="2:4">
      <c r="B103" s="532">
        <v>39873</v>
      </c>
      <c r="C103" s="533">
        <v>3.7430000000000003</v>
      </c>
    </row>
    <row r="104" spans="2:4">
      <c r="B104" s="532">
        <v>39904</v>
      </c>
      <c r="C104" s="533">
        <v>3.2340000000000004</v>
      </c>
    </row>
    <row r="105" spans="2:4">
      <c r="B105" s="532">
        <v>39934</v>
      </c>
      <c r="C105" s="533">
        <v>3.1749999999999998</v>
      </c>
    </row>
    <row r="106" spans="2:4">
      <c r="B106" s="532">
        <v>39965</v>
      </c>
      <c r="C106" s="533">
        <v>3.1869999999999998</v>
      </c>
    </row>
    <row r="107" spans="2:4">
      <c r="B107" s="532">
        <v>39995</v>
      </c>
      <c r="C107" s="533">
        <v>3.2040000000000006</v>
      </c>
    </row>
    <row r="108" spans="2:4">
      <c r="B108" s="532">
        <v>40026</v>
      </c>
      <c r="C108" s="533">
        <v>3.2075</v>
      </c>
    </row>
    <row r="109" spans="2:4">
      <c r="B109" s="532">
        <v>40057</v>
      </c>
      <c r="C109" s="533">
        <v>3.1870000000000003</v>
      </c>
    </row>
    <row r="110" spans="2:4">
      <c r="B110" s="532">
        <v>40087</v>
      </c>
      <c r="C110" s="533">
        <v>3.2305000000000001</v>
      </c>
    </row>
    <row r="111" spans="2:4">
      <c r="B111" s="532">
        <v>40118</v>
      </c>
      <c r="C111" s="533">
        <v>3.7165000000000004</v>
      </c>
    </row>
    <row r="112" spans="2:4">
      <c r="B112" s="532">
        <v>40148</v>
      </c>
      <c r="C112" s="533">
        <v>4.1515000000000004</v>
      </c>
      <c r="D112" s="533">
        <f>AVERAGE(C101:C112)</f>
        <v>3.5729583333333337</v>
      </c>
    </row>
    <row r="113" spans="2:4">
      <c r="B113" s="532">
        <v>40179</v>
      </c>
      <c r="C113" s="533">
        <v>4.5674999999999999</v>
      </c>
    </row>
    <row r="114" spans="2:4">
      <c r="B114" s="532">
        <v>40210</v>
      </c>
      <c r="C114" s="533">
        <v>4.4319999999999995</v>
      </c>
    </row>
    <row r="115" spans="2:4">
      <c r="B115" s="532">
        <v>40238</v>
      </c>
      <c r="C115" s="533">
        <v>3.8230000000000004</v>
      </c>
    </row>
    <row r="116" spans="2:4">
      <c r="B116" s="532">
        <v>40269</v>
      </c>
      <c r="C116" s="533">
        <v>3.3140000000000005</v>
      </c>
    </row>
    <row r="117" spans="2:4">
      <c r="B117" s="532">
        <v>40299</v>
      </c>
      <c r="C117" s="533">
        <v>3.2549999999999999</v>
      </c>
    </row>
    <row r="118" spans="2:4">
      <c r="B118" s="532">
        <v>40330</v>
      </c>
      <c r="C118" s="533">
        <v>3.2669999999999999</v>
      </c>
    </row>
    <row r="119" spans="2:4">
      <c r="B119" s="532">
        <v>40360</v>
      </c>
      <c r="C119" s="533">
        <v>3.2840000000000003</v>
      </c>
    </row>
    <row r="120" spans="2:4">
      <c r="B120" s="532">
        <v>40391</v>
      </c>
      <c r="C120" s="533">
        <v>3.2875000000000001</v>
      </c>
    </row>
    <row r="121" spans="2:4">
      <c r="B121" s="532">
        <v>40422</v>
      </c>
      <c r="C121" s="533">
        <v>3.2670000000000003</v>
      </c>
    </row>
    <row r="122" spans="2:4">
      <c r="B122" s="532">
        <v>40452</v>
      </c>
      <c r="C122" s="533">
        <v>3.3105000000000002</v>
      </c>
    </row>
    <row r="123" spans="2:4">
      <c r="B123" s="532">
        <v>40483</v>
      </c>
      <c r="C123" s="533">
        <v>3.7965000000000004</v>
      </c>
    </row>
    <row r="124" spans="2:4">
      <c r="B124" s="532">
        <v>40513</v>
      </c>
      <c r="C124" s="533">
        <v>4.2315000000000005</v>
      </c>
      <c r="D124" s="533">
        <f>AVERAGE(C113:C124)</f>
        <v>3.6529583333333329</v>
      </c>
    </row>
    <row r="125" spans="2:4">
      <c r="B125" s="532">
        <v>40544</v>
      </c>
      <c r="C125" s="533">
        <v>4.6524999999999999</v>
      </c>
    </row>
    <row r="126" spans="2:4">
      <c r="B126" s="532">
        <v>40575</v>
      </c>
      <c r="C126" s="533">
        <v>4.5169999999999995</v>
      </c>
    </row>
    <row r="127" spans="2:4">
      <c r="B127" s="532">
        <v>40603</v>
      </c>
      <c r="C127" s="533">
        <v>3.9080000000000004</v>
      </c>
    </row>
    <row r="128" spans="2:4">
      <c r="B128" s="532">
        <v>40634</v>
      </c>
      <c r="C128" s="533">
        <v>3.3990000000000005</v>
      </c>
    </row>
    <row r="129" spans="2:4">
      <c r="B129" s="532">
        <v>40664</v>
      </c>
      <c r="C129" s="533">
        <v>3.34</v>
      </c>
    </row>
    <row r="130" spans="2:4">
      <c r="B130" s="532">
        <v>40695</v>
      </c>
      <c r="C130" s="533">
        <v>3.3519999999999999</v>
      </c>
    </row>
    <row r="131" spans="2:4">
      <c r="B131" s="532">
        <v>40725</v>
      </c>
      <c r="C131" s="533">
        <v>3.3690000000000007</v>
      </c>
    </row>
    <row r="132" spans="2:4">
      <c r="B132" s="532">
        <v>40756</v>
      </c>
      <c r="C132" s="533">
        <v>3.3725000000000001</v>
      </c>
    </row>
    <row r="133" spans="2:4">
      <c r="B133" s="532">
        <v>40787</v>
      </c>
      <c r="C133" s="533">
        <v>3.3520000000000003</v>
      </c>
    </row>
    <row r="134" spans="2:4">
      <c r="B134" s="532">
        <v>40817</v>
      </c>
      <c r="C134" s="533">
        <v>3.3955000000000002</v>
      </c>
    </row>
    <row r="135" spans="2:4">
      <c r="B135" s="532">
        <v>40848</v>
      </c>
      <c r="C135" s="533">
        <v>3.8815000000000004</v>
      </c>
    </row>
    <row r="136" spans="2:4">
      <c r="B136" s="532">
        <v>40878</v>
      </c>
      <c r="C136" s="533">
        <v>4.3165000000000004</v>
      </c>
      <c r="D136" s="533">
        <f>AVERAGE(C125:C136)</f>
        <v>3.7379583333333333</v>
      </c>
    </row>
    <row r="137" spans="2:4">
      <c r="B137" s="532">
        <v>40909</v>
      </c>
      <c r="C137" s="533">
        <v>4.7424999999999997</v>
      </c>
    </row>
    <row r="138" spans="2:4">
      <c r="B138" s="532">
        <v>40940</v>
      </c>
      <c r="C138" s="533">
        <v>4.6069999999999993</v>
      </c>
    </row>
    <row r="139" spans="2:4">
      <c r="B139" s="532">
        <v>40969</v>
      </c>
      <c r="C139" s="533">
        <v>3.9980000000000002</v>
      </c>
    </row>
    <row r="140" spans="2:4">
      <c r="B140" s="532">
        <v>41000</v>
      </c>
      <c r="C140" s="533">
        <v>3.4890000000000008</v>
      </c>
    </row>
    <row r="141" spans="2:4">
      <c r="B141" s="532">
        <v>41030</v>
      </c>
      <c r="C141" s="533">
        <v>3.43</v>
      </c>
    </row>
    <row r="142" spans="2:4">
      <c r="B142" s="532">
        <v>41061</v>
      </c>
      <c r="C142" s="533">
        <v>3.4419999999999997</v>
      </c>
    </row>
    <row r="143" spans="2:4">
      <c r="B143" s="532">
        <v>41091</v>
      </c>
      <c r="C143" s="533">
        <v>3.4590000000000005</v>
      </c>
    </row>
    <row r="144" spans="2:4">
      <c r="B144" s="532">
        <v>41122</v>
      </c>
      <c r="C144" s="533">
        <v>3.4624999999999999</v>
      </c>
    </row>
    <row r="145" spans="2:4">
      <c r="B145" s="532">
        <v>41153</v>
      </c>
      <c r="C145" s="533">
        <v>3.4420000000000002</v>
      </c>
    </row>
    <row r="146" spans="2:4">
      <c r="B146" s="532">
        <v>41183</v>
      </c>
      <c r="C146" s="533">
        <v>3.4855</v>
      </c>
    </row>
    <row r="147" spans="2:4">
      <c r="B147" s="532">
        <v>41214</v>
      </c>
      <c r="C147" s="533">
        <v>3.9715000000000003</v>
      </c>
    </row>
    <row r="148" spans="2:4">
      <c r="B148" s="532">
        <v>41244</v>
      </c>
      <c r="C148" s="533">
        <v>4.2640000000000011</v>
      </c>
      <c r="D148" s="533">
        <f>AVERAGE(C137:C148)</f>
        <v>3.8160833333333337</v>
      </c>
    </row>
    <row r="149" spans="2:4">
      <c r="B149" s="532">
        <v>41275</v>
      </c>
      <c r="C149" s="533">
        <v>4.3899999999999997</v>
      </c>
    </row>
    <row r="150" spans="2:4">
      <c r="B150" s="532">
        <v>41306</v>
      </c>
      <c r="C150" s="533">
        <v>4.702</v>
      </c>
    </row>
    <row r="151" spans="2:4">
      <c r="B151" s="532">
        <v>41334</v>
      </c>
      <c r="C151" s="533">
        <v>4.093</v>
      </c>
    </row>
    <row r="152" spans="2:4">
      <c r="B152" s="532">
        <v>41365</v>
      </c>
      <c r="C152" s="533">
        <v>3.5840000000000005</v>
      </c>
    </row>
    <row r="153" spans="2:4">
      <c r="B153" s="532">
        <v>41395</v>
      </c>
      <c r="C153" s="533">
        <v>3.5249999999999999</v>
      </c>
    </row>
    <row r="154" spans="2:4">
      <c r="B154" s="532">
        <v>41426</v>
      </c>
      <c r="C154" s="533">
        <v>3.5369999999999999</v>
      </c>
    </row>
    <row r="155" spans="2:4">
      <c r="B155" s="532">
        <v>41456</v>
      </c>
      <c r="C155" s="533">
        <v>3.5540000000000003</v>
      </c>
    </row>
    <row r="156" spans="2:4">
      <c r="B156" s="532">
        <v>41487</v>
      </c>
      <c r="C156" s="533">
        <v>3.5575000000000001</v>
      </c>
    </row>
    <row r="157" spans="2:4">
      <c r="B157" s="532">
        <v>41518</v>
      </c>
      <c r="C157" s="533">
        <v>3.5370000000000004</v>
      </c>
    </row>
    <row r="158" spans="2:4">
      <c r="B158" s="532">
        <v>41548</v>
      </c>
      <c r="C158" s="533">
        <v>3.5805000000000002</v>
      </c>
    </row>
    <row r="159" spans="2:4">
      <c r="B159" s="532">
        <v>41579</v>
      </c>
      <c r="C159" s="533">
        <v>4.0665000000000004</v>
      </c>
    </row>
    <row r="160" spans="2:4">
      <c r="B160" s="532">
        <v>41609</v>
      </c>
      <c r="C160" s="533">
        <v>4.5015000000000009</v>
      </c>
      <c r="D160" s="533">
        <f>AVERAGE(C149:C160)</f>
        <v>3.8856666666666668</v>
      </c>
    </row>
    <row r="161" spans="2:4">
      <c r="B161" s="532">
        <v>41640</v>
      </c>
      <c r="C161" s="533">
        <v>4.9375</v>
      </c>
    </row>
    <row r="162" spans="2:4">
      <c r="B162" s="532">
        <v>41671</v>
      </c>
      <c r="C162" s="533">
        <v>4.8019999999999996</v>
      </c>
    </row>
    <row r="163" spans="2:4">
      <c r="B163" s="532">
        <v>41699</v>
      </c>
      <c r="C163" s="533">
        <v>4.1930000000000005</v>
      </c>
    </row>
    <row r="164" spans="2:4">
      <c r="B164" s="532">
        <v>41730</v>
      </c>
      <c r="C164" s="533">
        <v>3.6840000000000006</v>
      </c>
    </row>
    <row r="165" spans="2:4">
      <c r="B165" s="532">
        <v>41760</v>
      </c>
      <c r="C165" s="533">
        <v>3.625</v>
      </c>
    </row>
    <row r="166" spans="2:4">
      <c r="B166" s="532">
        <v>41791</v>
      </c>
      <c r="C166" s="533">
        <v>3.637</v>
      </c>
    </row>
    <row r="167" spans="2:4">
      <c r="B167" s="532">
        <v>41821</v>
      </c>
      <c r="C167" s="533">
        <v>3.6540000000000004</v>
      </c>
    </row>
    <row r="168" spans="2:4">
      <c r="B168" s="532">
        <v>41852</v>
      </c>
      <c r="C168" s="533">
        <v>3.6575000000000002</v>
      </c>
    </row>
    <row r="169" spans="2:4">
      <c r="B169" s="532">
        <v>41883</v>
      </c>
      <c r="C169" s="533">
        <v>3.6370000000000005</v>
      </c>
    </row>
    <row r="170" spans="2:4">
      <c r="B170" s="532">
        <v>41913</v>
      </c>
      <c r="C170" s="533">
        <v>3.6805000000000003</v>
      </c>
    </row>
    <row r="171" spans="2:4">
      <c r="B171" s="532">
        <v>41944</v>
      </c>
      <c r="C171" s="533">
        <v>4.166500000000001</v>
      </c>
    </row>
    <row r="172" spans="2:4">
      <c r="B172" s="532">
        <v>41974</v>
      </c>
      <c r="C172" s="533">
        <v>4.6015000000000006</v>
      </c>
      <c r="D172" s="533">
        <f>AVERAGE(C161:C172)</f>
        <v>4.0229583333333343</v>
      </c>
    </row>
    <row r="173" spans="2:4">
      <c r="B173" s="532">
        <v>42005</v>
      </c>
      <c r="C173" s="533">
        <v>5.0425000000000004</v>
      </c>
    </row>
    <row r="174" spans="2:4">
      <c r="B174" s="532">
        <v>42036</v>
      </c>
      <c r="C174" s="533">
        <v>4.907</v>
      </c>
    </row>
    <row r="175" spans="2:4">
      <c r="B175" s="532">
        <v>42064</v>
      </c>
      <c r="C175" s="533">
        <v>4.298</v>
      </c>
    </row>
    <row r="176" spans="2:4">
      <c r="B176" s="532">
        <v>42095</v>
      </c>
      <c r="C176" s="533">
        <v>3.7890000000000006</v>
      </c>
    </row>
    <row r="177" spans="2:4">
      <c r="B177" s="532">
        <v>42125</v>
      </c>
      <c r="C177" s="533">
        <v>3.73</v>
      </c>
    </row>
    <row r="178" spans="2:4">
      <c r="B178" s="532">
        <v>42156</v>
      </c>
      <c r="C178" s="533">
        <v>3.742</v>
      </c>
    </row>
    <row r="179" spans="2:4">
      <c r="B179" s="532">
        <v>42186</v>
      </c>
      <c r="C179" s="533">
        <v>3.7590000000000003</v>
      </c>
    </row>
    <row r="180" spans="2:4">
      <c r="B180" s="532">
        <v>42217</v>
      </c>
      <c r="C180" s="533">
        <v>3.7625000000000002</v>
      </c>
    </row>
    <row r="181" spans="2:4">
      <c r="B181" s="532">
        <v>42248</v>
      </c>
      <c r="C181" s="533">
        <v>3.7420000000000004</v>
      </c>
    </row>
    <row r="182" spans="2:4">
      <c r="B182" s="532">
        <v>42278</v>
      </c>
      <c r="C182" s="533">
        <v>3.7855000000000003</v>
      </c>
    </row>
    <row r="183" spans="2:4">
      <c r="B183" s="532">
        <v>42309</v>
      </c>
      <c r="C183" s="533">
        <v>4.2715000000000005</v>
      </c>
    </row>
    <row r="184" spans="2:4">
      <c r="B184" s="532">
        <v>42339</v>
      </c>
      <c r="C184" s="533">
        <v>4.706500000000001</v>
      </c>
      <c r="D184" s="533">
        <f>AVERAGE(C173:C184)</f>
        <v>4.127958333333333</v>
      </c>
    </row>
    <row r="185" spans="2:4">
      <c r="B185" s="532">
        <v>42370</v>
      </c>
      <c r="C185" s="533">
        <v>5.1524999999999999</v>
      </c>
    </row>
    <row r="186" spans="2:4">
      <c r="B186" s="532">
        <v>42401</v>
      </c>
      <c r="C186" s="533">
        <v>5.0169999999999995</v>
      </c>
    </row>
    <row r="187" spans="2:4">
      <c r="B187" s="532">
        <v>42430</v>
      </c>
      <c r="C187" s="533">
        <v>4.4080000000000004</v>
      </c>
    </row>
    <row r="188" spans="2:4">
      <c r="B188" s="532">
        <v>42461</v>
      </c>
      <c r="C188" s="533">
        <v>3.8990000000000005</v>
      </c>
    </row>
    <row r="189" spans="2:4">
      <c r="B189" s="532">
        <v>42491</v>
      </c>
      <c r="C189" s="533">
        <v>3.84</v>
      </c>
    </row>
    <row r="190" spans="2:4">
      <c r="B190" s="532">
        <v>42522</v>
      </c>
      <c r="C190" s="533">
        <v>3.8519999999999999</v>
      </c>
    </row>
    <row r="191" spans="2:4">
      <c r="B191" s="532">
        <v>42552</v>
      </c>
      <c r="C191" s="533">
        <v>3.8690000000000007</v>
      </c>
    </row>
    <row r="192" spans="2:4">
      <c r="B192" s="532">
        <v>42583</v>
      </c>
      <c r="C192" s="533">
        <v>3.8725000000000001</v>
      </c>
    </row>
    <row r="193" spans="2:4">
      <c r="B193" s="532">
        <v>42614</v>
      </c>
      <c r="C193" s="533">
        <v>3.8520000000000003</v>
      </c>
    </row>
    <row r="194" spans="2:4">
      <c r="B194" s="532">
        <v>42644</v>
      </c>
      <c r="C194" s="533">
        <v>3.8955000000000002</v>
      </c>
    </row>
    <row r="195" spans="2:4">
      <c r="B195" s="532">
        <v>42675</v>
      </c>
      <c r="C195" s="533">
        <v>4.3815000000000008</v>
      </c>
    </row>
    <row r="196" spans="2:4">
      <c r="B196" s="532">
        <v>42705</v>
      </c>
      <c r="C196" s="533">
        <v>4.8165000000000004</v>
      </c>
      <c r="D196" s="533">
        <f>AVERAGE(C185:C196)</f>
        <v>4.2379583333333333</v>
      </c>
    </row>
    <row r="197" spans="2:4">
      <c r="B197" s="532">
        <v>42736</v>
      </c>
      <c r="C197" s="533">
        <v>5.2675000000000001</v>
      </c>
    </row>
    <row r="198" spans="2:4">
      <c r="B198" s="532">
        <v>42767</v>
      </c>
      <c r="C198" s="533">
        <v>5.1319999999999997</v>
      </c>
    </row>
    <row r="199" spans="2:4">
      <c r="B199" s="532">
        <v>42795</v>
      </c>
      <c r="C199" s="533">
        <v>4.5230000000000006</v>
      </c>
    </row>
    <row r="200" spans="2:4">
      <c r="B200" s="532">
        <v>42826</v>
      </c>
      <c r="C200" s="533">
        <v>4.0140000000000002</v>
      </c>
    </row>
    <row r="201" spans="2:4">
      <c r="B201" s="532">
        <v>42856</v>
      </c>
      <c r="C201" s="533">
        <v>3.9550000000000001</v>
      </c>
    </row>
    <row r="202" spans="2:4">
      <c r="B202" s="532">
        <v>42887</v>
      </c>
      <c r="C202" s="533">
        <v>3.9670000000000001</v>
      </c>
    </row>
    <row r="203" spans="2:4">
      <c r="B203" s="532">
        <v>42917</v>
      </c>
      <c r="C203" s="533">
        <v>3.9840000000000004</v>
      </c>
    </row>
    <row r="204" spans="2:4">
      <c r="B204" s="532">
        <v>42948</v>
      </c>
      <c r="C204" s="533">
        <v>3.9874999999999998</v>
      </c>
    </row>
    <row r="205" spans="2:4">
      <c r="B205" s="532">
        <v>42979</v>
      </c>
      <c r="C205" s="533">
        <v>3.9670000000000001</v>
      </c>
    </row>
    <row r="206" spans="2:4">
      <c r="B206" s="532">
        <v>43009</v>
      </c>
      <c r="C206" s="533">
        <v>4.0105000000000004</v>
      </c>
    </row>
    <row r="207" spans="2:4">
      <c r="B207" s="532">
        <v>43040</v>
      </c>
      <c r="C207" s="533">
        <v>4.4965000000000011</v>
      </c>
    </row>
    <row r="208" spans="2:4">
      <c r="B208" s="532">
        <v>43070</v>
      </c>
      <c r="C208" s="533">
        <v>4.9315000000000007</v>
      </c>
      <c r="D208" s="533">
        <f>AVERAGE(C197:C208)</f>
        <v>4.3529583333333335</v>
      </c>
    </row>
    <row r="209" spans="2:4">
      <c r="B209" s="532">
        <v>43101</v>
      </c>
      <c r="C209" s="533">
        <v>5.3875000000000002</v>
      </c>
    </row>
    <row r="210" spans="2:4">
      <c r="B210" s="532">
        <v>43132</v>
      </c>
      <c r="C210" s="533">
        <v>5.2519999999999998</v>
      </c>
    </row>
    <row r="211" spans="2:4">
      <c r="B211" s="532">
        <v>43160</v>
      </c>
      <c r="C211" s="533">
        <v>4.6429999999999998</v>
      </c>
    </row>
    <row r="212" spans="2:4">
      <c r="B212" s="532">
        <v>43191</v>
      </c>
      <c r="C212" s="533">
        <v>4.1340000000000003</v>
      </c>
    </row>
    <row r="213" spans="2:4">
      <c r="B213" s="532">
        <v>43221</v>
      </c>
      <c r="C213" s="533">
        <v>4.0750000000000002</v>
      </c>
    </row>
    <row r="214" spans="2:4">
      <c r="B214" s="532">
        <v>43252</v>
      </c>
      <c r="C214" s="533">
        <v>4.0870000000000006</v>
      </c>
    </row>
    <row r="215" spans="2:4">
      <c r="B215" s="532">
        <v>43282</v>
      </c>
      <c r="C215" s="533">
        <v>4.104000000000001</v>
      </c>
    </row>
    <row r="216" spans="2:4">
      <c r="B216" s="532">
        <v>43313</v>
      </c>
      <c r="C216" s="533">
        <v>4.1074999999999999</v>
      </c>
    </row>
    <row r="217" spans="2:4">
      <c r="B217" s="532">
        <v>43344</v>
      </c>
      <c r="C217" s="533">
        <v>4.0869999999999997</v>
      </c>
    </row>
    <row r="218" spans="2:4">
      <c r="B218" s="532">
        <v>43374</v>
      </c>
      <c r="C218" s="533">
        <v>4.1304999999999996</v>
      </c>
    </row>
    <row r="219" spans="2:4">
      <c r="B219" s="532">
        <v>43405</v>
      </c>
      <c r="C219" s="533">
        <v>4.6165000000000012</v>
      </c>
    </row>
    <row r="220" spans="2:4">
      <c r="B220" s="532">
        <v>43435</v>
      </c>
      <c r="C220" s="533">
        <v>5.0515000000000008</v>
      </c>
      <c r="D220" s="533">
        <f>AVERAGE(C209:C220)</f>
        <v>4.4729583333333336</v>
      </c>
    </row>
    <row r="221" spans="2:4">
      <c r="B221" s="532">
        <v>43466</v>
      </c>
      <c r="C221" s="533">
        <v>5.5125000000000002</v>
      </c>
    </row>
    <row r="222" spans="2:4">
      <c r="B222" s="532">
        <v>43497</v>
      </c>
      <c r="C222" s="533">
        <v>5.3769999999999998</v>
      </c>
    </row>
    <row r="223" spans="2:4">
      <c r="B223" s="532">
        <v>43525</v>
      </c>
      <c r="C223" s="533">
        <v>4.7679999999999998</v>
      </c>
    </row>
    <row r="224" spans="2:4">
      <c r="B224" s="532">
        <v>43556</v>
      </c>
      <c r="C224" s="533">
        <v>4.2590000000000003</v>
      </c>
    </row>
    <row r="225" spans="2:4">
      <c r="B225" s="532">
        <v>43586</v>
      </c>
      <c r="C225" s="533">
        <v>4.2</v>
      </c>
    </row>
    <row r="226" spans="2:4">
      <c r="B226" s="532">
        <v>43617</v>
      </c>
      <c r="C226" s="533">
        <v>4.2120000000000006</v>
      </c>
    </row>
    <row r="227" spans="2:4">
      <c r="B227" s="532">
        <v>43647</v>
      </c>
      <c r="C227" s="533">
        <v>4.229000000000001</v>
      </c>
    </row>
    <row r="228" spans="2:4">
      <c r="B228" s="532">
        <v>43678</v>
      </c>
      <c r="C228" s="533">
        <v>4.2324999999999999</v>
      </c>
    </row>
    <row r="229" spans="2:4">
      <c r="B229" s="532">
        <v>43709</v>
      </c>
      <c r="C229" s="533">
        <v>4.2119999999999997</v>
      </c>
    </row>
    <row r="230" spans="2:4">
      <c r="B230" s="532">
        <v>43739</v>
      </c>
      <c r="C230" s="533">
        <v>4.2554999999999996</v>
      </c>
    </row>
    <row r="231" spans="2:4">
      <c r="B231" s="532">
        <v>43770</v>
      </c>
      <c r="C231" s="533">
        <v>4.7415000000000012</v>
      </c>
    </row>
    <row r="232" spans="2:4">
      <c r="B232" s="532">
        <v>43800</v>
      </c>
      <c r="C232" s="533">
        <v>5.1765000000000008</v>
      </c>
      <c r="D232" s="533">
        <f>AVERAGE(C221:C232)</f>
        <v>4.5979583333333336</v>
      </c>
    </row>
    <row r="233" spans="2:4">
      <c r="B233" s="532">
        <v>43831</v>
      </c>
      <c r="C233" s="533">
        <v>5.6425000000000001</v>
      </c>
    </row>
    <row r="234" spans="2:4">
      <c r="B234" s="532">
        <v>43862</v>
      </c>
      <c r="C234" s="533">
        <v>5.5069999999999997</v>
      </c>
    </row>
    <row r="235" spans="2:4">
      <c r="B235" s="532">
        <v>43891</v>
      </c>
      <c r="C235" s="533">
        <v>4.8979999999999997</v>
      </c>
    </row>
    <row r="236" spans="2:4">
      <c r="B236" s="532">
        <v>43922</v>
      </c>
      <c r="C236" s="533">
        <v>4.3890000000000002</v>
      </c>
    </row>
    <row r="237" spans="2:4">
      <c r="B237" s="532">
        <v>43952</v>
      </c>
      <c r="C237" s="533">
        <v>4.33</v>
      </c>
    </row>
    <row r="238" spans="2:4">
      <c r="B238" s="532">
        <v>43983</v>
      </c>
      <c r="C238" s="533">
        <v>4.3420000000000005</v>
      </c>
    </row>
    <row r="239" spans="2:4">
      <c r="B239" s="532">
        <v>44013</v>
      </c>
      <c r="C239" s="533">
        <v>4.3590000000000009</v>
      </c>
    </row>
    <row r="240" spans="2:4">
      <c r="B240" s="532">
        <v>44044</v>
      </c>
      <c r="C240" s="533">
        <v>4.3624999999999998</v>
      </c>
    </row>
    <row r="241" spans="2:4">
      <c r="B241" s="532">
        <v>44075</v>
      </c>
      <c r="C241" s="533">
        <v>4.3419999999999996</v>
      </c>
    </row>
    <row r="242" spans="2:4">
      <c r="B242" s="532">
        <v>44105</v>
      </c>
      <c r="C242" s="533">
        <v>4.3855000000000004</v>
      </c>
    </row>
    <row r="243" spans="2:4">
      <c r="B243" s="532">
        <v>44136</v>
      </c>
      <c r="C243" s="533">
        <v>4.8715000000000011</v>
      </c>
    </row>
    <row r="244" spans="2:4">
      <c r="B244" s="532">
        <v>44166</v>
      </c>
      <c r="C244" s="533">
        <v>5.3065000000000007</v>
      </c>
      <c r="D244" s="533">
        <f>AVERAGE(C233:C244)</f>
        <v>4.7279583333333335</v>
      </c>
    </row>
    <row r="245" spans="2:4">
      <c r="B245" s="532">
        <v>44197</v>
      </c>
      <c r="C245" s="533">
        <v>5.7774999999999999</v>
      </c>
    </row>
    <row r="246" spans="2:4">
      <c r="B246" s="532">
        <v>44228</v>
      </c>
      <c r="C246" s="533">
        <v>5.6420000000000003</v>
      </c>
    </row>
    <row r="247" spans="2:4">
      <c r="B247" s="532">
        <v>44256</v>
      </c>
      <c r="C247" s="533">
        <v>5.0330000000000004</v>
      </c>
    </row>
    <row r="248" spans="2:4">
      <c r="B248" s="532">
        <v>44287</v>
      </c>
      <c r="C248" s="533">
        <v>4.524</v>
      </c>
    </row>
    <row r="249" spans="2:4">
      <c r="B249" s="532">
        <v>44317</v>
      </c>
      <c r="C249" s="533">
        <v>4.4649999999999999</v>
      </c>
    </row>
    <row r="250" spans="2:4">
      <c r="B250" s="532">
        <v>44348</v>
      </c>
      <c r="C250" s="533">
        <v>4.4770000000000003</v>
      </c>
    </row>
    <row r="251" spans="2:4">
      <c r="B251" s="532">
        <v>44378</v>
      </c>
      <c r="C251" s="533">
        <v>4.4940000000000007</v>
      </c>
    </row>
    <row r="252" spans="2:4">
      <c r="B252" s="532">
        <v>44409</v>
      </c>
      <c r="C252" s="533">
        <v>4.4974999999999996</v>
      </c>
    </row>
    <row r="253" spans="2:4">
      <c r="B253" s="532">
        <v>44440</v>
      </c>
      <c r="C253" s="533">
        <v>4.4769999999999994</v>
      </c>
    </row>
    <row r="254" spans="2:4">
      <c r="B254" s="532">
        <v>44470</v>
      </c>
      <c r="C254" s="533">
        <v>4.5205000000000002</v>
      </c>
    </row>
    <row r="255" spans="2:4">
      <c r="B255" s="532">
        <v>44501</v>
      </c>
      <c r="C255" s="533">
        <v>5.0065000000000008</v>
      </c>
    </row>
    <row r="256" spans="2:4">
      <c r="B256" s="532">
        <v>44531</v>
      </c>
      <c r="C256" s="533">
        <v>5.4415000000000004</v>
      </c>
      <c r="D256" s="533">
        <f>AVERAGE(C245:C256)</f>
        <v>4.8629583333333333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75" workbookViewId="0">
      <selection activeCell="G14" sqref="G14"/>
    </sheetView>
  </sheetViews>
  <sheetFormatPr defaultColWidth="12.5703125" defaultRowHeight="12.75"/>
  <cols>
    <col min="1" max="1" width="39.7109375" customWidth="1"/>
    <col min="3" max="3" width="16.140625" customWidth="1"/>
    <col min="8" max="8" width="17.28515625" customWidth="1"/>
  </cols>
  <sheetData>
    <row r="1" spans="1:11" ht="15">
      <c r="A1" s="615" t="str">
        <f>'[7]Pro Forma'!B1</f>
        <v>United American Energy</v>
      </c>
      <c r="B1" s="615" t="str">
        <f>'[7]Pro Forma'!B3</f>
        <v>PRELIMINARY ECONOMIC ANALYSIS</v>
      </c>
    </row>
    <row r="2" spans="1:11" ht="15">
      <c r="A2" s="615" t="str">
        <f>'[7]Pro Forma'!B2</f>
        <v>Lowell Power Expansion</v>
      </c>
    </row>
    <row r="3" spans="1:11">
      <c r="A3" t="s">
        <v>509</v>
      </c>
    </row>
    <row r="5" spans="1:11">
      <c r="A5" s="616" t="s">
        <v>579</v>
      </c>
      <c r="B5" s="616"/>
      <c r="C5" s="616"/>
      <c r="D5" s="616"/>
      <c r="E5" s="616"/>
      <c r="F5" s="616"/>
      <c r="G5" s="616"/>
      <c r="H5" s="616"/>
      <c r="I5" s="616"/>
      <c r="J5" s="616"/>
      <c r="K5" s="616"/>
    </row>
    <row r="6" spans="1:11">
      <c r="A6" s="616"/>
      <c r="B6" s="617"/>
      <c r="C6" s="616"/>
      <c r="D6" s="616"/>
      <c r="E6" s="616"/>
      <c r="F6" s="616"/>
      <c r="G6" s="616"/>
      <c r="H6" s="616"/>
      <c r="I6" s="616"/>
      <c r="J6" s="616"/>
      <c r="K6" s="616"/>
    </row>
    <row r="7" spans="1:11">
      <c r="A7" s="616"/>
      <c r="B7" s="618"/>
      <c r="C7" s="618"/>
      <c r="D7" s="616"/>
      <c r="E7" s="619"/>
      <c r="F7" s="616"/>
      <c r="G7" s="616"/>
      <c r="H7" s="616"/>
      <c r="I7" s="616"/>
      <c r="J7" s="616"/>
      <c r="K7" s="616"/>
    </row>
    <row r="8" spans="1:11">
      <c r="A8" s="616" t="s">
        <v>580</v>
      </c>
      <c r="C8" s="620"/>
      <c r="D8" s="618"/>
      <c r="E8" s="621"/>
      <c r="F8" s="618"/>
      <c r="G8" s="616"/>
      <c r="H8" s="616"/>
      <c r="I8" s="616"/>
      <c r="J8" s="616"/>
      <c r="K8" s="616"/>
    </row>
    <row r="9" spans="1:11">
      <c r="A9" s="616" t="s">
        <v>581</v>
      </c>
      <c r="C9" s="618">
        <v>100</v>
      </c>
      <c r="D9" s="618" t="s">
        <v>582</v>
      </c>
      <c r="E9" s="621"/>
      <c r="F9" s="618"/>
      <c r="G9" s="616"/>
      <c r="H9" s="616"/>
      <c r="I9" s="616"/>
      <c r="J9" s="616"/>
      <c r="K9" s="616"/>
    </row>
    <row r="10" spans="1:11">
      <c r="A10" s="616" t="s">
        <v>583</v>
      </c>
      <c r="C10" s="618">
        <v>100</v>
      </c>
      <c r="D10" s="618"/>
      <c r="E10" s="618"/>
      <c r="F10" s="620"/>
      <c r="G10" s="616"/>
      <c r="H10" s="616"/>
      <c r="I10" s="616"/>
      <c r="J10" s="616"/>
      <c r="K10" s="616"/>
    </row>
    <row r="11" spans="1:11">
      <c r="A11" s="616" t="s">
        <v>584</v>
      </c>
      <c r="C11" s="618">
        <f>[7]Maintenance!E45*5*1.25</f>
        <v>193.75</v>
      </c>
      <c r="D11" s="618" t="s">
        <v>585</v>
      </c>
      <c r="E11" s="618"/>
      <c r="F11" s="618"/>
      <c r="G11" s="616"/>
      <c r="H11" s="616"/>
      <c r="I11" s="616"/>
      <c r="J11" s="616"/>
      <c r="K11" s="616"/>
    </row>
    <row r="12" spans="1:11">
      <c r="A12" s="616" t="s">
        <v>586</v>
      </c>
      <c r="C12" s="618">
        <v>100</v>
      </c>
      <c r="D12" s="618"/>
      <c r="E12" s="618"/>
      <c r="F12" s="618"/>
      <c r="G12" s="616"/>
      <c r="H12" s="616"/>
      <c r="I12" s="616"/>
      <c r="J12" s="616"/>
      <c r="K12" s="616"/>
    </row>
    <row r="13" spans="1:11">
      <c r="C13" s="618"/>
      <c r="D13" s="618"/>
      <c r="E13" s="618"/>
      <c r="F13" s="618"/>
      <c r="G13" s="616"/>
      <c r="H13" s="616"/>
      <c r="I13" s="616"/>
      <c r="J13" s="616"/>
      <c r="K13" s="616"/>
    </row>
    <row r="14" spans="1:11">
      <c r="A14" s="621" t="s">
        <v>587</v>
      </c>
      <c r="C14" s="621"/>
      <c r="D14" s="622"/>
      <c r="E14" s="618"/>
      <c r="F14" s="620"/>
      <c r="G14" s="616"/>
      <c r="H14" s="616"/>
      <c r="I14" s="616"/>
      <c r="J14" s="616"/>
      <c r="K14" s="616"/>
    </row>
    <row r="15" spans="1:11">
      <c r="A15" t="s">
        <v>588</v>
      </c>
      <c r="B15" s="618"/>
      <c r="C15" s="618">
        <v>400</v>
      </c>
      <c r="D15" s="622"/>
      <c r="E15" s="618"/>
      <c r="F15" s="620"/>
      <c r="G15" s="616"/>
      <c r="H15" s="616"/>
      <c r="I15" s="616"/>
      <c r="J15" s="616"/>
      <c r="K15" s="616"/>
    </row>
    <row r="16" spans="1:11">
      <c r="A16" t="s">
        <v>589</v>
      </c>
      <c r="B16" s="618"/>
      <c r="C16" s="623" t="s">
        <v>590</v>
      </c>
      <c r="D16" s="622"/>
      <c r="E16" s="618"/>
      <c r="F16" s="620"/>
      <c r="G16" s="616"/>
      <c r="H16" s="616"/>
      <c r="I16" s="616"/>
      <c r="J16" s="616"/>
      <c r="K16" s="616"/>
    </row>
    <row r="17" spans="1:11">
      <c r="A17" t="s">
        <v>591</v>
      </c>
      <c r="C17" s="620">
        <v>500</v>
      </c>
      <c r="D17" s="622" t="s">
        <v>592</v>
      </c>
      <c r="E17" s="618"/>
      <c r="F17" s="620"/>
      <c r="G17" s="616"/>
      <c r="H17" s="616"/>
      <c r="I17" s="616"/>
      <c r="J17" s="616"/>
      <c r="K17" s="616"/>
    </row>
    <row r="18" spans="1:11">
      <c r="A18" t="s">
        <v>593</v>
      </c>
      <c r="C18" s="618">
        <v>100</v>
      </c>
      <c r="D18" s="624" t="s">
        <v>594</v>
      </c>
      <c r="E18" s="616"/>
      <c r="F18" s="616"/>
      <c r="G18" s="616"/>
      <c r="H18" s="616"/>
      <c r="I18" s="616"/>
      <c r="J18" s="616"/>
      <c r="K18" s="616"/>
    </row>
    <row r="19" spans="1:11">
      <c r="A19" t="s">
        <v>595</v>
      </c>
      <c r="C19" s="618">
        <v>150</v>
      </c>
      <c r="D19" s="624"/>
      <c r="E19" s="616"/>
      <c r="F19" s="616"/>
      <c r="G19" s="616"/>
      <c r="H19" s="616"/>
      <c r="I19" s="616"/>
      <c r="J19" s="616"/>
      <c r="K19" s="616"/>
    </row>
    <row r="20" spans="1:11">
      <c r="A20" t="s">
        <v>596</v>
      </c>
      <c r="C20" s="618">
        <v>50</v>
      </c>
    </row>
    <row r="21" spans="1:11">
      <c r="A21" t="s">
        <v>597</v>
      </c>
      <c r="C21" s="618">
        <v>75</v>
      </c>
    </row>
    <row r="22" spans="1:11">
      <c r="A22" t="s">
        <v>598</v>
      </c>
      <c r="C22" s="625">
        <v>100</v>
      </c>
    </row>
    <row r="23" spans="1:11">
      <c r="C23" s="618">
        <f>SUM(C9:C22)</f>
        <v>1868.75</v>
      </c>
    </row>
    <row r="25" spans="1:11">
      <c r="A25" s="616" t="s">
        <v>599</v>
      </c>
      <c r="B25" s="626" t="s">
        <v>600</v>
      </c>
      <c r="C25" s="626" t="s">
        <v>601</v>
      </c>
      <c r="D25" s="626" t="s">
        <v>602</v>
      </c>
      <c r="E25" s="626" t="s">
        <v>603</v>
      </c>
      <c r="F25" s="626" t="s">
        <v>255</v>
      </c>
    </row>
    <row r="26" spans="1:11">
      <c r="A26" s="616" t="s">
        <v>114</v>
      </c>
      <c r="B26" s="627">
        <v>2.3187254718744201</v>
      </c>
      <c r="C26" s="618">
        <f>D26*B26/1000</f>
        <v>1258.9348026992807</v>
      </c>
      <c r="D26" s="618">
        <f>E26*F26</f>
        <v>542942.58547199995</v>
      </c>
      <c r="E26" s="618">
        <f>'[7]Pro Forma'!D15</f>
        <v>2450.1019199999996</v>
      </c>
      <c r="F26" s="618">
        <v>221.6</v>
      </c>
    </row>
    <row r="27" spans="1:11">
      <c r="A27" s="616" t="s">
        <v>604</v>
      </c>
      <c r="B27" s="627">
        <v>0.15417678938516199</v>
      </c>
      <c r="C27" s="618">
        <f>D27*B27/1000</f>
        <v>83.709144648551856</v>
      </c>
      <c r="D27" s="618">
        <f>D26</f>
        <v>542942.58547199995</v>
      </c>
    </row>
    <row r="28" spans="1:11">
      <c r="A28" s="616"/>
      <c r="B28" s="618"/>
      <c r="C28" s="625"/>
    </row>
    <row r="29" spans="1:11">
      <c r="A29" s="616"/>
      <c r="B29" s="618"/>
      <c r="C29" s="618"/>
    </row>
    <row r="36" spans="2:4">
      <c r="B36" s="628"/>
      <c r="C36" s="628"/>
      <c r="D36" s="6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62"/>
  <sheetViews>
    <sheetView topLeftCell="A14" zoomScale="75" zoomScaleNormal="75" workbookViewId="0">
      <selection activeCell="C53" sqref="C53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8.75">
      <c r="A4" s="60" t="s">
        <v>376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IS!C33</f>
        <v>3719.3333333333358</v>
      </c>
      <c r="D11" s="18">
        <f>IS!D33</f>
        <v>5730.899999999996</v>
      </c>
      <c r="E11" s="18">
        <f>IS!E33</f>
        <v>5708.4030000000021</v>
      </c>
      <c r="F11" s="18">
        <f>IS!F33</f>
        <v>5685.2922899999994</v>
      </c>
      <c r="G11" s="18">
        <f>IS!G33</f>
        <v>5661.5506826999972</v>
      </c>
      <c r="H11" s="18">
        <f>IS!H33</f>
        <v>5637.1604996609985</v>
      </c>
      <c r="I11" s="18">
        <f>IS!I33</f>
        <v>5612.103557060429</v>
      </c>
      <c r="J11" s="18">
        <f>IS!J33</f>
        <v>5586.3611510300361</v>
      </c>
      <c r="K11" s="18">
        <f>IS!K33</f>
        <v>5559.9140425638816</v>
      </c>
      <c r="L11" s="18">
        <f>IS!L33</f>
        <v>5532.742441983808</v>
      </c>
      <c r="M11" s="18">
        <f>IS!M33</f>
        <v>5504.8259929491851</v>
      </c>
      <c r="N11" s="18">
        <f>IS!N33</f>
        <v>5476.1437559976457</v>
      </c>
      <c r="O11" s="18">
        <f>IS!O33</f>
        <v>5446.6741916027568</v>
      </c>
      <c r="P11" s="18">
        <f>IS!P33</f>
        <v>5416.3951427345328</v>
      </c>
      <c r="Q11" s="18">
        <f>IS!Q33</f>
        <v>5385.2838169079296</v>
      </c>
      <c r="R11" s="18">
        <f>IS!R33</f>
        <v>5353.3167677043475</v>
      </c>
      <c r="S11" s="18">
        <f>IS!S33</f>
        <v>5320.4698757504539</v>
      </c>
      <c r="T11" s="18">
        <f>IS!T33</f>
        <v>5286.7183291382426</v>
      </c>
      <c r="U11" s="18">
        <f>IS!U33</f>
        <v>5252.0366032699676</v>
      </c>
      <c r="V11" s="18">
        <f>IS!V33</f>
        <v>5216.3984401107973</v>
      </c>
      <c r="W11" s="18">
        <f>IS!W33</f>
        <v>1041.2805218260546</v>
      </c>
      <c r="X11" s="18">
        <f>IS!X33</f>
        <v>-1481.8560261754101</v>
      </c>
      <c r="Y11" s="18">
        <f>IS!Y33</f>
        <v>-1520.5287079289765</v>
      </c>
      <c r="Z11" s="18">
        <f>IS!Z33</f>
        <v>-1560.2706301545213</v>
      </c>
      <c r="AA11" s="18">
        <f>IS!AA33</f>
        <v>-1601.112051266583</v>
      </c>
      <c r="AB11" s="18">
        <f>IS!AB33</f>
        <v>-1643.0841010561535</v>
      </c>
      <c r="AC11" s="18">
        <f>IS!AC33</f>
        <v>-1686.2188061044426</v>
      </c>
      <c r="AD11" s="18">
        <f>IS!AD33</f>
        <v>-1730.5491159445146</v>
      </c>
      <c r="AE11" s="18">
        <f>IS!AE33</f>
        <v>-1776.1089299929272</v>
      </c>
      <c r="AF11" s="18">
        <f>IS!AF33</f>
        <v>-1822.9331252741922</v>
      </c>
      <c r="AG11" s="18">
        <f>IS!AG33</f>
        <v>-1871.057584961527</v>
      </c>
    </row>
    <row r="12" spans="1:35">
      <c r="A12" s="45" t="s">
        <v>79</v>
      </c>
      <c r="B12" s="444">
        <v>0</v>
      </c>
      <c r="C12" s="444">
        <f>-(Debt!B36)</f>
        <v>-2360.0578217835541</v>
      </c>
      <c r="D12" s="444">
        <f>-(Debt!B44+Debt!C27+Debt!C36)</f>
        <v>-5706.4052432491362</v>
      </c>
      <c r="E12" s="444">
        <f>-(Debt!C44+Debt!D27+Debt!D36)</f>
        <v>-5819.0148898103862</v>
      </c>
      <c r="F12" s="444">
        <f>-(Debt!D44+Debt!E27+Debt!E36)</f>
        <v>-5943.6285014520709</v>
      </c>
      <c r="G12" s="444">
        <f>-(Debt!E44+Debt!F27+Debt!F36)</f>
        <v>-6067.0055975542227</v>
      </c>
      <c r="H12" s="444">
        <f>-(Debt!F44+Debt!G27+Debt!G36)</f>
        <v>-6215.6294798132658</v>
      </c>
      <c r="I12" s="444">
        <f>-(Debt!G44+Debt!H27+Debt!H36)</f>
        <v>-6373.8759692216499</v>
      </c>
      <c r="J12" s="444">
        <f>-(Debt!H44+Debt!I27+Debt!I36)</f>
        <v>-6551.8655526729272</v>
      </c>
      <c r="K12" s="444">
        <f>-(Debt!I44+Debt!J27+Debt!J36)</f>
        <v>-6731.9889094010232</v>
      </c>
      <c r="L12" s="444">
        <f>-(Debt!J44+Debt!K27+Debt!K36)</f>
        <v>-6943.6468196856258</v>
      </c>
      <c r="M12" s="444">
        <f>-(Debt!K44+Debt!L27+Debt!L36)</f>
        <v>-7169.9569658238543</v>
      </c>
      <c r="N12" s="444">
        <f>-(Debt!L44+Debt!M27+Debt!M36)</f>
        <v>-7422.5264969951904</v>
      </c>
      <c r="O12" s="444">
        <f>-(Debt!M44+Debt!N27+Debt!N36)</f>
        <v>-7681.8442339387711</v>
      </c>
      <c r="P12" s="444">
        <f>-(Debt!N44+Debt!O27+Debt!O36)</f>
        <v>-7981.4720437575124</v>
      </c>
      <c r="Q12" s="444">
        <f>-(Debt!O44+Debt!P27+Debt!P36)</f>
        <v>-8302.7048461040285</v>
      </c>
      <c r="R12" s="444">
        <f>-(Debt!P44+Debt!Q27+Debt!Q36)</f>
        <v>-8659.2503465553109</v>
      </c>
      <c r="S12" s="444">
        <f>-(Debt!Q44+Debt!R27+Debt!R36)</f>
        <v>-9028.8728849961262</v>
      </c>
      <c r="T12" s="444">
        <f>-(Debt!R44+Debt!S27+Debt!S36)</f>
        <v>-9451.0286316600832</v>
      </c>
      <c r="U12" s="444">
        <f>-(Debt!S44+Debt!T27+Debt!T36)</f>
        <v>-9904.3999360905473</v>
      </c>
      <c r="V12" s="444">
        <f>-(Debt!T44+Debt!U27+Debt!U36)</f>
        <v>-10405.648628877721</v>
      </c>
      <c r="W12" s="444">
        <f>-(Debt!U44+Debt!V27+Debt!V36)</f>
        <v>-10978.090976227777</v>
      </c>
      <c r="X12" s="444">
        <f>-(Debt!V44+Debt!W27+Debt!W36)</f>
        <v>-11822.122768663696</v>
      </c>
      <c r="Y12" s="444">
        <f>-(Debt!W44+Debt!X27+Debt!X36)</f>
        <v>-12883.269455364825</v>
      </c>
      <c r="Z12" s="444">
        <f>-(Debt!X44+Debt!Y27+Debt!Y36)</f>
        <v>-14076.259581042861</v>
      </c>
      <c r="AA12" s="444">
        <f>-(Debt!Y44+Debt!Z27+Debt!Z36)</f>
        <v>-15342.254167069121</v>
      </c>
      <c r="AB12" s="444">
        <f>-(Debt!Z44+Debt!AA27+Debt!AA36)</f>
        <v>-16748.405391868662</v>
      </c>
      <c r="AC12" s="444">
        <f>-(Debt!AA44+Debt!AB27+Debt!AB36)</f>
        <v>-18265.074170688229</v>
      </c>
      <c r="AD12" s="444">
        <f>-(Debt!AB44+Debt!AC27+Debt!AC36)</f>
        <v>-19926.008847637124</v>
      </c>
      <c r="AE12" s="444">
        <f>-(Debt!AC44+Debt!AD27+Debt!AD36)</f>
        <v>-21687.129500583229</v>
      </c>
      <c r="AF12" s="444">
        <f>-(Debt!AD44+Debt!AE27+Debt!AE36)</f>
        <v>-23643.269506244083</v>
      </c>
      <c r="AG12" s="444">
        <f>-(Debt!AE44+Debt!AF27+Debt!AF36)</f>
        <v>-14729.598268253902</v>
      </c>
      <c r="AH12" s="13"/>
      <c r="AI12" s="13"/>
    </row>
    <row r="13" spans="1:35">
      <c r="A13" s="45" t="s">
        <v>348</v>
      </c>
      <c r="B13" s="64">
        <f>SUM(B11:B12)</f>
        <v>0</v>
      </c>
      <c r="C13" s="64">
        <f t="shared" ref="C13:AG13" si="0">SUM(C11:C12)</f>
        <v>1359.2755115497816</v>
      </c>
      <c r="D13" s="64">
        <f t="shared" si="0"/>
        <v>24.494756750859779</v>
      </c>
      <c r="E13" s="64">
        <f t="shared" si="0"/>
        <v>-110.61188981038413</v>
      </c>
      <c r="F13" s="64">
        <f t="shared" si="0"/>
        <v>-258.33621145207144</v>
      </c>
      <c r="G13" s="64">
        <f t="shared" si="0"/>
        <v>-405.45491485422554</v>
      </c>
      <c r="H13" s="64">
        <f t="shared" si="0"/>
        <v>-578.46898015226725</v>
      </c>
      <c r="I13" s="64">
        <f t="shared" si="0"/>
        <v>-761.77241216122093</v>
      </c>
      <c r="J13" s="64">
        <f t="shared" si="0"/>
        <v>-965.50440164289103</v>
      </c>
      <c r="K13" s="64">
        <f t="shared" si="0"/>
        <v>-1172.0748668371416</v>
      </c>
      <c r="L13" s="64">
        <f t="shared" si="0"/>
        <v>-1410.9043777018178</v>
      </c>
      <c r="M13" s="64">
        <f t="shared" si="0"/>
        <v>-1665.1309728746692</v>
      </c>
      <c r="N13" s="64">
        <f t="shared" si="0"/>
        <v>-1946.3827409975447</v>
      </c>
      <c r="O13" s="64">
        <f t="shared" si="0"/>
        <v>-2235.1700423360144</v>
      </c>
      <c r="P13" s="64">
        <f t="shared" si="0"/>
        <v>-2565.0769010229797</v>
      </c>
      <c r="Q13" s="64">
        <f t="shared" si="0"/>
        <v>-2917.421029196099</v>
      </c>
      <c r="R13" s="64">
        <f t="shared" si="0"/>
        <v>-3305.9335788509634</v>
      </c>
      <c r="S13" s="64">
        <f t="shared" si="0"/>
        <v>-3708.4030092456724</v>
      </c>
      <c r="T13" s="64">
        <f t="shared" si="0"/>
        <v>-4164.3103025218406</v>
      </c>
      <c r="U13" s="64">
        <f t="shared" si="0"/>
        <v>-4652.3633328205797</v>
      </c>
      <c r="V13" s="64">
        <f t="shared" si="0"/>
        <v>-5189.2501887669241</v>
      </c>
      <c r="W13" s="64">
        <f t="shared" si="0"/>
        <v>-9936.8104544017224</v>
      </c>
      <c r="X13" s="64">
        <f t="shared" si="0"/>
        <v>-13303.978794839106</v>
      </c>
      <c r="Y13" s="64">
        <f t="shared" si="0"/>
        <v>-14403.798163293803</v>
      </c>
      <c r="Z13" s="64">
        <f t="shared" si="0"/>
        <v>-15636.530211197383</v>
      </c>
      <c r="AA13" s="64">
        <f t="shared" si="0"/>
        <v>-16943.366218335705</v>
      </c>
      <c r="AB13" s="64">
        <f t="shared" si="0"/>
        <v>-18391.489492924815</v>
      </c>
      <c r="AC13" s="64">
        <f t="shared" si="0"/>
        <v>-19951.292976792673</v>
      </c>
      <c r="AD13" s="64">
        <f t="shared" si="0"/>
        <v>-21656.557963581639</v>
      </c>
      <c r="AE13" s="64">
        <f t="shared" si="0"/>
        <v>-23463.238430576155</v>
      </c>
      <c r="AF13" s="64">
        <f t="shared" si="0"/>
        <v>-25466.202631518274</v>
      </c>
      <c r="AG13" s="64">
        <f t="shared" si="0"/>
        <v>-16600.65585321543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349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80</v>
      </c>
      <c r="B16" s="64">
        <v>0</v>
      </c>
      <c r="C16" s="23">
        <f>-Debt!B48</f>
        <v>566.05403868141002</v>
      </c>
      <c r="D16" s="23">
        <f>-Debt!C48</f>
        <v>1330.0754822697927</v>
      </c>
      <c r="E16" s="23">
        <f>-Debt!D48</f>
        <v>1423.6211658904649</v>
      </c>
      <c r="F16" s="23">
        <f>-Debt!E48</f>
        <v>1562.9155051617417</v>
      </c>
      <c r="G16" s="23">
        <f>-Debt!F48</f>
        <v>1710.3924696932227</v>
      </c>
      <c r="H16" s="23">
        <f>-Debt!G48</f>
        <v>1874.6746030318027</v>
      </c>
      <c r="I16" s="23">
        <f>-Debt!H48</f>
        <v>2052.0677919746377</v>
      </c>
      <c r="J16" s="23">
        <f>-Debt!I48</f>
        <v>2246.800562743374</v>
      </c>
      <c r="K16" s="23">
        <f>-Debt!J48</f>
        <v>2452.9871101188473</v>
      </c>
      <c r="L16" s="23">
        <f>-Debt!K48</f>
        <v>2682.4801031906245</v>
      </c>
      <c r="M16" s="23">
        <f>-Debt!L48</f>
        <v>2930.1215932451159</v>
      </c>
      <c r="N16" s="23">
        <f>-Debt!M48</f>
        <v>3201.7380683966039</v>
      </c>
      <c r="O16" s="23">
        <f>-Debt!N48</f>
        <v>3489.3126102788228</v>
      </c>
      <c r="P16" s="23">
        <f>-Debt!O48</f>
        <v>3809.2073007752042</v>
      </c>
      <c r="Q16" s="23">
        <f>-Debt!P48</f>
        <v>4154.2122774599411</v>
      </c>
      <c r="R16" s="23">
        <f>-Debt!Q48</f>
        <v>4532.3786129256769</v>
      </c>
      <c r="S16" s="23">
        <f>-Debt!R48</f>
        <v>4932.7094373689906</v>
      </c>
      <c r="T16" s="23">
        <f>-Debt!S48</f>
        <v>5377.8493252803746</v>
      </c>
      <c r="U16" s="23">
        <f>-Debt!T48</f>
        <v>5857.7204898364726</v>
      </c>
      <c r="V16" s="23">
        <f>-Debt!U48</f>
        <v>6383.4663804676384</v>
      </c>
      <c r="W16" s="23">
        <f>-Debt!V48</f>
        <v>9379.1317609532271</v>
      </c>
      <c r="X16" s="23">
        <f>-Debt!W48</f>
        <v>12478.122818581236</v>
      </c>
      <c r="Y16" s="23">
        <f>-Debt!X48</f>
        <v>14045.490244310058</v>
      </c>
      <c r="Z16" s="23">
        <f>-Debt!Y48</f>
        <v>15269.663587837713</v>
      </c>
      <c r="AA16" s="23">
        <f>-Debt!Z48</f>
        <v>16565.228652318503</v>
      </c>
      <c r="AB16" s="23">
        <f>-Debt!AA48</f>
        <v>18004.266804628714</v>
      </c>
      <c r="AC16" s="23">
        <f>-Debt!AB48</f>
        <v>19553.893150812015</v>
      </c>
      <c r="AD16" s="23">
        <f>-Debt!AC48</f>
        <v>21249.605564739642</v>
      </c>
      <c r="AE16" s="23">
        <f>-Debt!AD48</f>
        <v>23043.722847744764</v>
      </c>
      <c r="AF16" s="23">
        <f>-Debt!AE48</f>
        <v>25036.545773798367</v>
      </c>
      <c r="AG16" s="23">
        <f>-Debt!AF48</f>
        <v>16518.476946675219</v>
      </c>
    </row>
    <row r="17" spans="1:33">
      <c r="A17" s="45" t="s">
        <v>350</v>
      </c>
      <c r="B17" s="445">
        <v>0</v>
      </c>
      <c r="C17" s="445">
        <v>0</v>
      </c>
      <c r="D17" s="445">
        <v>0</v>
      </c>
      <c r="E17" s="445">
        <v>0</v>
      </c>
      <c r="F17" s="445">
        <v>0</v>
      </c>
      <c r="G17" s="445">
        <v>0</v>
      </c>
      <c r="H17" s="445">
        <v>0</v>
      </c>
      <c r="I17" s="445">
        <v>0</v>
      </c>
      <c r="J17" s="445">
        <v>0</v>
      </c>
      <c r="K17" s="445">
        <v>0</v>
      </c>
      <c r="L17" s="445">
        <v>0</v>
      </c>
      <c r="M17" s="445">
        <v>0</v>
      </c>
      <c r="N17" s="445">
        <v>0</v>
      </c>
      <c r="O17" s="445">
        <v>0</v>
      </c>
      <c r="P17" s="445">
        <v>0</v>
      </c>
      <c r="Q17" s="445">
        <v>0</v>
      </c>
      <c r="R17" s="445">
        <v>0</v>
      </c>
      <c r="S17" s="445">
        <v>0</v>
      </c>
      <c r="T17" s="445">
        <v>0</v>
      </c>
      <c r="U17" s="445">
        <v>0</v>
      </c>
      <c r="V17" s="445">
        <v>0</v>
      </c>
      <c r="W17" s="445">
        <v>0</v>
      </c>
      <c r="X17" s="445">
        <v>0</v>
      </c>
      <c r="Y17" s="445">
        <v>0</v>
      </c>
      <c r="Z17" s="445">
        <v>0</v>
      </c>
      <c r="AA17" s="445">
        <v>0</v>
      </c>
      <c r="AB17" s="445">
        <v>0</v>
      </c>
      <c r="AC17" s="445">
        <v>0</v>
      </c>
      <c r="AD17" s="445">
        <v>0</v>
      </c>
      <c r="AE17" s="445">
        <v>0</v>
      </c>
      <c r="AF17" s="445">
        <v>0</v>
      </c>
      <c r="AG17" s="445">
        <v>0</v>
      </c>
    </row>
    <row r="18" spans="1:33">
      <c r="A18" s="45" t="s">
        <v>351</v>
      </c>
      <c r="B18" s="64">
        <f>B13+B17+B16+B15</f>
        <v>0</v>
      </c>
      <c r="C18" s="64">
        <f t="shared" ref="C18:AG18" si="1">C13+C17+C16+C15</f>
        <v>1925.3295502311917</v>
      </c>
      <c r="D18" s="64">
        <f t="shared" si="1"/>
        <v>1354.5702390206525</v>
      </c>
      <c r="E18" s="64">
        <f t="shared" si="1"/>
        <v>1313.0092760800808</v>
      </c>
      <c r="F18" s="64">
        <f t="shared" si="1"/>
        <v>1304.5792937096703</v>
      </c>
      <c r="G18" s="64">
        <f t="shared" si="1"/>
        <v>1304.9375548389971</v>
      </c>
      <c r="H18" s="64">
        <f t="shared" si="1"/>
        <v>1296.2056228795354</v>
      </c>
      <c r="I18" s="64">
        <f t="shared" si="1"/>
        <v>1290.2953798134167</v>
      </c>
      <c r="J18" s="64">
        <f t="shared" si="1"/>
        <v>1281.296161100483</v>
      </c>
      <c r="K18" s="64">
        <f t="shared" si="1"/>
        <v>1280.9122432817057</v>
      </c>
      <c r="L18" s="64">
        <f t="shared" si="1"/>
        <v>1271.5757254888067</v>
      </c>
      <c r="M18" s="64">
        <f t="shared" si="1"/>
        <v>1264.9906203704468</v>
      </c>
      <c r="N18" s="64">
        <f t="shared" si="1"/>
        <v>1255.3553273990592</v>
      </c>
      <c r="O18" s="64">
        <f t="shared" si="1"/>
        <v>1254.1425679428085</v>
      </c>
      <c r="P18" s="64">
        <f t="shared" si="1"/>
        <v>1244.1303997522245</v>
      </c>
      <c r="Q18" s="64">
        <f t="shared" si="1"/>
        <v>1236.7912482638421</v>
      </c>
      <c r="R18" s="64">
        <f t="shared" si="1"/>
        <v>1226.4450340747135</v>
      </c>
      <c r="S18" s="64">
        <f t="shared" si="1"/>
        <v>1224.3064281233183</v>
      </c>
      <c r="T18" s="64">
        <f t="shared" si="1"/>
        <v>1213.539022758534</v>
      </c>
      <c r="U18" s="64">
        <f t="shared" si="1"/>
        <v>1205.3571570158929</v>
      </c>
      <c r="V18" s="64">
        <f t="shared" si="1"/>
        <v>1194.2161917007143</v>
      </c>
      <c r="W18" s="64">
        <f t="shared" si="1"/>
        <v>-557.67869344849532</v>
      </c>
      <c r="X18" s="64">
        <f t="shared" si="1"/>
        <v>-825.85597625786977</v>
      </c>
      <c r="Y18" s="64">
        <f t="shared" si="1"/>
        <v>-358.30791898374446</v>
      </c>
      <c r="Z18" s="64">
        <f t="shared" si="1"/>
        <v>-366.86662335967048</v>
      </c>
      <c r="AA18" s="64">
        <f t="shared" si="1"/>
        <v>-378.13756601720161</v>
      </c>
      <c r="AB18" s="64">
        <f t="shared" si="1"/>
        <v>-387.22268829610039</v>
      </c>
      <c r="AC18" s="64">
        <f t="shared" si="1"/>
        <v>-397.39982598065762</v>
      </c>
      <c r="AD18" s="64">
        <f t="shared" si="1"/>
        <v>-406.95239884199691</v>
      </c>
      <c r="AE18" s="64">
        <f t="shared" si="1"/>
        <v>-419.51558283139093</v>
      </c>
      <c r="AF18" s="64">
        <f t="shared" si="1"/>
        <v>-429.65685771990684</v>
      </c>
      <c r="AG18" s="64">
        <f t="shared" si="1"/>
        <v>-82.178906540211756</v>
      </c>
    </row>
    <row r="19" spans="1:33">
      <c r="A19" s="333"/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/>
      <c r="AC19" s="398"/>
      <c r="AD19" s="398"/>
      <c r="AE19" s="398"/>
      <c r="AF19" s="398"/>
      <c r="AG19" s="398"/>
    </row>
    <row r="20" spans="1:33">
      <c r="A20" s="446" t="s">
        <v>401</v>
      </c>
      <c r="B20" s="517">
        <v>1</v>
      </c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98"/>
      <c r="AD20" s="398"/>
      <c r="AE20" s="398"/>
      <c r="AF20" s="398"/>
      <c r="AG20" s="398"/>
    </row>
    <row r="21" spans="1:33">
      <c r="B21" s="64">
        <f>$B$20*B18</f>
        <v>0</v>
      </c>
      <c r="C21" s="64">
        <f t="shared" ref="C21:AG21" si="2">$B$20*C18</f>
        <v>1925.3295502311917</v>
      </c>
      <c r="D21" s="64">
        <f t="shared" si="2"/>
        <v>1354.5702390206525</v>
      </c>
      <c r="E21" s="64">
        <f t="shared" si="2"/>
        <v>1313.0092760800808</v>
      </c>
      <c r="F21" s="64">
        <f t="shared" si="2"/>
        <v>1304.5792937096703</v>
      </c>
      <c r="G21" s="64">
        <f t="shared" si="2"/>
        <v>1304.9375548389971</v>
      </c>
      <c r="H21" s="64">
        <f t="shared" si="2"/>
        <v>1296.2056228795354</v>
      </c>
      <c r="I21" s="64">
        <f t="shared" si="2"/>
        <v>1290.2953798134167</v>
      </c>
      <c r="J21" s="64">
        <f t="shared" si="2"/>
        <v>1281.296161100483</v>
      </c>
      <c r="K21" s="64">
        <f t="shared" si="2"/>
        <v>1280.9122432817057</v>
      </c>
      <c r="L21" s="64">
        <f t="shared" si="2"/>
        <v>1271.5757254888067</v>
      </c>
      <c r="M21" s="64">
        <f t="shared" si="2"/>
        <v>1264.9906203704468</v>
      </c>
      <c r="N21" s="64">
        <f t="shared" si="2"/>
        <v>1255.3553273990592</v>
      </c>
      <c r="O21" s="64">
        <f t="shared" si="2"/>
        <v>1254.1425679428085</v>
      </c>
      <c r="P21" s="64">
        <f t="shared" si="2"/>
        <v>1244.1303997522245</v>
      </c>
      <c r="Q21" s="64">
        <f t="shared" si="2"/>
        <v>1236.7912482638421</v>
      </c>
      <c r="R21" s="64">
        <f t="shared" si="2"/>
        <v>1226.4450340747135</v>
      </c>
      <c r="S21" s="64">
        <f t="shared" si="2"/>
        <v>1224.3064281233183</v>
      </c>
      <c r="T21" s="64">
        <f t="shared" si="2"/>
        <v>1213.539022758534</v>
      </c>
      <c r="U21" s="64">
        <f t="shared" si="2"/>
        <v>1205.3571570158929</v>
      </c>
      <c r="V21" s="64">
        <f t="shared" si="2"/>
        <v>1194.2161917007143</v>
      </c>
      <c r="W21" s="64">
        <f t="shared" si="2"/>
        <v>-557.67869344849532</v>
      </c>
      <c r="X21" s="64">
        <f t="shared" si="2"/>
        <v>-825.85597625786977</v>
      </c>
      <c r="Y21" s="64">
        <f t="shared" si="2"/>
        <v>-358.30791898374446</v>
      </c>
      <c r="Z21" s="64">
        <f t="shared" si="2"/>
        <v>-366.86662335967048</v>
      </c>
      <c r="AA21" s="64">
        <f t="shared" si="2"/>
        <v>-378.13756601720161</v>
      </c>
      <c r="AB21" s="64">
        <f t="shared" si="2"/>
        <v>-387.22268829610039</v>
      </c>
      <c r="AC21" s="64">
        <f t="shared" si="2"/>
        <v>-397.39982598065762</v>
      </c>
      <c r="AD21" s="64">
        <f t="shared" si="2"/>
        <v>-406.95239884199691</v>
      </c>
      <c r="AE21" s="64">
        <f t="shared" si="2"/>
        <v>-419.51558283139093</v>
      </c>
      <c r="AF21" s="64">
        <f t="shared" si="2"/>
        <v>-429.65685771990684</v>
      </c>
      <c r="AG21" s="64">
        <f t="shared" si="2"/>
        <v>-82.178906540211756</v>
      </c>
    </row>
    <row r="22" spans="1:33"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98"/>
      <c r="AB22" s="398"/>
      <c r="AC22" s="398"/>
      <c r="AD22" s="398"/>
      <c r="AE22" s="398"/>
      <c r="AF22" s="398"/>
      <c r="AG22" s="398"/>
    </row>
    <row r="23" spans="1:33" hidden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/>
      <c r="AC23" s="398"/>
      <c r="AD23" s="398"/>
    </row>
    <row r="24" spans="1:33" hidden="1">
      <c r="A24" s="447" t="s">
        <v>358</v>
      </c>
      <c r="B24" s="453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13291.631563196133</v>
      </c>
      <c r="C25" s="18">
        <f t="shared" ref="C25:V25" si="3">+B29</f>
        <v>13291.631563196133</v>
      </c>
      <c r="D25" s="18">
        <f t="shared" si="3"/>
        <v>17077.789532274783</v>
      </c>
      <c r="E25" s="18">
        <f t="shared" si="3"/>
        <v>20823.250305813905</v>
      </c>
      <c r="F25" s="18">
        <f t="shared" si="3"/>
        <v>25051.514624707932</v>
      </c>
      <c r="G25" s="18">
        <f t="shared" si="3"/>
        <v>29863.305965876712</v>
      </c>
      <c r="H25" s="18">
        <f t="shared" si="3"/>
        <v>35349.106355938449</v>
      </c>
      <c r="I25" s="18">
        <f t="shared" si="3"/>
        <v>41594.186868649369</v>
      </c>
      <c r="J25" s="18">
        <f t="shared" si="3"/>
        <v>48707.668410073697</v>
      </c>
      <c r="K25" s="18">
        <f t="shared" si="3"/>
        <v>56808.038148584499</v>
      </c>
      <c r="L25" s="18">
        <f t="shared" si="3"/>
        <v>66042.075732668032</v>
      </c>
      <c r="M25" s="18">
        <f t="shared" si="3"/>
        <v>76559.542060730368</v>
      </c>
      <c r="N25" s="18">
        <f t="shared" si="3"/>
        <v>88542.868569603073</v>
      </c>
      <c r="O25" s="18">
        <f t="shared" si="3"/>
        <v>102194.22549674657</v>
      </c>
      <c r="P25" s="18">
        <f t="shared" si="3"/>
        <v>117755.5596342339</v>
      </c>
      <c r="Q25" s="18">
        <f t="shared" si="3"/>
        <v>135485.46838277887</v>
      </c>
      <c r="R25" s="18">
        <f t="shared" si="3"/>
        <v>155690.22520463174</v>
      </c>
      <c r="S25" s="18">
        <f t="shared" si="3"/>
        <v>178713.30176735489</v>
      </c>
      <c r="T25" s="18">
        <f t="shared" si="3"/>
        <v>204957.47044290788</v>
      </c>
      <c r="U25" s="18">
        <f t="shared" si="3"/>
        <v>234865.05532767353</v>
      </c>
      <c r="V25" s="18">
        <f t="shared" si="3"/>
        <v>268951.52023056371</v>
      </c>
      <c r="W25" s="18">
        <f t="shared" ref="W25:AG25" si="4">+V29</f>
        <v>307798.94925454335</v>
      </c>
      <c r="X25" s="18">
        <f t="shared" si="4"/>
        <v>350333.12345673091</v>
      </c>
      <c r="Y25" s="18">
        <f t="shared" si="4"/>
        <v>398553.90476441535</v>
      </c>
      <c r="Z25" s="18">
        <f t="shared" si="4"/>
        <v>453993.14351244975</v>
      </c>
      <c r="AA25" s="18">
        <f t="shared" si="4"/>
        <v>517185.31698083307</v>
      </c>
      <c r="AB25" s="18">
        <f t="shared" si="4"/>
        <v>589213.12379213248</v>
      </c>
      <c r="AC25" s="18">
        <f t="shared" si="4"/>
        <v>671315.73843473499</v>
      </c>
      <c r="AD25" s="18">
        <f t="shared" si="4"/>
        <v>764902.54198961728</v>
      </c>
      <c r="AE25" s="18">
        <f t="shared" si="4"/>
        <v>871581.94546932168</v>
      </c>
      <c r="AF25" s="18">
        <f t="shared" si="4"/>
        <v>993183.9022521954</v>
      </c>
      <c r="AG25" s="18">
        <f t="shared" si="4"/>
        <v>1131799.9917097827</v>
      </c>
    </row>
    <row r="26" spans="1:33" hidden="1">
      <c r="A26" s="45" t="s">
        <v>357</v>
      </c>
      <c r="B26" s="18">
        <v>0</v>
      </c>
      <c r="C26" s="18">
        <f>+-B25*$B$24</f>
        <v>-1860.8284188474588</v>
      </c>
      <c r="D26" s="18">
        <f t="shared" ref="D26:V26" si="5">+-D25*$B$24</f>
        <v>-2390.8905345184698</v>
      </c>
      <c r="E26" s="18">
        <f t="shared" si="5"/>
        <v>-2915.2550428139471</v>
      </c>
      <c r="F26" s="18">
        <f t="shared" si="5"/>
        <v>-3507.2120474591106</v>
      </c>
      <c r="G26" s="18">
        <f t="shared" si="5"/>
        <v>-4180.8628352227397</v>
      </c>
      <c r="H26" s="18">
        <f t="shared" si="5"/>
        <v>-4948.8748898313834</v>
      </c>
      <c r="I26" s="18">
        <f t="shared" si="5"/>
        <v>-5823.1861616109118</v>
      </c>
      <c r="J26" s="18">
        <f t="shared" si="5"/>
        <v>-6819.0735774103177</v>
      </c>
      <c r="K26" s="18">
        <f t="shared" si="5"/>
        <v>-7953.125340801831</v>
      </c>
      <c r="L26" s="18">
        <f t="shared" si="5"/>
        <v>-9245.890602573525</v>
      </c>
      <c r="M26" s="18">
        <f t="shared" si="5"/>
        <v>-10718.335888502252</v>
      </c>
      <c r="N26" s="18">
        <f t="shared" si="5"/>
        <v>-12396.001599744432</v>
      </c>
      <c r="O26" s="18">
        <f t="shared" si="5"/>
        <v>-14307.19156954452</v>
      </c>
      <c r="P26" s="18">
        <f t="shared" si="5"/>
        <v>-16485.778348792748</v>
      </c>
      <c r="Q26" s="18">
        <f t="shared" si="5"/>
        <v>-18967.965573589045</v>
      </c>
      <c r="R26" s="18">
        <f t="shared" si="5"/>
        <v>-21796.631528648446</v>
      </c>
      <c r="S26" s="18">
        <f t="shared" si="5"/>
        <v>-25019.862247429686</v>
      </c>
      <c r="T26" s="18">
        <f t="shared" si="5"/>
        <v>-28694.045862007108</v>
      </c>
      <c r="U26" s="18">
        <f t="shared" si="5"/>
        <v>-32881.107745874295</v>
      </c>
      <c r="V26" s="18">
        <f t="shared" si="5"/>
        <v>-37653.212832278921</v>
      </c>
      <c r="W26" s="18">
        <f t="shared" ref="W26:AG26" si="6">+-W25*$B$24</f>
        <v>-43091.852895636075</v>
      </c>
      <c r="X26" s="18">
        <f t="shared" si="6"/>
        <v>-49046.637283942335</v>
      </c>
      <c r="Y26" s="18">
        <f t="shared" si="6"/>
        <v>-55797.546667018156</v>
      </c>
      <c r="Z26" s="18">
        <f t="shared" si="6"/>
        <v>-63559.040091742972</v>
      </c>
      <c r="AA26" s="18">
        <f t="shared" si="6"/>
        <v>-72405.944377316642</v>
      </c>
      <c r="AB26" s="18">
        <f t="shared" si="6"/>
        <v>-82489.837330898561</v>
      </c>
      <c r="AC26" s="18">
        <f t="shared" si="6"/>
        <v>-93984.203380862906</v>
      </c>
      <c r="AD26" s="18">
        <f t="shared" si="6"/>
        <v>-107086.35587854643</v>
      </c>
      <c r="AE26" s="18">
        <f t="shared" si="6"/>
        <v>-122021.47236570505</v>
      </c>
      <c r="AF26" s="18">
        <f t="shared" si="6"/>
        <v>-139045.74631530736</v>
      </c>
      <c r="AG26" s="18">
        <f t="shared" si="6"/>
        <v>-158451.9988393696</v>
      </c>
    </row>
    <row r="27" spans="1:33" hidden="1">
      <c r="A27" s="45" t="s">
        <v>353</v>
      </c>
      <c r="B27" s="18">
        <f>B21</f>
        <v>0</v>
      </c>
      <c r="C27" s="18">
        <f t="shared" ref="C27:AG27" si="7">C21</f>
        <v>1925.3295502311917</v>
      </c>
      <c r="D27" s="18">
        <f t="shared" si="7"/>
        <v>1354.5702390206525</v>
      </c>
      <c r="E27" s="18">
        <f t="shared" si="7"/>
        <v>1313.0092760800808</v>
      </c>
      <c r="F27" s="18">
        <f t="shared" si="7"/>
        <v>1304.5792937096703</v>
      </c>
      <c r="G27" s="18">
        <f t="shared" si="7"/>
        <v>1304.9375548389971</v>
      </c>
      <c r="H27" s="18">
        <f t="shared" si="7"/>
        <v>1296.2056228795354</v>
      </c>
      <c r="I27" s="18">
        <f t="shared" si="7"/>
        <v>1290.2953798134167</v>
      </c>
      <c r="J27" s="18">
        <f t="shared" si="7"/>
        <v>1281.296161100483</v>
      </c>
      <c r="K27" s="18">
        <f t="shared" si="7"/>
        <v>1280.9122432817057</v>
      </c>
      <c r="L27" s="18">
        <f t="shared" si="7"/>
        <v>1271.5757254888067</v>
      </c>
      <c r="M27" s="18">
        <f t="shared" si="7"/>
        <v>1264.9906203704468</v>
      </c>
      <c r="N27" s="18">
        <f t="shared" si="7"/>
        <v>1255.3553273990592</v>
      </c>
      <c r="O27" s="18">
        <f t="shared" si="7"/>
        <v>1254.1425679428085</v>
      </c>
      <c r="P27" s="18">
        <f t="shared" si="7"/>
        <v>1244.1303997522245</v>
      </c>
      <c r="Q27" s="18">
        <f t="shared" si="7"/>
        <v>1236.7912482638421</v>
      </c>
      <c r="R27" s="18">
        <f t="shared" si="7"/>
        <v>1226.4450340747135</v>
      </c>
      <c r="S27" s="18">
        <f t="shared" si="7"/>
        <v>1224.3064281233183</v>
      </c>
      <c r="T27" s="18">
        <f t="shared" si="7"/>
        <v>1213.539022758534</v>
      </c>
      <c r="U27" s="18">
        <f t="shared" si="7"/>
        <v>1205.3571570158929</v>
      </c>
      <c r="V27" s="18">
        <f t="shared" si="7"/>
        <v>1194.2161917007143</v>
      </c>
      <c r="W27" s="18">
        <f t="shared" si="7"/>
        <v>-557.67869344849532</v>
      </c>
      <c r="X27" s="18">
        <f t="shared" si="7"/>
        <v>-825.85597625786977</v>
      </c>
      <c r="Y27" s="18">
        <f t="shared" si="7"/>
        <v>-358.30791898374446</v>
      </c>
      <c r="Z27" s="18">
        <f t="shared" si="7"/>
        <v>-366.86662335967048</v>
      </c>
      <c r="AA27" s="18">
        <f t="shared" si="7"/>
        <v>-378.13756601720161</v>
      </c>
      <c r="AB27" s="18">
        <f t="shared" si="7"/>
        <v>-387.22268829610039</v>
      </c>
      <c r="AC27" s="18">
        <f t="shared" si="7"/>
        <v>-397.39982598065762</v>
      </c>
      <c r="AD27" s="18">
        <f t="shared" si="7"/>
        <v>-406.95239884199691</v>
      </c>
      <c r="AE27" s="18">
        <f t="shared" si="7"/>
        <v>-419.51558283139093</v>
      </c>
      <c r="AF27" s="18">
        <f t="shared" si="7"/>
        <v>-429.65685771990684</v>
      </c>
      <c r="AG27" s="18">
        <f t="shared" si="7"/>
        <v>-82.178906540211756</v>
      </c>
    </row>
    <row r="28" spans="1:33" hidden="1">
      <c r="A28" s="45" t="s">
        <v>356</v>
      </c>
      <c r="B28" s="308">
        <v>0</v>
      </c>
      <c r="C28" s="308">
        <f t="shared" ref="C28:V28" si="8">+IF(C27&gt;C26,C27-C26,0)</f>
        <v>3786.1579690786502</v>
      </c>
      <c r="D28" s="308">
        <f t="shared" si="8"/>
        <v>3745.4607735391223</v>
      </c>
      <c r="E28" s="308">
        <f t="shared" si="8"/>
        <v>4228.2643188940274</v>
      </c>
      <c r="F28" s="308">
        <f t="shared" si="8"/>
        <v>4811.7913411687805</v>
      </c>
      <c r="G28" s="308">
        <f t="shared" si="8"/>
        <v>5485.8003900617368</v>
      </c>
      <c r="H28" s="308">
        <f t="shared" si="8"/>
        <v>6245.0805127109188</v>
      </c>
      <c r="I28" s="308">
        <f t="shared" si="8"/>
        <v>7113.4815414243285</v>
      </c>
      <c r="J28" s="308">
        <f t="shared" si="8"/>
        <v>8100.3697385108007</v>
      </c>
      <c r="K28" s="308">
        <f t="shared" si="8"/>
        <v>9234.0375840835368</v>
      </c>
      <c r="L28" s="308">
        <f t="shared" si="8"/>
        <v>10517.466328062332</v>
      </c>
      <c r="M28" s="308">
        <f t="shared" si="8"/>
        <v>11983.326508872698</v>
      </c>
      <c r="N28" s="308">
        <f t="shared" si="8"/>
        <v>13651.35692714349</v>
      </c>
      <c r="O28" s="308">
        <f t="shared" si="8"/>
        <v>15561.334137487329</v>
      </c>
      <c r="P28" s="308">
        <f t="shared" si="8"/>
        <v>17729.908748544971</v>
      </c>
      <c r="Q28" s="308">
        <f t="shared" si="8"/>
        <v>20204.756821852887</v>
      </c>
      <c r="R28" s="308">
        <f t="shared" si="8"/>
        <v>23023.076562723159</v>
      </c>
      <c r="S28" s="308">
        <f t="shared" si="8"/>
        <v>26244.168675553003</v>
      </c>
      <c r="T28" s="308">
        <f t="shared" si="8"/>
        <v>29907.584884765642</v>
      </c>
      <c r="U28" s="308">
        <f t="shared" si="8"/>
        <v>34086.464902890191</v>
      </c>
      <c r="V28" s="308">
        <f t="shared" si="8"/>
        <v>38847.429023979639</v>
      </c>
      <c r="W28" s="308">
        <f t="shared" ref="W28:AG28" si="9">+IF(W27&gt;W26,W27-W26,0)</f>
        <v>42534.174202187583</v>
      </c>
      <c r="X28" s="308">
        <f t="shared" si="9"/>
        <v>48220.781307684461</v>
      </c>
      <c r="Y28" s="308">
        <f t="shared" si="9"/>
        <v>55439.238748034411</v>
      </c>
      <c r="Z28" s="308">
        <f t="shared" si="9"/>
        <v>63192.173468383306</v>
      </c>
      <c r="AA28" s="308">
        <f t="shared" si="9"/>
        <v>72027.806811299437</v>
      </c>
      <c r="AB28" s="308">
        <f t="shared" si="9"/>
        <v>82102.614642602464</v>
      </c>
      <c r="AC28" s="308">
        <f t="shared" si="9"/>
        <v>93586.803554882252</v>
      </c>
      <c r="AD28" s="308">
        <f t="shared" si="9"/>
        <v>106679.40347970443</v>
      </c>
      <c r="AE28" s="308">
        <f t="shared" si="9"/>
        <v>121601.95678287366</v>
      </c>
      <c r="AF28" s="308">
        <f t="shared" si="9"/>
        <v>138616.08945758746</v>
      </c>
      <c r="AG28" s="308">
        <f t="shared" si="9"/>
        <v>158369.81993282938</v>
      </c>
    </row>
    <row r="29" spans="1:33" hidden="1">
      <c r="A29" s="45" t="s">
        <v>57</v>
      </c>
      <c r="B29" s="18">
        <f t="shared" ref="B29:V29" si="10">+B25+B28</f>
        <v>13291.631563196133</v>
      </c>
      <c r="C29" s="18">
        <f t="shared" si="10"/>
        <v>17077.789532274783</v>
      </c>
      <c r="D29" s="18">
        <f t="shared" si="10"/>
        <v>20823.250305813905</v>
      </c>
      <c r="E29" s="18">
        <f t="shared" si="10"/>
        <v>25051.514624707932</v>
      </c>
      <c r="F29" s="18">
        <f t="shared" si="10"/>
        <v>29863.305965876712</v>
      </c>
      <c r="G29" s="18">
        <f t="shared" si="10"/>
        <v>35349.106355938449</v>
      </c>
      <c r="H29" s="18">
        <f t="shared" si="10"/>
        <v>41594.186868649369</v>
      </c>
      <c r="I29" s="18">
        <f t="shared" si="10"/>
        <v>48707.668410073697</v>
      </c>
      <c r="J29" s="18">
        <f t="shared" si="10"/>
        <v>56808.038148584499</v>
      </c>
      <c r="K29" s="18">
        <f t="shared" si="10"/>
        <v>66042.075732668032</v>
      </c>
      <c r="L29" s="18">
        <f t="shared" si="10"/>
        <v>76559.542060730368</v>
      </c>
      <c r="M29" s="18">
        <f t="shared" si="10"/>
        <v>88542.868569603073</v>
      </c>
      <c r="N29" s="18">
        <f t="shared" si="10"/>
        <v>102194.22549674657</v>
      </c>
      <c r="O29" s="18">
        <f t="shared" si="10"/>
        <v>117755.5596342339</v>
      </c>
      <c r="P29" s="18">
        <f t="shared" si="10"/>
        <v>135485.46838277887</v>
      </c>
      <c r="Q29" s="18">
        <f t="shared" si="10"/>
        <v>155690.22520463174</v>
      </c>
      <c r="R29" s="18">
        <f t="shared" si="10"/>
        <v>178713.30176735489</v>
      </c>
      <c r="S29" s="18">
        <f t="shared" si="10"/>
        <v>204957.47044290788</v>
      </c>
      <c r="T29" s="18">
        <f t="shared" si="10"/>
        <v>234865.05532767353</v>
      </c>
      <c r="U29" s="18">
        <f t="shared" si="10"/>
        <v>268951.52023056371</v>
      </c>
      <c r="V29" s="18">
        <f t="shared" si="10"/>
        <v>307798.94925454335</v>
      </c>
      <c r="W29" s="18">
        <f t="shared" ref="W29:AG29" si="11">+W25+W28</f>
        <v>350333.12345673091</v>
      </c>
      <c r="X29" s="18">
        <f t="shared" si="11"/>
        <v>398553.90476441535</v>
      </c>
      <c r="Y29" s="18">
        <f t="shared" si="11"/>
        <v>453993.14351244975</v>
      </c>
      <c r="Z29" s="18">
        <f t="shared" si="11"/>
        <v>517185.31698083307</v>
      </c>
      <c r="AA29" s="18">
        <f t="shared" si="11"/>
        <v>589213.12379213248</v>
      </c>
      <c r="AB29" s="18">
        <f t="shared" si="11"/>
        <v>671315.73843473499</v>
      </c>
      <c r="AC29" s="18">
        <f t="shared" si="11"/>
        <v>764902.54198961728</v>
      </c>
      <c r="AD29" s="18">
        <f t="shared" si="11"/>
        <v>871581.94546932168</v>
      </c>
      <c r="AE29" s="18">
        <f t="shared" si="11"/>
        <v>993183.9022521954</v>
      </c>
      <c r="AF29" s="18">
        <f t="shared" si="11"/>
        <v>1131799.9917097827</v>
      </c>
      <c r="AG29" s="18">
        <f t="shared" si="11"/>
        <v>1290169.8116426121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7" t="s">
        <v>388</v>
      </c>
    </row>
    <row r="34" spans="1:33">
      <c r="A34" s="447"/>
    </row>
    <row r="35" spans="1:33">
      <c r="A35" s="446" t="s">
        <v>355</v>
      </c>
    </row>
    <row r="36" spans="1:33" s="18" customFormat="1">
      <c r="A36" s="45" t="s">
        <v>354</v>
      </c>
      <c r="B36" s="18">
        <f>-Assumptions!C11*Assumptions!$G$48</f>
        <v>13291.631563196133</v>
      </c>
    </row>
    <row r="37" spans="1:33" s="18" customFormat="1">
      <c r="A37" s="45" t="s">
        <v>353</v>
      </c>
      <c r="B37" s="454">
        <f>B21*Assumptions!$G$48</f>
        <v>0</v>
      </c>
      <c r="C37" s="308">
        <f>C21*Assumptions!$G$48</f>
        <v>1925.3295502311917</v>
      </c>
      <c r="D37" s="308">
        <f>D21*Assumptions!$G$48</f>
        <v>1354.5702390206525</v>
      </c>
      <c r="E37" s="308">
        <f>E21*Assumptions!$G$48</f>
        <v>1313.0092760800808</v>
      </c>
      <c r="F37" s="308">
        <f>F21*Assumptions!$G$48</f>
        <v>1304.5792937096703</v>
      </c>
      <c r="G37" s="308">
        <f>G21*Assumptions!$G$48</f>
        <v>1304.9375548389971</v>
      </c>
      <c r="H37" s="308">
        <f>H21*Assumptions!$G$48</f>
        <v>1296.2056228795354</v>
      </c>
      <c r="I37" s="308">
        <f>I21*Assumptions!$G$48</f>
        <v>1290.2953798134167</v>
      </c>
      <c r="J37" s="308">
        <f>J21*Assumptions!$G$48</f>
        <v>1281.296161100483</v>
      </c>
      <c r="K37" s="308">
        <f>K21*Assumptions!$G$48</f>
        <v>1280.9122432817057</v>
      </c>
      <c r="L37" s="308">
        <f>L21*Assumptions!$G$48</f>
        <v>1271.5757254888067</v>
      </c>
      <c r="M37" s="308">
        <f>M21*Assumptions!$G$48</f>
        <v>1264.9906203704468</v>
      </c>
      <c r="N37" s="308">
        <f>N21*Assumptions!$G$48</f>
        <v>1255.3553273990592</v>
      </c>
      <c r="O37" s="308">
        <f>O21*Assumptions!$G$48</f>
        <v>1254.1425679428085</v>
      </c>
      <c r="P37" s="308">
        <f>P21*Assumptions!$G$48</f>
        <v>1244.1303997522245</v>
      </c>
      <c r="Q37" s="308">
        <f>Q21*Assumptions!$G$48</f>
        <v>1236.7912482638421</v>
      </c>
      <c r="R37" s="308">
        <f>R21*Assumptions!$G$48</f>
        <v>1226.4450340747135</v>
      </c>
      <c r="S37" s="308">
        <f>S21*Assumptions!$G$48</f>
        <v>1224.3064281233183</v>
      </c>
      <c r="T37" s="308">
        <f>T21*Assumptions!$G$48</f>
        <v>1213.539022758534</v>
      </c>
      <c r="U37" s="308">
        <f>U21*Assumptions!$G$48</f>
        <v>1205.3571570158929</v>
      </c>
      <c r="V37" s="308">
        <f>V21*Assumptions!$G$48</f>
        <v>1194.2161917007143</v>
      </c>
      <c r="W37" s="308">
        <f>W21*Assumptions!$G$48</f>
        <v>-557.67869344849532</v>
      </c>
      <c r="X37" s="308">
        <f>X21*Assumptions!$G$48</f>
        <v>-825.85597625786977</v>
      </c>
      <c r="Y37" s="308">
        <f>Y21*Assumptions!$G$48</f>
        <v>-358.30791898374446</v>
      </c>
      <c r="Z37" s="308">
        <f>Z21*Assumptions!$G$48</f>
        <v>-366.86662335967048</v>
      </c>
      <c r="AA37" s="308">
        <f>AA21*Assumptions!$G$48</f>
        <v>-378.13756601720161</v>
      </c>
      <c r="AB37" s="308">
        <f>AB21*Assumptions!$G$48</f>
        <v>-387.22268829610039</v>
      </c>
      <c r="AC37" s="308">
        <f>AC21*Assumptions!$G$48</f>
        <v>-397.39982598065762</v>
      </c>
      <c r="AD37" s="308">
        <f>AD21*Assumptions!$G$48</f>
        <v>-406.95239884199691</v>
      </c>
      <c r="AE37" s="308">
        <f>AE21*Assumptions!$G$48</f>
        <v>-419.51558283139093</v>
      </c>
      <c r="AF37" s="308">
        <f>AF21*Assumptions!$G$48</f>
        <v>-429.65685771990684</v>
      </c>
      <c r="AG37" s="308">
        <f>AG21*Assumptions!$G$48</f>
        <v>-82.178906540211756</v>
      </c>
    </row>
    <row r="38" spans="1:33" s="18" customFormat="1">
      <c r="A38" s="45" t="s">
        <v>352</v>
      </c>
      <c r="B38" s="18">
        <f t="shared" ref="B38:AG38" si="12">SUM(B36:B37)</f>
        <v>13291.631563196133</v>
      </c>
      <c r="C38" s="18">
        <f t="shared" si="12"/>
        <v>1925.3295502311917</v>
      </c>
      <c r="D38" s="18">
        <f t="shared" si="12"/>
        <v>1354.5702390206525</v>
      </c>
      <c r="E38" s="18">
        <f t="shared" si="12"/>
        <v>1313.0092760800808</v>
      </c>
      <c r="F38" s="18">
        <f t="shared" si="12"/>
        <v>1304.5792937096703</v>
      </c>
      <c r="G38" s="18">
        <f t="shared" si="12"/>
        <v>1304.9375548389971</v>
      </c>
      <c r="H38" s="18">
        <f t="shared" si="12"/>
        <v>1296.2056228795354</v>
      </c>
      <c r="I38" s="18">
        <f t="shared" si="12"/>
        <v>1290.2953798134167</v>
      </c>
      <c r="J38" s="18">
        <f t="shared" si="12"/>
        <v>1281.296161100483</v>
      </c>
      <c r="K38" s="18">
        <f t="shared" si="12"/>
        <v>1280.9122432817057</v>
      </c>
      <c r="L38" s="18">
        <f t="shared" si="12"/>
        <v>1271.5757254888067</v>
      </c>
      <c r="M38" s="18">
        <f t="shared" si="12"/>
        <v>1264.9906203704468</v>
      </c>
      <c r="N38" s="18">
        <f t="shared" si="12"/>
        <v>1255.3553273990592</v>
      </c>
      <c r="O38" s="18">
        <f t="shared" si="12"/>
        <v>1254.1425679428085</v>
      </c>
      <c r="P38" s="18">
        <f t="shared" si="12"/>
        <v>1244.1303997522245</v>
      </c>
      <c r="Q38" s="18">
        <f t="shared" si="12"/>
        <v>1236.7912482638421</v>
      </c>
      <c r="R38" s="18">
        <f t="shared" si="12"/>
        <v>1226.4450340747135</v>
      </c>
      <c r="S38" s="18">
        <f t="shared" si="12"/>
        <v>1224.3064281233183</v>
      </c>
      <c r="T38" s="18">
        <f t="shared" si="12"/>
        <v>1213.539022758534</v>
      </c>
      <c r="U38" s="18">
        <f t="shared" si="12"/>
        <v>1205.3571570158929</v>
      </c>
      <c r="V38" s="18">
        <f t="shared" si="12"/>
        <v>1194.2161917007143</v>
      </c>
      <c r="W38" s="18">
        <f t="shared" si="12"/>
        <v>-557.67869344849532</v>
      </c>
      <c r="X38" s="18">
        <f t="shared" si="12"/>
        <v>-825.85597625786977</v>
      </c>
      <c r="Y38" s="18">
        <f t="shared" si="12"/>
        <v>-358.30791898374446</v>
      </c>
      <c r="Z38" s="18">
        <f t="shared" si="12"/>
        <v>-366.86662335967048</v>
      </c>
      <c r="AA38" s="18">
        <f t="shared" si="12"/>
        <v>-378.13756601720161</v>
      </c>
      <c r="AB38" s="18">
        <f t="shared" si="12"/>
        <v>-387.22268829610039</v>
      </c>
      <c r="AC38" s="18">
        <f t="shared" si="12"/>
        <v>-397.39982598065762</v>
      </c>
      <c r="AD38" s="18">
        <f t="shared" si="12"/>
        <v>-406.95239884199691</v>
      </c>
      <c r="AE38" s="18">
        <f t="shared" si="12"/>
        <v>-419.51558283139093</v>
      </c>
      <c r="AF38" s="18">
        <f t="shared" si="12"/>
        <v>-429.65685771990684</v>
      </c>
      <c r="AG38" s="18">
        <f t="shared" si="12"/>
        <v>-82.178906540211756</v>
      </c>
    </row>
    <row r="39" spans="1:33">
      <c r="B39" s="446" t="s">
        <v>1</v>
      </c>
      <c r="C39" s="452">
        <f>XIRR(B38:W38,B8:W8)</f>
        <v>2.9802322387695314E-9</v>
      </c>
    </row>
    <row r="40" spans="1:33">
      <c r="A40" s="45"/>
      <c r="B40" s="448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354</v>
      </c>
      <c r="B42" s="18">
        <f>-Assumptions!C11*Assumptions!$G$48</f>
        <v>13291.631563196133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353</v>
      </c>
      <c r="B43" s="449">
        <f>B21*Assumptions!$G$48</f>
        <v>0</v>
      </c>
      <c r="C43" s="18">
        <f>C21*Assumptions!$G$48</f>
        <v>1925.3295502311917</v>
      </c>
      <c r="D43" s="18">
        <f>D21*Assumptions!$G$48</f>
        <v>1354.5702390206525</v>
      </c>
      <c r="E43" s="18">
        <f>E21*Assumptions!$G$48</f>
        <v>1313.0092760800808</v>
      </c>
      <c r="F43" s="18">
        <f>F21*Assumptions!$G$48</f>
        <v>1304.5792937096703</v>
      </c>
      <c r="G43" s="18">
        <f>G21*Assumptions!$G$48</f>
        <v>1304.9375548389971</v>
      </c>
      <c r="H43" s="18">
        <f>H21*Assumptions!$G$48</f>
        <v>1296.2056228795354</v>
      </c>
      <c r="I43" s="18">
        <f>I21*Assumptions!$G$48</f>
        <v>1290.2953798134167</v>
      </c>
      <c r="J43" s="18">
        <f>J21*Assumptions!$G$48</f>
        <v>1281.296161100483</v>
      </c>
      <c r="K43" s="18">
        <f>K21*Assumptions!$G$48</f>
        <v>1280.9122432817057</v>
      </c>
      <c r="L43" s="18">
        <f>L21*Assumptions!$G$48</f>
        <v>1271.5757254888067</v>
      </c>
      <c r="M43" s="18">
        <f>M21*Assumptions!$G$48</f>
        <v>1264.9906203704468</v>
      </c>
      <c r="N43" s="18">
        <f>N21*Assumptions!$G$48</f>
        <v>1255.3553273990592</v>
      </c>
      <c r="O43" s="18">
        <f>O21*Assumptions!$G$48</f>
        <v>1254.1425679428085</v>
      </c>
      <c r="P43" s="18">
        <f>P21*Assumptions!$G$48</f>
        <v>1244.1303997522245</v>
      </c>
      <c r="Q43" s="18">
        <f>Q21*Assumptions!$G$48</f>
        <v>1236.7912482638421</v>
      </c>
      <c r="R43" s="18">
        <f>R21*Assumptions!$G$48</f>
        <v>1226.4450340747135</v>
      </c>
      <c r="S43" s="18">
        <f>S21*Assumptions!$G$48</f>
        <v>1224.3064281233183</v>
      </c>
      <c r="T43" s="18">
        <f>T21*Assumptions!$G$48</f>
        <v>1213.539022758534</v>
      </c>
      <c r="U43" s="18">
        <f>U21*Assumptions!$G$48</f>
        <v>1205.3571570158929</v>
      </c>
      <c r="V43" s="18">
        <f>V21*Assumptions!$G$48</f>
        <v>1194.2161917007143</v>
      </c>
      <c r="W43" s="18">
        <f>W21*Assumptions!$G$48</f>
        <v>-557.67869344849532</v>
      </c>
      <c r="X43" s="18">
        <f>X21*Assumptions!$G$48</f>
        <v>-825.85597625786977</v>
      </c>
      <c r="Y43" s="18">
        <f>Y21*Assumptions!$G$48</f>
        <v>-358.30791898374446</v>
      </c>
      <c r="Z43" s="18">
        <f>Z21*Assumptions!$G$48</f>
        <v>-366.86662335967048</v>
      </c>
      <c r="AA43" s="18">
        <f>AA21*Assumptions!$G$48</f>
        <v>-378.13756601720161</v>
      </c>
      <c r="AB43" s="18">
        <f>AB21*Assumptions!$G$48</f>
        <v>-387.22268829610039</v>
      </c>
      <c r="AC43" s="18">
        <f>AC21*Assumptions!$G$48</f>
        <v>-397.39982598065762</v>
      </c>
      <c r="AD43" s="18">
        <f>AD21*Assumptions!$G$48</f>
        <v>-406.95239884199691</v>
      </c>
      <c r="AE43" s="18">
        <f>AE21*Assumptions!$G$48</f>
        <v>-419.51558283139093</v>
      </c>
      <c r="AF43" s="18">
        <f>AF21*Assumptions!$G$48</f>
        <v>-429.65685771990684</v>
      </c>
      <c r="AG43" s="18">
        <f>AG21*Assumptions!$G$48</f>
        <v>-82.178906540211756</v>
      </c>
    </row>
    <row r="44" spans="1:33">
      <c r="A44" s="56" t="s">
        <v>121</v>
      </c>
      <c r="B44" s="308">
        <v>0</v>
      </c>
      <c r="C44" s="308">
        <v>0</v>
      </c>
      <c r="D44" s="308">
        <v>0</v>
      </c>
      <c r="E44" s="308">
        <v>0</v>
      </c>
      <c r="F44" s="308">
        <v>0</v>
      </c>
      <c r="G44" s="308">
        <v>0</v>
      </c>
      <c r="H44" s="308">
        <v>0</v>
      </c>
      <c r="I44" s="308">
        <v>0</v>
      </c>
      <c r="J44" s="308">
        <v>0</v>
      </c>
      <c r="K44" s="308">
        <v>0</v>
      </c>
      <c r="L44" s="308">
        <v>0</v>
      </c>
      <c r="M44" s="308">
        <v>0</v>
      </c>
      <c r="N44" s="308">
        <v>0</v>
      </c>
      <c r="O44" s="308">
        <v>0</v>
      </c>
      <c r="P44" s="308">
        <v>0</v>
      </c>
      <c r="Q44" s="308">
        <v>0</v>
      </c>
      <c r="R44" s="308">
        <v>0</v>
      </c>
      <c r="S44" s="308">
        <v>0</v>
      </c>
      <c r="T44" s="308">
        <v>0</v>
      </c>
      <c r="U44" s="308">
        <v>0</v>
      </c>
      <c r="V44" s="308">
        <v>0</v>
      </c>
      <c r="W44" s="308">
        <f>Assumptions!H23*IS!W33</f>
        <v>5206.402609130273</v>
      </c>
      <c r="X44" s="308">
        <v>0</v>
      </c>
      <c r="Y44" s="308">
        <v>0</v>
      </c>
      <c r="Z44" s="308">
        <v>0</v>
      </c>
      <c r="AA44" s="308">
        <v>0</v>
      </c>
      <c r="AB44" s="308">
        <v>0</v>
      </c>
      <c r="AC44" s="308">
        <v>0</v>
      </c>
      <c r="AD44" s="308">
        <v>0</v>
      </c>
      <c r="AE44" s="308">
        <v>0</v>
      </c>
      <c r="AF44" s="308">
        <v>0</v>
      </c>
      <c r="AG44" s="308">
        <f>Assumptions!H23*IS!AF33*Assumptions!G48</f>
        <v>-9114.665626370961</v>
      </c>
    </row>
    <row r="45" spans="1:33">
      <c r="A45" s="56" t="s">
        <v>352</v>
      </c>
      <c r="B45" s="18">
        <f t="shared" ref="B45:AG45" si="13">SUM(B42:B44)</f>
        <v>13291.631563196133</v>
      </c>
      <c r="C45" s="18">
        <f t="shared" si="13"/>
        <v>1925.3295502311917</v>
      </c>
      <c r="D45" s="18">
        <f t="shared" si="13"/>
        <v>1354.5702390206525</v>
      </c>
      <c r="E45" s="18">
        <f t="shared" si="13"/>
        <v>1313.0092760800808</v>
      </c>
      <c r="F45" s="18">
        <f t="shared" si="13"/>
        <v>1304.5792937096703</v>
      </c>
      <c r="G45" s="18">
        <f t="shared" si="13"/>
        <v>1304.9375548389971</v>
      </c>
      <c r="H45" s="18">
        <f t="shared" si="13"/>
        <v>1296.2056228795354</v>
      </c>
      <c r="I45" s="18">
        <f t="shared" si="13"/>
        <v>1290.2953798134167</v>
      </c>
      <c r="J45" s="18">
        <f t="shared" si="13"/>
        <v>1281.296161100483</v>
      </c>
      <c r="K45" s="18">
        <f t="shared" si="13"/>
        <v>1280.9122432817057</v>
      </c>
      <c r="L45" s="18">
        <f t="shared" si="13"/>
        <v>1271.5757254888067</v>
      </c>
      <c r="M45" s="18">
        <f t="shared" si="13"/>
        <v>1264.9906203704468</v>
      </c>
      <c r="N45" s="18">
        <f t="shared" si="13"/>
        <v>1255.3553273990592</v>
      </c>
      <c r="O45" s="18">
        <f t="shared" si="13"/>
        <v>1254.1425679428085</v>
      </c>
      <c r="P45" s="18">
        <f t="shared" si="13"/>
        <v>1244.1303997522245</v>
      </c>
      <c r="Q45" s="18">
        <f t="shared" si="13"/>
        <v>1236.7912482638421</v>
      </c>
      <c r="R45" s="18">
        <f t="shared" si="13"/>
        <v>1226.4450340747135</v>
      </c>
      <c r="S45" s="18">
        <f t="shared" si="13"/>
        <v>1224.3064281233183</v>
      </c>
      <c r="T45" s="18">
        <f t="shared" si="13"/>
        <v>1213.539022758534</v>
      </c>
      <c r="U45" s="18">
        <f t="shared" si="13"/>
        <v>1205.3571570158929</v>
      </c>
      <c r="V45" s="18">
        <f t="shared" si="13"/>
        <v>1194.2161917007143</v>
      </c>
      <c r="W45" s="18">
        <f t="shared" si="13"/>
        <v>4648.7239156817777</v>
      </c>
      <c r="X45" s="18">
        <f t="shared" si="13"/>
        <v>-825.85597625786977</v>
      </c>
      <c r="Y45" s="18">
        <f t="shared" si="13"/>
        <v>-358.30791898374446</v>
      </c>
      <c r="Z45" s="18">
        <f t="shared" si="13"/>
        <v>-366.86662335967048</v>
      </c>
      <c r="AA45" s="18">
        <f t="shared" si="13"/>
        <v>-378.13756601720161</v>
      </c>
      <c r="AB45" s="18">
        <f t="shared" si="13"/>
        <v>-387.22268829610039</v>
      </c>
      <c r="AC45" s="18">
        <f t="shared" si="13"/>
        <v>-397.39982598065762</v>
      </c>
      <c r="AD45" s="18">
        <f t="shared" si="13"/>
        <v>-406.95239884199691</v>
      </c>
      <c r="AE45" s="18">
        <f t="shared" si="13"/>
        <v>-419.51558283139093</v>
      </c>
      <c r="AF45" s="18">
        <f t="shared" si="13"/>
        <v>-429.65685771990684</v>
      </c>
      <c r="AG45" s="18">
        <f t="shared" si="13"/>
        <v>-9196.8445329111728</v>
      </c>
    </row>
    <row r="46" spans="1:33">
      <c r="A46" s="13"/>
      <c r="B46" s="446" t="s">
        <v>1</v>
      </c>
      <c r="C46" s="452" t="e">
        <f>XIRR(B45:W45,B8:W8)</f>
        <v>#NUM!</v>
      </c>
    </row>
    <row r="47" spans="1:33">
      <c r="A47" s="56"/>
      <c r="B47" s="448"/>
    </row>
    <row r="48" spans="1:33">
      <c r="A48" s="43" t="str">
        <f>CONCATENATE("With ",Assumptions!H24*100,"% Initial Project Cost")</f>
        <v>With 40% Initial Project Cost</v>
      </c>
    </row>
    <row r="49" spans="1:33" s="18" customFormat="1">
      <c r="A49" s="56" t="s">
        <v>354</v>
      </c>
      <c r="B49" s="18">
        <f>-Assumptions!C11*Assumptions!G48</f>
        <v>13291.631563196133</v>
      </c>
    </row>
    <row r="50" spans="1:33" s="18" customFormat="1">
      <c r="A50" s="56" t="s">
        <v>353</v>
      </c>
      <c r="B50" s="18">
        <f>+B21*Assumptions!$G$48</f>
        <v>0</v>
      </c>
      <c r="C50" s="18">
        <f>+C21*Assumptions!$G$48</f>
        <v>1925.3295502311917</v>
      </c>
      <c r="D50" s="18">
        <f>+D21*Assumptions!$G$48</f>
        <v>1354.5702390206525</v>
      </c>
      <c r="E50" s="18">
        <f>+E21*Assumptions!$G$48</f>
        <v>1313.0092760800808</v>
      </c>
      <c r="F50" s="18">
        <f>+F21*Assumptions!$G$48</f>
        <v>1304.5792937096703</v>
      </c>
      <c r="G50" s="18">
        <f>+G21*Assumptions!$G$48</f>
        <v>1304.9375548389971</v>
      </c>
      <c r="H50" s="18">
        <f>+H21*Assumptions!$G$48</f>
        <v>1296.2056228795354</v>
      </c>
      <c r="I50" s="18">
        <f>+I21*Assumptions!$G$48</f>
        <v>1290.2953798134167</v>
      </c>
      <c r="J50" s="18">
        <f>+J21*Assumptions!$G$48</f>
        <v>1281.296161100483</v>
      </c>
      <c r="K50" s="18">
        <f>+K21*Assumptions!$G$48</f>
        <v>1280.9122432817057</v>
      </c>
      <c r="L50" s="18">
        <f>+L21*Assumptions!$G$48</f>
        <v>1271.5757254888067</v>
      </c>
      <c r="M50" s="18">
        <f>+M21*Assumptions!$G$48</f>
        <v>1264.9906203704468</v>
      </c>
      <c r="N50" s="18">
        <f>+N21*Assumptions!$G$48</f>
        <v>1255.3553273990592</v>
      </c>
      <c r="O50" s="18">
        <f>+O21*Assumptions!$G$48</f>
        <v>1254.1425679428085</v>
      </c>
      <c r="P50" s="18">
        <f>+P21*Assumptions!$G$48</f>
        <v>1244.1303997522245</v>
      </c>
      <c r="Q50" s="18">
        <f>+Q21*Assumptions!$G$48</f>
        <v>1236.7912482638421</v>
      </c>
      <c r="R50" s="18">
        <f>+R21*Assumptions!$G$48</f>
        <v>1226.4450340747135</v>
      </c>
      <c r="S50" s="18">
        <f>+S21*Assumptions!$G$48</f>
        <v>1224.3064281233183</v>
      </c>
      <c r="T50" s="18">
        <f>+T21*Assumptions!$G$48</f>
        <v>1213.539022758534</v>
      </c>
      <c r="U50" s="18">
        <f>+U21*Assumptions!$G$48</f>
        <v>1205.3571570158929</v>
      </c>
      <c r="V50" s="18">
        <f>+V21*Assumptions!$G$48</f>
        <v>1194.2161917007143</v>
      </c>
      <c r="W50" s="18">
        <f>+W21*Assumptions!$G$48</f>
        <v>-557.67869344849532</v>
      </c>
      <c r="X50" s="18">
        <f>+X21*Assumptions!$G$48</f>
        <v>-825.85597625786977</v>
      </c>
      <c r="Y50" s="18">
        <f>+Y21*Assumptions!$G$48</f>
        <v>-358.30791898374446</v>
      </c>
      <c r="Z50" s="18">
        <f>+Z21*Assumptions!$G$48</f>
        <v>-366.86662335967048</v>
      </c>
      <c r="AA50" s="18">
        <f>+AA21*Assumptions!$G$48</f>
        <v>-378.13756601720161</v>
      </c>
      <c r="AB50" s="18">
        <f>+AB21*Assumptions!$G$48</f>
        <v>-387.22268829610039</v>
      </c>
      <c r="AC50" s="18">
        <f>+AC21*Assumptions!$G$48</f>
        <v>-397.39982598065762</v>
      </c>
      <c r="AD50" s="18">
        <f>+AD21*Assumptions!$G$48</f>
        <v>-406.95239884199691</v>
      </c>
      <c r="AE50" s="18">
        <f>+AE21*Assumptions!$G$48</f>
        <v>-419.51558283139093</v>
      </c>
      <c r="AF50" s="18">
        <f>+AF21*Assumptions!$G$48</f>
        <v>-429.65685771990684</v>
      </c>
      <c r="AG50" s="18">
        <f>+AG21*Assumptions!$G$48</f>
        <v>-82.178906540211756</v>
      </c>
    </row>
    <row r="51" spans="1:33" s="18" customFormat="1">
      <c r="A51" s="56" t="s">
        <v>121</v>
      </c>
      <c r="B51" s="308">
        <v>0</v>
      </c>
      <c r="C51" s="308">
        <v>0</v>
      </c>
      <c r="D51" s="308">
        <v>0</v>
      </c>
      <c r="E51" s="308">
        <v>0</v>
      </c>
      <c r="F51" s="308">
        <v>0</v>
      </c>
      <c r="G51" s="308">
        <v>0</v>
      </c>
      <c r="H51" s="308">
        <v>0</v>
      </c>
      <c r="I51" s="308">
        <v>0</v>
      </c>
      <c r="J51" s="308">
        <v>0</v>
      </c>
      <c r="K51" s="308">
        <v>0</v>
      </c>
      <c r="L51" s="308">
        <v>0</v>
      </c>
      <c r="M51" s="308">
        <v>0</v>
      </c>
      <c r="N51" s="308">
        <v>0</v>
      </c>
      <c r="O51" s="308">
        <v>0</v>
      </c>
      <c r="P51" s="308">
        <v>0</v>
      </c>
      <c r="Q51" s="308">
        <v>0</v>
      </c>
      <c r="R51" s="308">
        <v>0</v>
      </c>
      <c r="S51" s="308">
        <v>0</v>
      </c>
      <c r="T51" s="308">
        <v>0</v>
      </c>
      <c r="U51" s="308">
        <v>0</v>
      </c>
      <c r="V51" s="308">
        <v>0</v>
      </c>
      <c r="W51" s="308">
        <f>AG51</f>
        <v>22000</v>
      </c>
      <c r="X51" s="308">
        <v>0</v>
      </c>
      <c r="Y51" s="308">
        <v>0</v>
      </c>
      <c r="Z51" s="308">
        <v>0</v>
      </c>
      <c r="AA51" s="308">
        <v>0</v>
      </c>
      <c r="AB51" s="308">
        <v>0</v>
      </c>
      <c r="AC51" s="308">
        <v>0</v>
      </c>
      <c r="AD51" s="308">
        <v>0</v>
      </c>
      <c r="AE51" s="308">
        <v>0</v>
      </c>
      <c r="AF51" s="308">
        <v>0</v>
      </c>
      <c r="AG51" s="308">
        <f>Assumptions!H24*Assumptions!C61*Assumptions!G48</f>
        <v>22000</v>
      </c>
    </row>
    <row r="52" spans="1:33" s="18" customFormat="1">
      <c r="A52" s="56" t="s">
        <v>352</v>
      </c>
      <c r="B52" s="18">
        <f>SUM(B49:B51)</f>
        <v>13291.631563196133</v>
      </c>
      <c r="C52" s="18">
        <f t="shared" ref="C52:AG52" si="14">SUM(C49:C51)</f>
        <v>1925.3295502311917</v>
      </c>
      <c r="D52" s="18">
        <f t="shared" si="14"/>
        <v>1354.5702390206525</v>
      </c>
      <c r="E52" s="18">
        <f t="shared" si="14"/>
        <v>1313.0092760800808</v>
      </c>
      <c r="F52" s="18">
        <f t="shared" si="14"/>
        <v>1304.5792937096703</v>
      </c>
      <c r="G52" s="18">
        <f t="shared" si="14"/>
        <v>1304.9375548389971</v>
      </c>
      <c r="H52" s="18">
        <f t="shared" si="14"/>
        <v>1296.2056228795354</v>
      </c>
      <c r="I52" s="18">
        <f t="shared" si="14"/>
        <v>1290.2953798134167</v>
      </c>
      <c r="J52" s="18">
        <f t="shared" si="14"/>
        <v>1281.296161100483</v>
      </c>
      <c r="K52" s="18">
        <f t="shared" si="14"/>
        <v>1280.9122432817057</v>
      </c>
      <c r="L52" s="18">
        <f t="shared" si="14"/>
        <v>1271.5757254888067</v>
      </c>
      <c r="M52" s="18">
        <f t="shared" si="14"/>
        <v>1264.9906203704468</v>
      </c>
      <c r="N52" s="18">
        <f t="shared" si="14"/>
        <v>1255.3553273990592</v>
      </c>
      <c r="O52" s="18">
        <f t="shared" si="14"/>
        <v>1254.1425679428085</v>
      </c>
      <c r="P52" s="18">
        <f t="shared" si="14"/>
        <v>1244.1303997522245</v>
      </c>
      <c r="Q52" s="18">
        <f t="shared" si="14"/>
        <v>1236.7912482638421</v>
      </c>
      <c r="R52" s="18">
        <f t="shared" si="14"/>
        <v>1226.4450340747135</v>
      </c>
      <c r="S52" s="18">
        <f t="shared" si="14"/>
        <v>1224.3064281233183</v>
      </c>
      <c r="T52" s="18">
        <f t="shared" si="14"/>
        <v>1213.539022758534</v>
      </c>
      <c r="U52" s="18">
        <f t="shared" si="14"/>
        <v>1205.3571570158929</v>
      </c>
      <c r="V52" s="18">
        <f t="shared" si="14"/>
        <v>1194.2161917007143</v>
      </c>
      <c r="W52" s="18">
        <f t="shared" si="14"/>
        <v>21442.321306551505</v>
      </c>
      <c r="X52" s="18">
        <f t="shared" si="14"/>
        <v>-825.85597625786977</v>
      </c>
      <c r="Y52" s="18">
        <f t="shared" si="14"/>
        <v>-358.30791898374446</v>
      </c>
      <c r="Z52" s="18">
        <f t="shared" si="14"/>
        <v>-366.86662335967048</v>
      </c>
      <c r="AA52" s="18">
        <f t="shared" si="14"/>
        <v>-378.13756601720161</v>
      </c>
      <c r="AB52" s="18">
        <f t="shared" si="14"/>
        <v>-387.22268829610039</v>
      </c>
      <c r="AC52" s="18">
        <f t="shared" si="14"/>
        <v>-397.39982598065762</v>
      </c>
      <c r="AD52" s="18">
        <f t="shared" si="14"/>
        <v>-406.95239884199691</v>
      </c>
      <c r="AE52" s="18">
        <f t="shared" si="14"/>
        <v>-419.51558283139093</v>
      </c>
      <c r="AF52" s="18">
        <f t="shared" si="14"/>
        <v>-429.65685771990684</v>
      </c>
      <c r="AG52" s="18">
        <f t="shared" si="14"/>
        <v>21917.821093459788</v>
      </c>
    </row>
    <row r="53" spans="1:33">
      <c r="A53" s="13"/>
      <c r="B53" s="446" t="s">
        <v>1</v>
      </c>
      <c r="C53" s="452" t="e">
        <f>XIRR(B52:W52,B8:W8)</f>
        <v>#NUM!</v>
      </c>
    </row>
    <row r="54" spans="1:33">
      <c r="A54" s="56"/>
      <c r="B54" s="448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354</v>
      </c>
      <c r="B56" s="18">
        <f>-Assumptions!C11*Assumptions!G48</f>
        <v>13291.631563196133</v>
      </c>
    </row>
    <row r="57" spans="1:33" s="18" customFormat="1">
      <c r="A57" s="56" t="s">
        <v>353</v>
      </c>
      <c r="B57" s="449">
        <f>B21*Assumptions!$G$48</f>
        <v>0</v>
      </c>
      <c r="C57" s="18">
        <f>C21*Assumptions!$G$48</f>
        <v>1925.3295502311917</v>
      </c>
      <c r="D57" s="18">
        <f>D21*Assumptions!$G$48</f>
        <v>1354.5702390206525</v>
      </c>
      <c r="E57" s="18">
        <f>E21*Assumptions!$G$48</f>
        <v>1313.0092760800808</v>
      </c>
      <c r="F57" s="18">
        <f>F21*Assumptions!$G$48</f>
        <v>1304.5792937096703</v>
      </c>
      <c r="G57" s="18">
        <f>G21*Assumptions!$G$48</f>
        <v>1304.9375548389971</v>
      </c>
      <c r="H57" s="18">
        <f>H21*Assumptions!$G$48</f>
        <v>1296.2056228795354</v>
      </c>
      <c r="I57" s="18">
        <f>I21*Assumptions!$G$48</f>
        <v>1290.2953798134167</v>
      </c>
      <c r="J57" s="18">
        <f>J21*Assumptions!$G$48</f>
        <v>1281.296161100483</v>
      </c>
      <c r="K57" s="18">
        <f>K21*Assumptions!$G$48</f>
        <v>1280.9122432817057</v>
      </c>
      <c r="L57" s="18">
        <f>L21*Assumptions!$G$48</f>
        <v>1271.5757254888067</v>
      </c>
      <c r="M57" s="18">
        <f>M21*Assumptions!$G$48</f>
        <v>1264.9906203704468</v>
      </c>
      <c r="N57" s="18">
        <f>N21*Assumptions!$G$48</f>
        <v>1255.3553273990592</v>
      </c>
      <c r="O57" s="18">
        <f>O21*Assumptions!$G$48</f>
        <v>1254.1425679428085</v>
      </c>
      <c r="P57" s="18">
        <f>P21*Assumptions!$G$48</f>
        <v>1244.1303997522245</v>
      </c>
      <c r="Q57" s="18">
        <f>Q21*Assumptions!$G$48</f>
        <v>1236.7912482638421</v>
      </c>
      <c r="R57" s="18">
        <f>R21*Assumptions!$G$48</f>
        <v>1226.4450340747135</v>
      </c>
      <c r="S57" s="18">
        <f>S21*Assumptions!$G$48</f>
        <v>1224.3064281233183</v>
      </c>
      <c r="T57" s="18">
        <f>T21*Assumptions!$G$48</f>
        <v>1213.539022758534</v>
      </c>
      <c r="U57" s="18">
        <f>U21*Assumptions!$G$48</f>
        <v>1205.3571570158929</v>
      </c>
      <c r="V57" s="18">
        <f>V21*Assumptions!$G$48</f>
        <v>1194.2161917007143</v>
      </c>
      <c r="W57" s="18">
        <f>W21*Assumptions!$G$48</f>
        <v>-557.67869344849532</v>
      </c>
      <c r="X57" s="18">
        <f>X21*Assumptions!$G$48</f>
        <v>-825.85597625786977</v>
      </c>
      <c r="Y57" s="18">
        <f>Y21*Assumptions!$G$48</f>
        <v>-358.30791898374446</v>
      </c>
      <c r="Z57" s="18">
        <f>Z21*Assumptions!$G$48</f>
        <v>-366.86662335967048</v>
      </c>
      <c r="AA57" s="18">
        <f>AA21*Assumptions!$G$48</f>
        <v>-378.13756601720161</v>
      </c>
      <c r="AB57" s="18">
        <f>AB21*Assumptions!$G$48</f>
        <v>-387.22268829610039</v>
      </c>
      <c r="AC57" s="18">
        <f>AC21*Assumptions!$G$48</f>
        <v>-397.39982598065762</v>
      </c>
      <c r="AD57" s="18">
        <f>AD21*Assumptions!$G$48</f>
        <v>-406.95239884199691</v>
      </c>
      <c r="AE57" s="18">
        <f>AE21*Assumptions!$G$48</f>
        <v>-419.51558283139093</v>
      </c>
      <c r="AF57" s="18">
        <f>AF21*Assumptions!$G$48</f>
        <v>-429.65685771990684</v>
      </c>
      <c r="AG57" s="18">
        <f>AG21*Assumptions!$G$48</f>
        <v>-82.178906540211756</v>
      </c>
    </row>
    <row r="58" spans="1:33" s="18" customFormat="1">
      <c r="A58" s="56" t="s">
        <v>121</v>
      </c>
      <c r="B58" s="308">
        <v>0</v>
      </c>
      <c r="C58" s="308">
        <v>0</v>
      </c>
      <c r="D58" s="308">
        <v>0</v>
      </c>
      <c r="E58" s="308">
        <v>0</v>
      </c>
      <c r="F58" s="308">
        <v>0</v>
      </c>
      <c r="G58" s="308">
        <v>0</v>
      </c>
      <c r="H58" s="308">
        <v>0</v>
      </c>
      <c r="I58" s="308">
        <v>0</v>
      </c>
      <c r="J58" s="308">
        <v>0</v>
      </c>
      <c r="K58" s="308">
        <v>0</v>
      </c>
      <c r="L58" s="308">
        <v>0</v>
      </c>
      <c r="M58" s="308">
        <v>0</v>
      </c>
      <c r="N58" s="308">
        <v>0</v>
      </c>
      <c r="O58" s="308">
        <v>0</v>
      </c>
      <c r="P58" s="308">
        <v>0</v>
      </c>
      <c r="Q58" s="308">
        <v>0</v>
      </c>
      <c r="R58" s="308">
        <v>0</v>
      </c>
      <c r="S58" s="308">
        <v>0</v>
      </c>
      <c r="T58" s="308">
        <v>0</v>
      </c>
      <c r="U58" s="308">
        <v>0</v>
      </c>
      <c r="V58" s="308">
        <v>0</v>
      </c>
      <c r="W58" s="308">
        <f>AG58</f>
        <v>18400</v>
      </c>
      <c r="X58" s="308">
        <v>0</v>
      </c>
      <c r="Y58" s="308">
        <v>0</v>
      </c>
      <c r="Z58" s="308">
        <v>0</v>
      </c>
      <c r="AA58" s="308">
        <v>0</v>
      </c>
      <c r="AB58" s="308">
        <v>0</v>
      </c>
      <c r="AC58" s="308">
        <v>0</v>
      </c>
      <c r="AD58" s="308">
        <v>0</v>
      </c>
      <c r="AE58" s="308">
        <v>0</v>
      </c>
      <c r="AF58" s="308">
        <v>0</v>
      </c>
      <c r="AG58" s="308">
        <f>Assumptions!H25*Assumptions!H68*Assumptions!G48</f>
        <v>18400</v>
      </c>
    </row>
    <row r="59" spans="1:33" s="18" customFormat="1" ht="12" customHeight="1">
      <c r="A59" s="56" t="s">
        <v>352</v>
      </c>
      <c r="B59" s="18">
        <f>SUM(B56:B58)</f>
        <v>13291.631563196133</v>
      </c>
      <c r="C59" s="18">
        <f t="shared" ref="C59:AG59" si="15">SUM(C56:C58)</f>
        <v>1925.3295502311917</v>
      </c>
      <c r="D59" s="18">
        <f t="shared" si="15"/>
        <v>1354.5702390206525</v>
      </c>
      <c r="E59" s="18">
        <f t="shared" si="15"/>
        <v>1313.0092760800808</v>
      </c>
      <c r="F59" s="18">
        <f t="shared" si="15"/>
        <v>1304.5792937096703</v>
      </c>
      <c r="G59" s="18">
        <f t="shared" si="15"/>
        <v>1304.9375548389971</v>
      </c>
      <c r="H59" s="18">
        <f t="shared" si="15"/>
        <v>1296.2056228795354</v>
      </c>
      <c r="I59" s="18">
        <f t="shared" si="15"/>
        <v>1290.2953798134167</v>
      </c>
      <c r="J59" s="18">
        <f t="shared" si="15"/>
        <v>1281.296161100483</v>
      </c>
      <c r="K59" s="18">
        <f t="shared" si="15"/>
        <v>1280.9122432817057</v>
      </c>
      <c r="L59" s="18">
        <f t="shared" si="15"/>
        <v>1271.5757254888067</v>
      </c>
      <c r="M59" s="18">
        <f t="shared" si="15"/>
        <v>1264.9906203704468</v>
      </c>
      <c r="N59" s="18">
        <f t="shared" si="15"/>
        <v>1255.3553273990592</v>
      </c>
      <c r="O59" s="18">
        <f t="shared" si="15"/>
        <v>1254.1425679428085</v>
      </c>
      <c r="P59" s="18">
        <f t="shared" si="15"/>
        <v>1244.1303997522245</v>
      </c>
      <c r="Q59" s="18">
        <f t="shared" si="15"/>
        <v>1236.7912482638421</v>
      </c>
      <c r="R59" s="18">
        <f t="shared" si="15"/>
        <v>1226.4450340747135</v>
      </c>
      <c r="S59" s="18">
        <f t="shared" si="15"/>
        <v>1224.3064281233183</v>
      </c>
      <c r="T59" s="18">
        <f t="shared" si="15"/>
        <v>1213.539022758534</v>
      </c>
      <c r="U59" s="18">
        <f t="shared" si="15"/>
        <v>1205.3571570158929</v>
      </c>
      <c r="V59" s="18">
        <f t="shared" si="15"/>
        <v>1194.2161917007143</v>
      </c>
      <c r="W59" s="18">
        <f t="shared" si="15"/>
        <v>17842.321306551505</v>
      </c>
      <c r="X59" s="18">
        <f t="shared" si="15"/>
        <v>-825.85597625786977</v>
      </c>
      <c r="Y59" s="18">
        <f t="shared" si="15"/>
        <v>-358.30791898374446</v>
      </c>
      <c r="Z59" s="18">
        <f t="shared" si="15"/>
        <v>-366.86662335967048</v>
      </c>
      <c r="AA59" s="18">
        <f t="shared" si="15"/>
        <v>-378.13756601720161</v>
      </c>
      <c r="AB59" s="18">
        <f t="shared" si="15"/>
        <v>-387.22268829610039</v>
      </c>
      <c r="AC59" s="18">
        <f t="shared" si="15"/>
        <v>-397.39982598065762</v>
      </c>
      <c r="AD59" s="18">
        <f t="shared" si="15"/>
        <v>-406.95239884199691</v>
      </c>
      <c r="AE59" s="18">
        <f t="shared" si="15"/>
        <v>-419.51558283139093</v>
      </c>
      <c r="AF59" s="18">
        <f t="shared" si="15"/>
        <v>-429.65685771990684</v>
      </c>
      <c r="AG59" s="18">
        <f t="shared" si="15"/>
        <v>18317.821093459788</v>
      </c>
    </row>
    <row r="60" spans="1:33">
      <c r="A60" s="13"/>
      <c r="B60" s="446" t="s">
        <v>1</v>
      </c>
      <c r="C60" s="452" t="e">
        <f>XIRR(B59:W59,B8:W8)</f>
        <v>#NUM!</v>
      </c>
    </row>
    <row r="61" spans="1:33">
      <c r="A61" s="56"/>
      <c r="B61" s="448"/>
    </row>
    <row r="62" spans="1:33">
      <c r="A62" s="45"/>
    </row>
  </sheetData>
  <pageMargins left="0.75" right="0.75" top="1" bottom="1" header="0.5" footer="0.5"/>
  <pageSetup scale="6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7" zoomScale="75" zoomScaleNormal="75" workbookViewId="0">
      <selection activeCell="E21" sqref="E2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UAE-Lowell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69" t="s">
        <v>396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7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5" thickBot="1">
      <c r="B8" s="209"/>
      <c r="C8" s="209"/>
      <c r="D8" s="512">
        <f>YEAR(Assumptions!H17)</f>
        <v>2001</v>
      </c>
      <c r="E8" s="512">
        <f t="shared" ref="E8:X8" si="2">D8+1</f>
        <v>2002</v>
      </c>
      <c r="F8" s="512">
        <f t="shared" si="2"/>
        <v>2003</v>
      </c>
      <c r="G8" s="512">
        <f t="shared" si="2"/>
        <v>2004</v>
      </c>
      <c r="H8" s="512">
        <f t="shared" si="2"/>
        <v>2005</v>
      </c>
      <c r="I8" s="512">
        <f t="shared" si="2"/>
        <v>2006</v>
      </c>
      <c r="J8" s="512">
        <f t="shared" si="2"/>
        <v>2007</v>
      </c>
      <c r="K8" s="512">
        <f t="shared" si="2"/>
        <v>2008</v>
      </c>
      <c r="L8" s="512">
        <f t="shared" si="2"/>
        <v>2009</v>
      </c>
      <c r="M8" s="512">
        <f t="shared" si="2"/>
        <v>2010</v>
      </c>
      <c r="N8" s="512">
        <f t="shared" si="2"/>
        <v>2011</v>
      </c>
      <c r="O8" s="512">
        <f t="shared" si="2"/>
        <v>2012</v>
      </c>
      <c r="P8" s="512">
        <f t="shared" si="2"/>
        <v>2013</v>
      </c>
      <c r="Q8" s="512">
        <f t="shared" si="2"/>
        <v>2014</v>
      </c>
      <c r="R8" s="512">
        <f t="shared" si="2"/>
        <v>2015</v>
      </c>
      <c r="S8" s="512">
        <f t="shared" si="2"/>
        <v>2016</v>
      </c>
      <c r="T8" s="512">
        <f t="shared" si="2"/>
        <v>2017</v>
      </c>
      <c r="U8" s="512">
        <f t="shared" si="2"/>
        <v>2018</v>
      </c>
      <c r="V8" s="512">
        <f t="shared" si="2"/>
        <v>2019</v>
      </c>
      <c r="W8" s="512">
        <f t="shared" si="2"/>
        <v>2020</v>
      </c>
      <c r="X8" s="512">
        <f t="shared" si="2"/>
        <v>2021</v>
      </c>
      <c r="Y8" s="512">
        <f>X8+1</f>
        <v>2022</v>
      </c>
      <c r="Z8" s="512">
        <f t="shared" ref="Z8:AG8" si="3">Y8+1</f>
        <v>2023</v>
      </c>
      <c r="AA8" s="512">
        <f t="shared" si="3"/>
        <v>2024</v>
      </c>
      <c r="AB8" s="512">
        <f t="shared" si="3"/>
        <v>2025</v>
      </c>
      <c r="AC8" s="512">
        <f t="shared" si="3"/>
        <v>2026</v>
      </c>
      <c r="AD8" s="512">
        <f t="shared" si="3"/>
        <v>2027</v>
      </c>
      <c r="AE8" s="512">
        <f t="shared" si="3"/>
        <v>2028</v>
      </c>
      <c r="AF8" s="512">
        <f t="shared" si="3"/>
        <v>2029</v>
      </c>
      <c r="AG8" s="512">
        <f t="shared" si="3"/>
        <v>2030</v>
      </c>
      <c r="AH8" s="512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9" t="s">
        <v>409</v>
      </c>
      <c r="C10" s="13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C10" s="356"/>
      <c r="AD10" s="356"/>
      <c r="AE10" s="356"/>
      <c r="AF10" s="356"/>
      <c r="AG10" s="356"/>
      <c r="AH10" s="356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0"/>
      <c r="C11" s="13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C11" s="356"/>
      <c r="AD11" s="356"/>
      <c r="AE11" s="356"/>
      <c r="AF11" s="356"/>
      <c r="AG11" s="356"/>
      <c r="AH11" s="356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299</v>
      </c>
      <c r="C12" s="13"/>
      <c r="D12" s="491">
        <f>Assumptions!$H$54</f>
        <v>6</v>
      </c>
      <c r="E12" s="491">
        <f>Assumptions!$H$54</f>
        <v>6</v>
      </c>
      <c r="F12" s="491">
        <f>Assumptions!$H$54</f>
        <v>6</v>
      </c>
      <c r="G12" s="491">
        <f>Assumptions!$H$54</f>
        <v>6</v>
      </c>
      <c r="H12" s="491">
        <f>Assumptions!$H$54</f>
        <v>6</v>
      </c>
      <c r="I12" s="491">
        <f>Assumptions!$H$54</f>
        <v>6</v>
      </c>
      <c r="J12" s="491">
        <f>Assumptions!$H$54</f>
        <v>6</v>
      </c>
      <c r="K12" s="491">
        <f>Assumptions!$H$54</f>
        <v>6</v>
      </c>
      <c r="L12" s="491">
        <f>Assumptions!$H$54</f>
        <v>6</v>
      </c>
      <c r="M12" s="491">
        <f>Assumptions!$H$54</f>
        <v>6</v>
      </c>
      <c r="N12" s="491">
        <f>Assumptions!$H$54</f>
        <v>6</v>
      </c>
      <c r="O12" s="491">
        <f>Assumptions!$H$54</f>
        <v>6</v>
      </c>
      <c r="P12" s="491">
        <f>Assumptions!$H$54</f>
        <v>6</v>
      </c>
      <c r="Q12" s="491">
        <f>Assumptions!$H$54</f>
        <v>6</v>
      </c>
      <c r="R12" s="491">
        <f>Assumptions!$H$54</f>
        <v>6</v>
      </c>
      <c r="S12" s="491">
        <f>Assumptions!$H$54</f>
        <v>6</v>
      </c>
      <c r="T12" s="491">
        <f>Assumptions!$H$54</f>
        <v>6</v>
      </c>
      <c r="U12" s="491">
        <f>Assumptions!$H$54</f>
        <v>6</v>
      </c>
      <c r="V12" s="491">
        <f>Assumptions!$H$54</f>
        <v>6</v>
      </c>
      <c r="W12" s="491">
        <f>Assumptions!$H$54</f>
        <v>6</v>
      </c>
      <c r="X12" s="491">
        <f>Assumptions!$H$54</f>
        <v>6</v>
      </c>
      <c r="Y12" s="491">
        <f>Assumptions!$H$54</f>
        <v>6</v>
      </c>
      <c r="Z12" s="491">
        <f>Assumptions!$H$54</f>
        <v>6</v>
      </c>
      <c r="AA12" s="491">
        <f>Assumptions!$H$54</f>
        <v>6</v>
      </c>
      <c r="AB12" s="491">
        <f>Assumptions!$H$54</f>
        <v>6</v>
      </c>
      <c r="AC12" s="491">
        <f>Assumptions!$H$54</f>
        <v>6</v>
      </c>
      <c r="AD12" s="491">
        <f>Assumptions!$H$54</f>
        <v>6</v>
      </c>
      <c r="AE12" s="491">
        <f>Assumptions!$H$54</f>
        <v>6</v>
      </c>
      <c r="AF12" s="491">
        <f>Assumptions!$H$54</f>
        <v>6</v>
      </c>
      <c r="AG12" s="491">
        <f>Assumptions!$H$54</f>
        <v>6</v>
      </c>
      <c r="AH12" s="491">
        <f>Assumptions!$H$54</f>
        <v>6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56"/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  <c r="X13" s="356"/>
      <c r="Y13" s="356"/>
      <c r="Z13" s="356"/>
      <c r="AA13" s="356"/>
      <c r="AB13" s="356"/>
      <c r="AC13" s="356"/>
      <c r="AD13" s="356"/>
      <c r="AE13" s="356"/>
      <c r="AF13" s="356"/>
      <c r="AG13" s="356"/>
      <c r="AH13" s="356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308</v>
      </c>
      <c r="C14" s="13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6"/>
      <c r="AB14" s="356"/>
      <c r="AC14" s="356"/>
      <c r="AD14" s="356"/>
      <c r="AE14" s="356"/>
      <c r="AF14" s="356"/>
      <c r="AG14" s="356"/>
      <c r="AH14" s="356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238</v>
      </c>
      <c r="C15" s="12"/>
      <c r="D15" s="492">
        <v>5.4933333333333332</v>
      </c>
      <c r="E15" s="492">
        <v>5.6581333333333328</v>
      </c>
      <c r="F15" s="492">
        <v>5.6457561666666676</v>
      </c>
      <c r="G15" s="492">
        <v>5.7213364508333333</v>
      </c>
      <c r="H15" s="492">
        <v>5.6997641986416658</v>
      </c>
      <c r="I15" s="492">
        <v>5.7712527665568336</v>
      </c>
      <c r="J15" s="492">
        <v>5.8419008607681322</v>
      </c>
      <c r="K15" s="492">
        <v>5.9115937131422074</v>
      </c>
      <c r="L15" s="492">
        <v>6.088941524536474</v>
      </c>
      <c r="M15" s="492">
        <v>6.1596167386605574</v>
      </c>
      <c r="N15" s="492">
        <v>6.3444052408203753</v>
      </c>
      <c r="O15" s="492">
        <v>6.4159239908078041</v>
      </c>
      <c r="P15" s="492">
        <v>6.6084017105320383</v>
      </c>
      <c r="Q15" s="492">
        <v>6.680604618110074</v>
      </c>
      <c r="R15" s="492">
        <v>6.7511921386033125</v>
      </c>
      <c r="S15" s="492">
        <v>6.8200023661698452</v>
      </c>
      <c r="T15" s="492">
        <v>6.8868651344656273</v>
      </c>
      <c r="U15" s="492">
        <v>6.951601666729605</v>
      </c>
      <c r="V15" s="492">
        <v>7.014024212308402</v>
      </c>
      <c r="W15" s="492">
        <v>7.0739356691218687</v>
      </c>
      <c r="X15" s="492">
        <v>7.1311291915530655</v>
      </c>
      <c r="Y15" s="492">
        <v>7.1853877832279265</v>
      </c>
      <c r="Z15" s="492">
        <v>7.2396463749027831</v>
      </c>
      <c r="AA15" s="492">
        <v>7.2939049665776494</v>
      </c>
      <c r="AB15" s="492">
        <v>7.3481635582525087</v>
      </c>
      <c r="AC15" s="492">
        <v>7.402422149927367</v>
      </c>
      <c r="AD15" s="492">
        <v>7.4566807416022245</v>
      </c>
      <c r="AE15" s="492">
        <v>7.5109393332770908</v>
      </c>
      <c r="AF15" s="492">
        <v>7.5651979249519501</v>
      </c>
      <c r="AG15" s="492">
        <v>7.6194565166268085</v>
      </c>
      <c r="AH15" s="492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239</v>
      </c>
      <c r="C16" s="12"/>
      <c r="D16" s="492">
        <v>4.3775000000000004</v>
      </c>
      <c r="E16" s="492">
        <v>4.5088249999999999</v>
      </c>
      <c r="F16" s="492">
        <v>4.7351503333333334</v>
      </c>
      <c r="G16" s="492">
        <v>4.8772048433333328</v>
      </c>
      <c r="H16" s="492">
        <v>5.023520988633333</v>
      </c>
      <c r="I16" s="492">
        <v>5.1742266182923329</v>
      </c>
      <c r="J16" s="492">
        <v>5.3294534168411039</v>
      </c>
      <c r="K16" s="492">
        <v>5.2782086724483994</v>
      </c>
      <c r="L16" s="492">
        <v>5.2190927353169778</v>
      </c>
      <c r="M16" s="492">
        <v>5.0396864225404565</v>
      </c>
      <c r="N16" s="492">
        <v>4.9601713700959298</v>
      </c>
      <c r="O16" s="492">
        <v>4.8713496967244438</v>
      </c>
      <c r="P16" s="492">
        <v>4.8951123781718797</v>
      </c>
      <c r="Q16" s="492">
        <v>4.9159166057791106</v>
      </c>
      <c r="R16" s="492">
        <v>4.8037328678523572</v>
      </c>
      <c r="S16" s="492">
        <v>4.8141193172963614</v>
      </c>
      <c r="T16" s="492">
        <v>4.8208055941259396</v>
      </c>
      <c r="U16" s="492">
        <v>4.9654297619497179</v>
      </c>
      <c r="V16" s="492">
        <v>5.114392654808209</v>
      </c>
      <c r="W16" s="492">
        <v>5.117315164896671</v>
      </c>
      <c r="X16" s="492">
        <v>5.27083461984357</v>
      </c>
      <c r="Y16" s="492">
        <v>5.4289596584388775</v>
      </c>
      <c r="Z16" s="492">
        <v>5.5870846970341832</v>
      </c>
      <c r="AA16" s="492">
        <v>5.7452097356294916</v>
      </c>
      <c r="AB16" s="492">
        <v>5.9033347742247999</v>
      </c>
      <c r="AC16" s="492">
        <v>6.0614598128201083</v>
      </c>
      <c r="AD16" s="492">
        <v>6.2195848514154086</v>
      </c>
      <c r="AE16" s="492">
        <v>6.377709890010717</v>
      </c>
      <c r="AF16" s="492">
        <v>6.5358349286060253</v>
      </c>
      <c r="AG16" s="492">
        <v>6.6939599672013337</v>
      </c>
      <c r="AH16" s="492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236</v>
      </c>
      <c r="C17" s="12"/>
      <c r="D17" s="493">
        <v>0</v>
      </c>
      <c r="E17" s="493">
        <v>0</v>
      </c>
      <c r="F17" s="493">
        <v>0</v>
      </c>
      <c r="G17" s="493">
        <v>0</v>
      </c>
      <c r="H17" s="493">
        <v>0</v>
      </c>
      <c r="I17" s="493">
        <v>0</v>
      </c>
      <c r="J17" s="493">
        <v>0</v>
      </c>
      <c r="K17" s="493">
        <v>0</v>
      </c>
      <c r="L17" s="493">
        <v>0</v>
      </c>
      <c r="M17" s="493">
        <v>0</v>
      </c>
      <c r="N17" s="493">
        <v>0</v>
      </c>
      <c r="O17" s="493">
        <v>0</v>
      </c>
      <c r="P17" s="493">
        <v>0</v>
      </c>
      <c r="Q17" s="493">
        <v>0</v>
      </c>
      <c r="R17" s="493">
        <v>0</v>
      </c>
      <c r="S17" s="493">
        <v>0</v>
      </c>
      <c r="T17" s="493">
        <v>0</v>
      </c>
      <c r="U17" s="493">
        <v>0</v>
      </c>
      <c r="V17" s="493">
        <v>0</v>
      </c>
      <c r="W17" s="493">
        <v>0</v>
      </c>
      <c r="X17" s="493">
        <v>0</v>
      </c>
      <c r="Y17" s="493">
        <v>0</v>
      </c>
      <c r="Z17" s="493">
        <v>0</v>
      </c>
      <c r="AA17" s="493">
        <v>0</v>
      </c>
      <c r="AB17" s="493">
        <v>0</v>
      </c>
      <c r="AC17" s="493">
        <v>0</v>
      </c>
      <c r="AD17" s="493">
        <v>0</v>
      </c>
      <c r="AE17" s="493">
        <v>0</v>
      </c>
      <c r="AF17" s="493">
        <v>0</v>
      </c>
      <c r="AG17" s="493">
        <v>0</v>
      </c>
      <c r="AH17" s="493">
        <v>0</v>
      </c>
      <c r="AI17" s="494"/>
      <c r="AJ17" s="494"/>
      <c r="AK17" s="494"/>
      <c r="AL17" s="494"/>
      <c r="AM17" s="494"/>
      <c r="AN17" s="494"/>
      <c r="AO17" s="494"/>
      <c r="AP17" s="494"/>
      <c r="AQ17" s="494"/>
      <c r="AR17" s="494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95">
        <v>0</v>
      </c>
      <c r="E18" s="495">
        <v>0</v>
      </c>
      <c r="F18" s="495">
        <v>0</v>
      </c>
      <c r="G18" s="495">
        <v>0</v>
      </c>
      <c r="H18" s="495">
        <v>0</v>
      </c>
      <c r="I18" s="495">
        <v>0</v>
      </c>
      <c r="J18" s="495">
        <v>0</v>
      </c>
      <c r="K18" s="495">
        <v>0</v>
      </c>
      <c r="L18" s="495">
        <v>0</v>
      </c>
      <c r="M18" s="495">
        <v>0</v>
      </c>
      <c r="N18" s="495">
        <v>0</v>
      </c>
      <c r="O18" s="495">
        <v>0</v>
      </c>
      <c r="P18" s="495">
        <v>0</v>
      </c>
      <c r="Q18" s="495">
        <v>0</v>
      </c>
      <c r="R18" s="495">
        <v>0</v>
      </c>
      <c r="S18" s="495">
        <v>0</v>
      </c>
      <c r="T18" s="495">
        <v>0</v>
      </c>
      <c r="U18" s="495">
        <v>0</v>
      </c>
      <c r="V18" s="495">
        <v>0</v>
      </c>
      <c r="W18" s="495">
        <v>0</v>
      </c>
      <c r="X18" s="495">
        <v>0</v>
      </c>
      <c r="Y18" s="495">
        <v>0</v>
      </c>
      <c r="Z18" s="495">
        <v>0</v>
      </c>
      <c r="AA18" s="495">
        <v>0</v>
      </c>
      <c r="AB18" s="495">
        <v>0</v>
      </c>
      <c r="AC18" s="495">
        <v>0</v>
      </c>
      <c r="AD18" s="495">
        <v>0</v>
      </c>
      <c r="AE18" s="495">
        <v>0</v>
      </c>
      <c r="AF18" s="495">
        <v>0</v>
      </c>
      <c r="AG18" s="495">
        <v>0</v>
      </c>
      <c r="AH18" s="495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6">
        <v>1</v>
      </c>
      <c r="B19" s="13" t="s">
        <v>118</v>
      </c>
      <c r="C19" s="497"/>
      <c r="D19" s="498">
        <f t="shared" ref="D19:AH19" si="4">CHOOSE($A$19,D15,D16,D17,D18)</f>
        <v>5.4933333333333332</v>
      </c>
      <c r="E19" s="498">
        <f t="shared" si="4"/>
        <v>5.6581333333333328</v>
      </c>
      <c r="F19" s="498">
        <f t="shared" si="4"/>
        <v>5.6457561666666676</v>
      </c>
      <c r="G19" s="498">
        <f t="shared" si="4"/>
        <v>5.7213364508333333</v>
      </c>
      <c r="H19" s="498">
        <f t="shared" si="4"/>
        <v>5.6997641986416658</v>
      </c>
      <c r="I19" s="498">
        <f t="shared" si="4"/>
        <v>5.7712527665568336</v>
      </c>
      <c r="J19" s="498">
        <f t="shared" si="4"/>
        <v>5.8419008607681322</v>
      </c>
      <c r="K19" s="498">
        <f t="shared" si="4"/>
        <v>5.9115937131422074</v>
      </c>
      <c r="L19" s="498">
        <f t="shared" si="4"/>
        <v>6.088941524536474</v>
      </c>
      <c r="M19" s="498">
        <f t="shared" si="4"/>
        <v>6.1596167386605574</v>
      </c>
      <c r="N19" s="498">
        <f t="shared" si="4"/>
        <v>6.3444052408203753</v>
      </c>
      <c r="O19" s="498">
        <f t="shared" si="4"/>
        <v>6.4159239908078041</v>
      </c>
      <c r="P19" s="498">
        <f t="shared" si="4"/>
        <v>6.6084017105320383</v>
      </c>
      <c r="Q19" s="498">
        <f t="shared" si="4"/>
        <v>6.680604618110074</v>
      </c>
      <c r="R19" s="498">
        <f t="shared" si="4"/>
        <v>6.7511921386033125</v>
      </c>
      <c r="S19" s="498">
        <f t="shared" si="4"/>
        <v>6.8200023661698452</v>
      </c>
      <c r="T19" s="498">
        <f t="shared" si="4"/>
        <v>6.8868651344656273</v>
      </c>
      <c r="U19" s="498">
        <f t="shared" si="4"/>
        <v>6.951601666729605</v>
      </c>
      <c r="V19" s="498">
        <f t="shared" si="4"/>
        <v>7.014024212308402</v>
      </c>
      <c r="W19" s="498">
        <f t="shared" si="4"/>
        <v>7.0739356691218687</v>
      </c>
      <c r="X19" s="498">
        <f t="shared" si="4"/>
        <v>7.1311291915530655</v>
      </c>
      <c r="Y19" s="498">
        <f t="shared" si="4"/>
        <v>7.1853877832279265</v>
      </c>
      <c r="Z19" s="498">
        <f t="shared" si="4"/>
        <v>7.2396463749027831</v>
      </c>
      <c r="AA19" s="498">
        <f t="shared" si="4"/>
        <v>7.2939049665776494</v>
      </c>
      <c r="AB19" s="498">
        <f t="shared" si="4"/>
        <v>7.3481635582525087</v>
      </c>
      <c r="AC19" s="498">
        <f t="shared" si="4"/>
        <v>7.402422149927367</v>
      </c>
      <c r="AD19" s="498">
        <f t="shared" si="4"/>
        <v>7.4566807416022245</v>
      </c>
      <c r="AE19" s="498">
        <f t="shared" si="4"/>
        <v>7.5109393332770908</v>
      </c>
      <c r="AF19" s="498">
        <f t="shared" si="4"/>
        <v>7.5651979249519501</v>
      </c>
      <c r="AG19" s="498">
        <f t="shared" si="4"/>
        <v>7.6194565166268085</v>
      </c>
      <c r="AH19" s="498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7"/>
      <c r="D20" s="499"/>
      <c r="E20" s="499"/>
      <c r="F20" s="499"/>
      <c r="G20" s="499"/>
      <c r="H20" s="499"/>
      <c r="I20" s="499"/>
      <c r="J20" s="499"/>
      <c r="K20" s="499"/>
      <c r="L20" s="499"/>
      <c r="M20" s="499"/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500"/>
      <c r="Z20" s="501"/>
      <c r="AA20" s="501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302</v>
      </c>
      <c r="C21" s="497"/>
      <c r="D21" s="502">
        <f>IF(AND(C7&lt;$D$7+Assumptions!$H$53,D7&lt;$D$7+Assumptions!$H$53),D12,IF(AND(C7&lt;$D$7+Assumptions!$H$53,D7&gt;$D$7+Assumptions!$H$53),D12*(1-$D$7)+D19*$D$7,D19))</f>
        <v>6</v>
      </c>
      <c r="E21" s="503">
        <f>IF(AND(D7&lt;$D$7+Assumptions!$H$53,E7&lt;$D$7+Assumptions!$H$53),E12,IF(AND(D7&lt;$D$7+Assumptions!$H$53,E7&gt;=$D$7+Assumptions!$H$53),E12*(1-$D$7)+E19*$D$7,E19))</f>
        <v>6</v>
      </c>
      <c r="F21" s="503">
        <f>IF(AND(E7&lt;$D$7+Assumptions!$H$53,F7&lt;$D$7+Assumptions!$H$53),F12,IF(AND(E7&lt;$D$7+Assumptions!$H$53,F7&gt;=$D$7+Assumptions!$H$53),F12*(1-$D$7)+F19*$D$7,F19))</f>
        <v>6</v>
      </c>
      <c r="G21" s="503">
        <f>IF(AND(F7&lt;$D$7+Assumptions!$H$53,G7&lt;$D$7+Assumptions!$H$53),G12,IF(AND(F7&lt;$D$7+Assumptions!$H$53,G7&gt;=$D$7+Assumptions!$H$53),G12*(1-$D$7)+G19*$D$7,G19))</f>
        <v>6</v>
      </c>
      <c r="H21" s="503">
        <f>IF(AND(G7&lt;$D$7+Assumptions!$H$53,H7&lt;$D$7+Assumptions!$H$53),H12,IF(AND(G7&lt;$D$7+Assumptions!$H$53,H7&gt;=$D$7+Assumptions!$H$53),H12*(1-$D$7)+H19*$D$7,H19))</f>
        <v>6</v>
      </c>
      <c r="I21" s="503">
        <f>IF(AND(H7&lt;$D$7+Assumptions!$H$53,I7&lt;$D$7+Assumptions!$H$53),I12,IF(AND(H7&lt;$D$7+Assumptions!$H$53,I7&gt;=$D$7+Assumptions!$H$53),I12*(1-$D$7)+I19*$D$7,I19))</f>
        <v>6</v>
      </c>
      <c r="J21" s="503">
        <f>IF(AND(I7&lt;$D$7+Assumptions!$H$53,J7&lt;$D$7+Assumptions!$H$53),J12,IF(AND(I7&lt;$D$7+Assumptions!$H$53,J7&gt;=$D$7+Assumptions!$H$53),J12*(1-$D$7)+J19*$D$7,J19))</f>
        <v>6</v>
      </c>
      <c r="K21" s="503">
        <f>IF(AND(J7&lt;$D$7+Assumptions!$H$53,K7&lt;$D$7+Assumptions!$H$53),K12,IF(AND(J7&lt;$D$7+Assumptions!$H$53,K7&gt;=$D$7+Assumptions!$H$53),K12*(1-$D$7)+K19*$D$7,K19))</f>
        <v>6</v>
      </c>
      <c r="L21" s="503">
        <f>IF(AND(K7&lt;$D$7+Assumptions!$H$53,L7&lt;$D$7+Assumptions!$H$53),L12,IF(AND(K7&lt;$D$7+Assumptions!$H$53,L7&gt;=$D$7+Assumptions!$H$53),L12*(1-$D$7)+L19*$D$7,L19))</f>
        <v>6</v>
      </c>
      <c r="M21" s="503">
        <f>IF(AND(L7&lt;$D$7+Assumptions!$H$53,M7&lt;$D$7+Assumptions!$H$53),M12,IF(AND(L7&lt;$D$7+Assumptions!$H$53,M7&gt;=$D$7+Assumptions!$H$53),M12*(1-$D$7)+M19*$D$7,M19))</f>
        <v>6</v>
      </c>
      <c r="N21" s="503">
        <f>IF(AND(M7&lt;$D$7+Assumptions!$H$53,N7&lt;$D$7+Assumptions!$H$53),N12,IF(AND(M7&lt;$D$7+Assumptions!$H$53,N7&gt;=$D$7+Assumptions!$H$53),N12*(1-$D$7)+N19*$D$7,N19))</f>
        <v>6</v>
      </c>
      <c r="O21" s="503">
        <f>IF(AND(N7&lt;$D$7+Assumptions!$H$53,O7&lt;$D$7+Assumptions!$H$53),O12,IF(AND(N7&lt;$D$7+Assumptions!$H$53,O7&gt;=$D$7+Assumptions!$H$53),O12*(1-$D$7)+O19*$D$7,O19))</f>
        <v>6</v>
      </c>
      <c r="P21" s="503">
        <f>IF(AND(O7&lt;$D$7+Assumptions!$H$53,P7&lt;$D$7+Assumptions!$H$53),P12,IF(AND(O7&lt;$D$7+Assumptions!$H$53,P7&gt;=$D$7+Assumptions!$H$53),P12*(1-$D$7)+P19*$D$7,P19))</f>
        <v>6</v>
      </c>
      <c r="Q21" s="503">
        <f>IF(AND(P7&lt;$D$7+Assumptions!$H$53,Q7&lt;$D$7+Assumptions!$H$53),Q12,IF(AND(P7&lt;$D$7+Assumptions!$H$53,Q7&gt;=$D$7+Assumptions!$H$53),Q12*(1-$D$7)+Q19*$D$7,Q19))</f>
        <v>6</v>
      </c>
      <c r="R21" s="504">
        <f>IF(AND(Q7&lt;$D$7+Assumptions!$H$53,R7&lt;$D$7+Assumptions!$H$53),R12,IF(AND(Q7&lt;$D$7+Assumptions!$H$53,R7&gt;=$D$7+Assumptions!$H$53),R12*(1-$D$7)+R19*$D$7,R19))</f>
        <v>6</v>
      </c>
      <c r="S21" s="502">
        <f>IF(AND(R7&lt;$D$7+Assumptions!$H$53,S7&lt;$D$7+Assumptions!$H$53),S12,IF(AND(R7&lt;$D$7+Assumptions!$H$53,S7&gt;=$D$7+Assumptions!$H$53),S12*(1-$D$7)+S19*$D$7,S19))</f>
        <v>6</v>
      </c>
      <c r="T21" s="503">
        <f>IF(AND(S7&lt;$D$7+Assumptions!$H$53,T7&lt;$D$7+Assumptions!$H$53),T12,IF(AND(S7&lt;$D$7+Assumptions!$H$53,T7&gt;=$D$7+Assumptions!$H$53),T12*(1-$D$7)+T19*$D$7,T19))</f>
        <v>6</v>
      </c>
      <c r="U21" s="503">
        <f>IF(AND(T7&lt;$D$7+Assumptions!$H$53,U7&lt;$D$7+Assumptions!$H$53),U12,IF(AND(T7&lt;$D$7+Assumptions!$H$53,U7&gt;=$D$7+Assumptions!$H$53),U12*(1-$D$7)+U19*$D$7,U19))</f>
        <v>6</v>
      </c>
      <c r="V21" s="503">
        <f>IF(AND(U7&lt;$D$7+Assumptions!$H$53,V7&lt;$D$7+Assumptions!$H$53),V12,IF(AND(U7&lt;$D$7+Assumptions!$H$53,V7&gt;=$D$7+Assumptions!$H$53),V12*(1-$D$7)+V19*$D$7,V19))</f>
        <v>6</v>
      </c>
      <c r="W21" s="503">
        <f>IF(AND(V7&lt;$D$7+Assumptions!$H$53,W7&lt;$D$7+Assumptions!$H$53),W12,IF(AND(V7&lt;$D$7+Assumptions!$H$53,W7&gt;=$D$7+Assumptions!$H$53),W12*(1-$D$7)+W19*$D$7,W19))</f>
        <v>6</v>
      </c>
      <c r="X21" s="503">
        <f>IF(AND(W7&lt;$D$7+Assumptions!$H$53,X7&lt;$D$7+Assumptions!$H$53),X12,IF(AND(W7&lt;$D$7+Assumptions!$H$53,X7&gt;=$D$7+Assumptions!$H$53),X12*(1-$D$7)+X19*$D$7,X19))</f>
        <v>6.7540861277020436</v>
      </c>
      <c r="Y21" s="503">
        <f>IF(AND(X7&lt;$D$7+Assumptions!$H$53,Y7&lt;$D$7+Assumptions!$H$53),Y12,IF(AND(X7&lt;$D$7+Assumptions!$H$53,Y7&gt;=$D$7+Assumptions!$H$53),Y12*(1-$D$7)+Y19*$D$7,Y19))</f>
        <v>7.1853877832279265</v>
      </c>
      <c r="Z21" s="503">
        <f>IF(AND(Y7&lt;$D$7+Assumptions!$H$53,Z7&lt;$D$7+Assumptions!$H$53),Z12,IF(AND(Y7&lt;$D$7+Assumptions!$H$53,Z7&gt;=$D$7+Assumptions!$H$53),Z12*(1-$D$7)+Z19*$D$7,Z19))</f>
        <v>7.2396463749027831</v>
      </c>
      <c r="AA21" s="503">
        <f>IF(AND(Z7&lt;$D$7+Assumptions!$H$53,AA7&lt;$D$7+Assumptions!$H$53),AA12,IF(AND(Z7&lt;$D$7+Assumptions!$H$53,AA7&gt;=$D$7+Assumptions!$H$53),AA12*(1-$D$7)+AA19*$D$7,AA19))</f>
        <v>7.2939049665776494</v>
      </c>
      <c r="AB21" s="503">
        <f>IF(AND(AA7&lt;$D$7+Assumptions!$H$53,AB7&lt;$D$7+Assumptions!$H$53),AB12,IF(AND(AA7&lt;$D$7+Assumptions!$H$53,AB7&gt;=$D$7+Assumptions!$H$53),AB12*(1-$D$7)+AB19*$D$7,AB19))</f>
        <v>7.3481635582525087</v>
      </c>
      <c r="AC21" s="503">
        <f>IF(AND(AB7&lt;$D$7+Assumptions!$H$53,AC7&lt;$D$7+Assumptions!$H$53),AC12,IF(AND(AB7&lt;$D$7+Assumptions!$H$53,AC7&gt;=$D$7+Assumptions!$H$53),AC12*(1-$D$7)+AC19*$D$7,AC19))</f>
        <v>7.402422149927367</v>
      </c>
      <c r="AD21" s="503">
        <f>IF(AND(AC7&lt;$D$7+Assumptions!$H$53,AD7&lt;$D$7+Assumptions!$H$53),AD12,IF(AND(AC7&lt;$D$7+Assumptions!$H$53,AD7&gt;=$D$7+Assumptions!$H$53),AD12*(1-$D$7)+AD19*$D$7,AD19))</f>
        <v>7.4566807416022245</v>
      </c>
      <c r="AE21" s="503">
        <f>IF(AND(AD7&lt;$D$7+Assumptions!$H$53,AE7&lt;$D$7+Assumptions!$H$53),AE12,IF(AND(AD7&lt;$D$7+Assumptions!$H$53,AE7&gt;=$D$7+Assumptions!$H$53),AE12*(1-$D$7)+AE19*$D$7,AE19))</f>
        <v>7.5109393332770908</v>
      </c>
      <c r="AF21" s="503">
        <f>IF(AND(AE7&lt;$D$7+Assumptions!$H$53,AF7&lt;$D$7+Assumptions!$H$53),AF12,IF(AND(AE7&lt;$D$7+Assumptions!$H$53,AF7&gt;=$D$7+Assumptions!$H$53),AF12*(1-$D$7)+AF19*$D$7,AF19))</f>
        <v>7.5651979249519501</v>
      </c>
      <c r="AG21" s="503">
        <f>IF(AND(AF7&lt;$D$7+Assumptions!$H$53,AG7&lt;$D$7+Assumptions!$H$53),AG12,IF(AND(AF7&lt;$D$7+Assumptions!$H$53,AG7&gt;=$D$7+Assumptions!$H$53),AG12*(1-$D$7)+AG19*$D$7,AG19))</f>
        <v>7.6194565166268085</v>
      </c>
      <c r="AH21" s="504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7"/>
      <c r="D22" s="499"/>
      <c r="E22" s="499"/>
      <c r="F22" s="499"/>
      <c r="G22" s="499"/>
      <c r="H22" s="499"/>
      <c r="I22" s="499"/>
      <c r="J22" s="499"/>
      <c r="K22" s="499"/>
      <c r="L22" s="499"/>
      <c r="M22" s="499"/>
      <c r="N22" s="499"/>
      <c r="O22" s="499"/>
      <c r="P22" s="499"/>
      <c r="Q22" s="499"/>
      <c r="R22" s="499"/>
      <c r="S22" s="499"/>
      <c r="T22" s="499"/>
      <c r="U22" s="499"/>
      <c r="V22" s="499"/>
      <c r="W22" s="499"/>
      <c r="X22" s="499"/>
      <c r="Y22" s="500"/>
      <c r="Z22" s="501"/>
      <c r="AA22" s="501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9" t="s">
        <v>386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5"/>
      <c r="D25" s="493">
        <f>'Gas Curve'!G5</f>
        <v>3.1783749999999995</v>
      </c>
      <c r="E25" s="493">
        <f>'Gas Curve'!G6</f>
        <v>3.1596666666666668</v>
      </c>
      <c r="F25" s="493">
        <f>'Gas Curve'!G7</f>
        <v>3.1917083333333331</v>
      </c>
      <c r="G25" s="493">
        <f>'Gas Curve'!G8</f>
        <v>3.2408750000000004</v>
      </c>
      <c r="H25" s="493">
        <f>'Gas Curve'!G9</f>
        <v>3.300041666666667</v>
      </c>
      <c r="I25" s="493">
        <f>'Gas Curve'!G10</f>
        <v>3.3629583333333333</v>
      </c>
      <c r="J25" s="493">
        <f>'Gas Curve'!G11</f>
        <v>3.4279583333333341</v>
      </c>
      <c r="K25" s="493">
        <f>'Gas Curve'!G12</f>
        <v>3.4979583333333335</v>
      </c>
      <c r="L25" s="493">
        <f>'Gas Curve'!G13</f>
        <v>3.5729583333333337</v>
      </c>
      <c r="M25" s="493">
        <f>'Gas Curve'!G14</f>
        <v>3.6529583333333329</v>
      </c>
      <c r="N25" s="493">
        <f>'Gas Curve'!G15</f>
        <v>3.7379583333333333</v>
      </c>
      <c r="O25" s="493">
        <f>'Gas Curve'!G16</f>
        <v>3.8160833333333337</v>
      </c>
      <c r="P25" s="493">
        <f>'Gas Curve'!G17</f>
        <v>3.8856666666666668</v>
      </c>
      <c r="Q25" s="493">
        <f>'Gas Curve'!G18</f>
        <v>4.0229583333333343</v>
      </c>
      <c r="R25" s="493">
        <f>'Gas Curve'!G19</f>
        <v>4.127958333333333</v>
      </c>
      <c r="S25" s="493">
        <f>'Gas Curve'!G20</f>
        <v>4.2379583333333333</v>
      </c>
      <c r="T25" s="493">
        <f>'Gas Curve'!G21</f>
        <v>4.3529583333333335</v>
      </c>
      <c r="U25" s="493">
        <f>'Gas Curve'!G22</f>
        <v>4.4729583333333336</v>
      </c>
      <c r="V25" s="493">
        <f>'Gas Curve'!G23</f>
        <v>4.5979583333333336</v>
      </c>
      <c r="W25" s="493">
        <f>'Gas Curve'!G24</f>
        <v>4.7279583333333335</v>
      </c>
      <c r="X25" s="493">
        <f>'Gas Curve'!G25</f>
        <v>4.8629583333333333</v>
      </c>
      <c r="Y25" s="493">
        <v>2.2000000000000002</v>
      </c>
      <c r="Z25" s="493">
        <v>2.2000000000000002</v>
      </c>
      <c r="AA25" s="493">
        <v>2.2000000000000002</v>
      </c>
      <c r="AB25" s="493">
        <v>2.2000000000000002</v>
      </c>
      <c r="AC25" s="493">
        <v>2.2000000000000002</v>
      </c>
      <c r="AD25" s="493">
        <v>2.2000000000000002</v>
      </c>
      <c r="AE25" s="493">
        <v>2.2000000000000002</v>
      </c>
      <c r="AF25" s="493">
        <v>2.2000000000000002</v>
      </c>
      <c r="AG25" s="493">
        <v>2.2000000000000002</v>
      </c>
      <c r="AH25" s="493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233</v>
      </c>
      <c r="C26" s="13"/>
      <c r="D26" s="493">
        <v>2.5</v>
      </c>
      <c r="E26" s="493">
        <v>2.5</v>
      </c>
      <c r="F26" s="493">
        <v>2.5</v>
      </c>
      <c r="G26" s="493">
        <v>2.5</v>
      </c>
      <c r="H26" s="493">
        <v>2.5</v>
      </c>
      <c r="I26" s="493">
        <v>2.5</v>
      </c>
      <c r="J26" s="493">
        <v>2.5</v>
      </c>
      <c r="K26" s="493">
        <v>2.5</v>
      </c>
      <c r="L26" s="493">
        <v>2.5</v>
      </c>
      <c r="M26" s="493">
        <v>2.5</v>
      </c>
      <c r="N26" s="493">
        <v>2.5</v>
      </c>
      <c r="O26" s="493">
        <v>2.5</v>
      </c>
      <c r="P26" s="493">
        <v>2.5</v>
      </c>
      <c r="Q26" s="493">
        <v>2.5</v>
      </c>
      <c r="R26" s="493">
        <v>2.5</v>
      </c>
      <c r="S26" s="493">
        <v>2.5</v>
      </c>
      <c r="T26" s="493">
        <v>2.5</v>
      </c>
      <c r="U26" s="493">
        <v>2.5</v>
      </c>
      <c r="V26" s="493">
        <v>2.5</v>
      </c>
      <c r="W26" s="493">
        <v>2.5</v>
      </c>
      <c r="X26" s="493">
        <v>2.5</v>
      </c>
      <c r="Y26" s="493">
        <v>2.5</v>
      </c>
      <c r="Z26" s="493">
        <v>2.5</v>
      </c>
      <c r="AA26" s="493">
        <v>2.5</v>
      </c>
      <c r="AB26" s="493">
        <v>2.5</v>
      </c>
      <c r="AC26" s="493">
        <v>2.5</v>
      </c>
      <c r="AD26" s="493">
        <v>2.5</v>
      </c>
      <c r="AE26" s="493">
        <v>2.5</v>
      </c>
      <c r="AF26" s="493">
        <v>2.5</v>
      </c>
      <c r="AG26" s="493">
        <v>2.5</v>
      </c>
      <c r="AH26" s="493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6">
        <v>1.5</v>
      </c>
      <c r="E27" s="506">
        <v>1.5</v>
      </c>
      <c r="F27" s="506">
        <v>1.5</v>
      </c>
      <c r="G27" s="506">
        <v>1.5</v>
      </c>
      <c r="H27" s="506">
        <v>1.5</v>
      </c>
      <c r="I27" s="506">
        <v>1.5</v>
      </c>
      <c r="J27" s="506">
        <v>1.5</v>
      </c>
      <c r="K27" s="506">
        <v>1.5</v>
      </c>
      <c r="L27" s="506">
        <v>1.5</v>
      </c>
      <c r="M27" s="506">
        <v>1.5</v>
      </c>
      <c r="N27" s="506">
        <v>1.5</v>
      </c>
      <c r="O27" s="506">
        <v>1.5</v>
      </c>
      <c r="P27" s="506">
        <v>1.5</v>
      </c>
      <c r="Q27" s="506">
        <v>1.5</v>
      </c>
      <c r="R27" s="506">
        <v>1.5</v>
      </c>
      <c r="S27" s="506">
        <v>1.5</v>
      </c>
      <c r="T27" s="506">
        <v>1.5</v>
      </c>
      <c r="U27" s="506">
        <v>1.5</v>
      </c>
      <c r="V27" s="506">
        <v>1.5</v>
      </c>
      <c r="W27" s="506">
        <v>1.5</v>
      </c>
      <c r="X27" s="506">
        <v>1.5</v>
      </c>
      <c r="Y27" s="506">
        <v>1.5</v>
      </c>
      <c r="Z27" s="506">
        <v>1.5</v>
      </c>
      <c r="AA27" s="506">
        <v>1.5</v>
      </c>
      <c r="AB27" s="506">
        <v>1.5</v>
      </c>
      <c r="AC27" s="506">
        <v>1.5</v>
      </c>
      <c r="AD27" s="506">
        <v>1.5</v>
      </c>
      <c r="AE27" s="506">
        <v>1.5</v>
      </c>
      <c r="AF27" s="506">
        <v>1.5</v>
      </c>
      <c r="AG27" s="506">
        <v>1.5</v>
      </c>
      <c r="AH27" s="506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234</v>
      </c>
      <c r="C28" s="13"/>
      <c r="D28" s="507">
        <f>Assumptions!$N$54</f>
        <v>1.4999999999999999E-2</v>
      </c>
      <c r="E28" s="507">
        <f>Assumptions!$N$54</f>
        <v>1.4999999999999999E-2</v>
      </c>
      <c r="F28" s="507">
        <f>Assumptions!$N$54</f>
        <v>1.4999999999999999E-2</v>
      </c>
      <c r="G28" s="507">
        <f>Assumptions!$N$54</f>
        <v>1.4999999999999999E-2</v>
      </c>
      <c r="H28" s="507">
        <f>Assumptions!$N$54</f>
        <v>1.4999999999999999E-2</v>
      </c>
      <c r="I28" s="507">
        <f>Assumptions!$N$54</f>
        <v>1.4999999999999999E-2</v>
      </c>
      <c r="J28" s="507">
        <f>Assumptions!$N$54</f>
        <v>1.4999999999999999E-2</v>
      </c>
      <c r="K28" s="507">
        <f>Assumptions!$N$54</f>
        <v>1.4999999999999999E-2</v>
      </c>
      <c r="L28" s="507">
        <f>Assumptions!$N$54</f>
        <v>1.4999999999999999E-2</v>
      </c>
      <c r="M28" s="507">
        <f>Assumptions!$N$54</f>
        <v>1.4999999999999999E-2</v>
      </c>
      <c r="N28" s="507">
        <f>Assumptions!$N$54</f>
        <v>1.4999999999999999E-2</v>
      </c>
      <c r="O28" s="507">
        <f>Assumptions!$N$54</f>
        <v>1.4999999999999999E-2</v>
      </c>
      <c r="P28" s="507">
        <f>Assumptions!$N$54</f>
        <v>1.4999999999999999E-2</v>
      </c>
      <c r="Q28" s="507">
        <f>Assumptions!$N$54</f>
        <v>1.4999999999999999E-2</v>
      </c>
      <c r="R28" s="507">
        <f>Assumptions!$N$54</f>
        <v>1.4999999999999999E-2</v>
      </c>
      <c r="S28" s="507">
        <f>Assumptions!$N$54</f>
        <v>1.4999999999999999E-2</v>
      </c>
      <c r="T28" s="507">
        <f>Assumptions!$N$54</f>
        <v>1.4999999999999999E-2</v>
      </c>
      <c r="U28" s="507">
        <f>Assumptions!$N$54</f>
        <v>1.4999999999999999E-2</v>
      </c>
      <c r="V28" s="507">
        <f>Assumptions!$N$54</f>
        <v>1.4999999999999999E-2</v>
      </c>
      <c r="W28" s="507">
        <f>Assumptions!$N$54</f>
        <v>1.4999999999999999E-2</v>
      </c>
      <c r="X28" s="507">
        <f>Assumptions!$N$54</f>
        <v>1.4999999999999999E-2</v>
      </c>
      <c r="Y28" s="507">
        <f>Assumptions!$N$54</f>
        <v>1.4999999999999999E-2</v>
      </c>
      <c r="Z28" s="507">
        <f>Assumptions!$N$54</f>
        <v>1.4999999999999999E-2</v>
      </c>
      <c r="AA28" s="507">
        <f>Assumptions!$N$54</f>
        <v>1.4999999999999999E-2</v>
      </c>
      <c r="AB28" s="507">
        <f>Assumptions!$N$54</f>
        <v>1.4999999999999999E-2</v>
      </c>
      <c r="AC28" s="507">
        <f>Assumptions!$N$54</f>
        <v>1.4999999999999999E-2</v>
      </c>
      <c r="AD28" s="507">
        <f>Assumptions!$N$54</f>
        <v>1.4999999999999999E-2</v>
      </c>
      <c r="AE28" s="507">
        <f>Assumptions!$N$54</f>
        <v>1.4999999999999999E-2</v>
      </c>
      <c r="AF28" s="507">
        <f>Assumptions!$N$54</f>
        <v>1.4999999999999999E-2</v>
      </c>
      <c r="AG28" s="507">
        <f>Assumptions!$N$54</f>
        <v>1.4999999999999999E-2</v>
      </c>
      <c r="AH28" s="507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6">
        <f>Assumptions!U13</f>
        <v>1</v>
      </c>
      <c r="B30" s="43" t="s">
        <v>231</v>
      </c>
      <c r="C30" s="12"/>
      <c r="D30" s="508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09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09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09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09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09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09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09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09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09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09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09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09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09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0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8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09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09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09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09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09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09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9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9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9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9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9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9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9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9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0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9" t="s">
        <v>387</v>
      </c>
      <c r="C33" s="13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56"/>
      <c r="AB33" s="356"/>
      <c r="AC33" s="356"/>
      <c r="AD33" s="356"/>
      <c r="AE33" s="356"/>
      <c r="AF33" s="356"/>
      <c r="AG33" s="356"/>
      <c r="AH33" s="356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232</v>
      </c>
      <c r="C34" s="12"/>
      <c r="D34" s="494">
        <f>D44*'Price_Technical Assumption'!D30/1000</f>
        <v>33.234773538749991</v>
      </c>
      <c r="E34" s="494">
        <f>E44*'Price_Technical Assumption'!E30/1000</f>
        <v>33.039149290000005</v>
      </c>
      <c r="F34" s="494">
        <f>F44*'Price_Technical Assumption'!F30/1000</f>
        <v>33.374193938749997</v>
      </c>
      <c r="G34" s="494">
        <f>G44*'Price_Technical Assumption'!G30/1000</f>
        <v>33.888306663750001</v>
      </c>
      <c r="H34" s="494">
        <f>H44*'Price_Technical Assumption'!H30/1000</f>
        <v>34.506984688750002</v>
      </c>
      <c r="I34" s="494">
        <f>I44*'Price_Technical Assumption'!I30/1000</f>
        <v>35.164874701249992</v>
      </c>
      <c r="J34" s="494">
        <f>J44*'Price_Technical Assumption'!J30/1000</f>
        <v>35.84454915125</v>
      </c>
      <c r="K34" s="494">
        <f>K44*'Price_Technical Assumption'!K30/1000</f>
        <v>36.576506251250002</v>
      </c>
      <c r="L34" s="494">
        <f>L44*'Price_Technical Assumption'!L30/1000</f>
        <v>37.36074600125</v>
      </c>
      <c r="M34" s="494">
        <f>M44*'Price_Technical Assumption'!M30/1000</f>
        <v>38.197268401249993</v>
      </c>
      <c r="N34" s="494">
        <f>N44*'Price_Technical Assumption'!N30/1000</f>
        <v>39.086073451249995</v>
      </c>
      <c r="O34" s="494">
        <f>O44*'Price_Technical Assumption'!O30/1000</f>
        <v>39.902989857500003</v>
      </c>
      <c r="P34" s="494">
        <f>P44*'Price_Technical Assumption'!P30/1000</f>
        <v>40.630590069999997</v>
      </c>
      <c r="Q34" s="494">
        <f>Q44*'Price_Technical Assumption'!Q30/1000</f>
        <v>42.066184501250007</v>
      </c>
      <c r="R34" s="494">
        <f>R44*'Price_Technical Assumption'!R30/1000</f>
        <v>43.164120151249989</v>
      </c>
      <c r="S34" s="494">
        <f>S44*'Price_Technical Assumption'!S30/1000</f>
        <v>44.314338451249988</v>
      </c>
      <c r="T34" s="494">
        <f>T44*'Price_Technical Assumption'!T30/1000</f>
        <v>45.516839401249996</v>
      </c>
      <c r="U34" s="494">
        <f>U44*'Price_Technical Assumption'!U30/1000</f>
        <v>46.771623001249999</v>
      </c>
      <c r="V34" s="494">
        <f>V44*'Price_Technical Assumption'!V30/1000</f>
        <v>48.07868925124999</v>
      </c>
      <c r="W34" s="494">
        <f>W44*'Price_Technical Assumption'!W30/1000</f>
        <v>49.438038151250005</v>
      </c>
      <c r="X34" s="494">
        <f>X44*'Price_Technical Assumption'!X30/1000</f>
        <v>50.849669701249994</v>
      </c>
      <c r="Y34" s="494">
        <f>Y44*'Price_Technical Assumption'!Y30/1000</f>
        <v>23.004366000000001</v>
      </c>
      <c r="Z34" s="494">
        <f>Z44*'Price_Technical Assumption'!Z30/1000</f>
        <v>23.004366000000001</v>
      </c>
      <c r="AA34" s="494">
        <f>AA44*'Price_Technical Assumption'!AA30/1000</f>
        <v>23.004366000000001</v>
      </c>
      <c r="AB34" s="494">
        <f>AB44*'Price_Technical Assumption'!AB30/1000</f>
        <v>23.004366000000001</v>
      </c>
      <c r="AC34" s="494">
        <f>AC44*'Price_Technical Assumption'!AC30/1000</f>
        <v>23.004366000000001</v>
      </c>
      <c r="AD34" s="494">
        <f>AD44*'Price_Technical Assumption'!AD30/1000</f>
        <v>23.004366000000001</v>
      </c>
      <c r="AE34" s="494">
        <f>AE44*'Price_Technical Assumption'!AE30/1000</f>
        <v>23.004366000000001</v>
      </c>
      <c r="AF34" s="494">
        <f>AF44*'Price_Technical Assumption'!AF30/1000</f>
        <v>23.004366000000001</v>
      </c>
      <c r="AG34" s="494">
        <f>AG44*'Price_Technical Assumption'!AG30/1000</f>
        <v>23.004366000000001</v>
      </c>
      <c r="AH34" s="494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406</v>
      </c>
      <c r="C35" s="474"/>
      <c r="D35" s="511">
        <f>Assumptions!$H$60*(1+Assumptions!$N$11)^(D7)</f>
        <v>1.5298519656851721</v>
      </c>
      <c r="E35" s="511">
        <f>Assumptions!$H$60*(1+Assumptions!$N$11)^(E7)</f>
        <v>1.5757475246557271</v>
      </c>
      <c r="F35" s="511">
        <f>Assumptions!$H$60*(1+Assumptions!$N$11)^(F7)</f>
        <v>1.623019950395399</v>
      </c>
      <c r="G35" s="511">
        <f>Assumptions!$H$60*(1+Assumptions!$N$11)^(G7)</f>
        <v>1.671710548907261</v>
      </c>
      <c r="H35" s="511">
        <f>Assumptions!$H$60*(1+Assumptions!$N$11)^(H7)</f>
        <v>1.7218618653744788</v>
      </c>
      <c r="I35" s="511">
        <f>Assumptions!$H$60*(1+Assumptions!$N$11)^(I7)</f>
        <v>1.7735177213357134</v>
      </c>
      <c r="J35" s="511">
        <f>Assumptions!$H$60*(1+Assumptions!$N$11)^(J7)</f>
        <v>1.8267232529757849</v>
      </c>
      <c r="K35" s="511">
        <f>Assumptions!$H$60*(1+Assumptions!$N$11)^(K7)</f>
        <v>1.8815249505650584</v>
      </c>
      <c r="L35" s="511">
        <f>Assumptions!$H$60*(1+Assumptions!$N$11)^(L7)</f>
        <v>1.93797069908201</v>
      </c>
      <c r="M35" s="511">
        <f>Assumptions!$H$60*(1+Assumptions!$N$11)^(M7)</f>
        <v>1.9961098200544707</v>
      </c>
      <c r="N35" s="511">
        <f>Assumptions!$H$60*(1+Assumptions!$N$11)^(N7)</f>
        <v>2.0559931146561046</v>
      </c>
      <c r="O35" s="511">
        <f>Assumptions!$H$60*(1+Assumptions!$N$11)^(O7)</f>
        <v>2.1176729080957877</v>
      </c>
      <c r="P35" s="511">
        <f>Assumptions!$H$60*(1+Assumptions!$N$11)^(P7)</f>
        <v>2.1812030953386614</v>
      </c>
      <c r="Q35" s="511">
        <f>Assumptions!$H$60*(1+Assumptions!$N$11)^(Q7)</f>
        <v>2.2466391881988215</v>
      </c>
      <c r="R35" s="511">
        <f>Assumptions!$H$60*(1+Assumptions!$N$11)^(R7)</f>
        <v>2.3140383638447863</v>
      </c>
      <c r="S35" s="511">
        <f>Assumptions!$H$60*(1+Assumptions!$N$11)^(S7)</f>
        <v>2.3834595147601298</v>
      </c>
      <c r="T35" s="511">
        <f>Assumptions!$H$60*(1+Assumptions!$N$11)^(T7)</f>
        <v>2.4549633002029339</v>
      </c>
      <c r="U35" s="511">
        <f>Assumptions!$H$60*(1+Assumptions!$N$11)^(U7)</f>
        <v>2.5286121992090216</v>
      </c>
      <c r="V35" s="511">
        <f>Assumptions!$H$60*(1+Assumptions!$N$11)^(V7)</f>
        <v>2.6044705651852924</v>
      </c>
      <c r="W35" s="511">
        <f>Assumptions!$H$60*(1+Assumptions!$N$11)^(W7)</f>
        <v>2.6826046821408513</v>
      </c>
      <c r="X35" s="511">
        <f>Assumptions!$H$60*(1+Assumptions!$N$11)^(X7)</f>
        <v>2.7630828226050768</v>
      </c>
      <c r="Y35" s="511">
        <f>Assumptions!$H$60*(1+Assumptions!$N$11)^(Y7)</f>
        <v>2.8459753072832292</v>
      </c>
      <c r="Z35" s="511">
        <f>Assumptions!$H$60*(1+Assumptions!$N$11)^(Z7)</f>
        <v>2.9313545665017262</v>
      </c>
      <c r="AA35" s="511">
        <f>Assumptions!$H$60*(1+Assumptions!$N$11)^(AA7)</f>
        <v>3.0192952034967786</v>
      </c>
      <c r="AB35" s="511">
        <f>Assumptions!$H$60*(1+Assumptions!$N$11)^(AB7)</f>
        <v>3.1098740596016818</v>
      </c>
      <c r="AC35" s="511">
        <f>Assumptions!$H$60*(1+Assumptions!$N$11)^(AC7)</f>
        <v>3.203170281389732</v>
      </c>
      <c r="AD35" s="511">
        <f>Assumptions!$H$60*(1+Assumptions!$N$11)^(AD7)</f>
        <v>3.2992653898314246</v>
      </c>
      <c r="AE35" s="511">
        <f>Assumptions!$H$60*(1+Assumptions!$N$11)^(AE7)</f>
        <v>3.398243351526367</v>
      </c>
      <c r="AF35" s="511">
        <f>Assumptions!$H$60*(1+Assumptions!$N$11)^(AF7)</f>
        <v>3.500190652072158</v>
      </c>
      <c r="AG35" s="511">
        <f>Assumptions!$H$60*(1+Assumptions!$N$11)^(AG7)</f>
        <v>3.6051963716343236</v>
      </c>
      <c r="AH35" s="511">
        <f>Assumptions!$H$60*(1+Assumptions!$N$11)^(AH7)</f>
        <v>3.7133522627833524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415</v>
      </c>
      <c r="C36" s="12"/>
      <c r="D36" s="491">
        <f>SUM(D34:D35)</f>
        <v>34.764625504435166</v>
      </c>
      <c r="E36" s="491">
        <f t="shared" ref="E36:AH36" si="5">SUM(E34:E35)</f>
        <v>34.614896814655729</v>
      </c>
      <c r="F36" s="491">
        <f t="shared" si="5"/>
        <v>34.997213889145399</v>
      </c>
      <c r="G36" s="491">
        <f t="shared" si="5"/>
        <v>35.560017212657264</v>
      </c>
      <c r="H36" s="491">
        <f t="shared" si="5"/>
        <v>36.22884655412448</v>
      </c>
      <c r="I36" s="491">
        <f t="shared" si="5"/>
        <v>36.938392422585707</v>
      </c>
      <c r="J36" s="491">
        <f t="shared" si="5"/>
        <v>37.671272404225782</v>
      </c>
      <c r="K36" s="491">
        <f t="shared" si="5"/>
        <v>38.458031201815061</v>
      </c>
      <c r="L36" s="491">
        <f t="shared" si="5"/>
        <v>39.298716700332008</v>
      </c>
      <c r="M36" s="491">
        <f t="shared" si="5"/>
        <v>40.193378221304464</v>
      </c>
      <c r="N36" s="491">
        <f t="shared" si="5"/>
        <v>41.142066565906099</v>
      </c>
      <c r="O36" s="491">
        <f t="shared" si="5"/>
        <v>42.020662765595787</v>
      </c>
      <c r="P36" s="491">
        <f t="shared" si="5"/>
        <v>42.811793165338656</v>
      </c>
      <c r="Q36" s="491">
        <f t="shared" si="5"/>
        <v>44.312823689448827</v>
      </c>
      <c r="R36" s="491">
        <f t="shared" si="5"/>
        <v>45.478158515094776</v>
      </c>
      <c r="S36" s="491">
        <f t="shared" si="5"/>
        <v>46.697797966010114</v>
      </c>
      <c r="T36" s="491">
        <f t="shared" si="5"/>
        <v>47.97180270145293</v>
      </c>
      <c r="U36" s="491">
        <f t="shared" si="5"/>
        <v>49.300235200459021</v>
      </c>
      <c r="V36" s="491">
        <f t="shared" si="5"/>
        <v>50.683159816435285</v>
      </c>
      <c r="W36" s="491">
        <f t="shared" si="5"/>
        <v>52.120642833390853</v>
      </c>
      <c r="X36" s="491">
        <f t="shared" si="5"/>
        <v>53.612752523855072</v>
      </c>
      <c r="Y36" s="491">
        <f t="shared" si="5"/>
        <v>25.85034130728323</v>
      </c>
      <c r="Z36" s="491">
        <f t="shared" si="5"/>
        <v>25.935720566501729</v>
      </c>
      <c r="AA36" s="491">
        <f t="shared" si="5"/>
        <v>26.023661203496779</v>
      </c>
      <c r="AB36" s="491">
        <f t="shared" si="5"/>
        <v>26.114240059601684</v>
      </c>
      <c r="AC36" s="491">
        <f t="shared" si="5"/>
        <v>26.207536281389732</v>
      </c>
      <c r="AD36" s="491">
        <f t="shared" si="5"/>
        <v>26.303631389831427</v>
      </c>
      <c r="AE36" s="491">
        <f t="shared" si="5"/>
        <v>26.402609351526369</v>
      </c>
      <c r="AF36" s="491">
        <f t="shared" si="5"/>
        <v>26.504556652072161</v>
      </c>
      <c r="AG36" s="491">
        <f t="shared" si="5"/>
        <v>26.609562371634325</v>
      </c>
      <c r="AH36" s="491">
        <f t="shared" si="5"/>
        <v>26.717718262783354</v>
      </c>
      <c r="AI36" s="494"/>
      <c r="AJ36" s="494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4"/>
      <c r="E37" s="494"/>
      <c r="F37" s="494"/>
      <c r="G37" s="494"/>
      <c r="H37" s="494"/>
      <c r="I37" s="494"/>
      <c r="J37" s="494"/>
      <c r="K37" s="494"/>
      <c r="L37" s="494"/>
      <c r="M37" s="494"/>
      <c r="N37" s="494"/>
      <c r="O37" s="494"/>
      <c r="P37" s="494"/>
      <c r="Q37" s="494"/>
      <c r="R37" s="494"/>
      <c r="S37" s="494"/>
      <c r="T37" s="494"/>
      <c r="U37" s="494"/>
      <c r="V37" s="494"/>
      <c r="W37" s="494"/>
      <c r="X37" s="494"/>
      <c r="Y37" s="494"/>
      <c r="Z37" s="494"/>
      <c r="AA37" s="494"/>
      <c r="AB37" s="494"/>
      <c r="AC37" s="494"/>
      <c r="AD37" s="494"/>
      <c r="AE37" s="494"/>
      <c r="AF37" s="494"/>
      <c r="AG37" s="494"/>
      <c r="AH37" s="494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6" t="str">
        <f>Assumptions!W14</f>
        <v>Pass-through</v>
      </c>
      <c r="B38" s="43" t="s">
        <v>240</v>
      </c>
      <c r="C38" s="12"/>
      <c r="D38" s="508">
        <f>IF($A$38="Pass-through",D36,D34)</f>
        <v>34.764625504435166</v>
      </c>
      <c r="E38" s="509">
        <f t="shared" ref="E38:AH38" si="6">IF($A$38="Pass-through",E36,E34)</f>
        <v>34.614896814655729</v>
      </c>
      <c r="F38" s="509">
        <f t="shared" si="6"/>
        <v>34.997213889145399</v>
      </c>
      <c r="G38" s="509">
        <f t="shared" si="6"/>
        <v>35.560017212657264</v>
      </c>
      <c r="H38" s="509">
        <f t="shared" si="6"/>
        <v>36.22884655412448</v>
      </c>
      <c r="I38" s="509">
        <f t="shared" si="6"/>
        <v>36.938392422585707</v>
      </c>
      <c r="J38" s="509">
        <f t="shared" si="6"/>
        <v>37.671272404225782</v>
      </c>
      <c r="K38" s="509">
        <f t="shared" si="6"/>
        <v>38.458031201815061</v>
      </c>
      <c r="L38" s="509">
        <f t="shared" si="6"/>
        <v>39.298716700332008</v>
      </c>
      <c r="M38" s="509">
        <f t="shared" si="6"/>
        <v>40.193378221304464</v>
      </c>
      <c r="N38" s="509">
        <f t="shared" si="6"/>
        <v>41.142066565906099</v>
      </c>
      <c r="O38" s="509">
        <f t="shared" si="6"/>
        <v>42.020662765595787</v>
      </c>
      <c r="P38" s="509">
        <f t="shared" si="6"/>
        <v>42.811793165338656</v>
      </c>
      <c r="Q38" s="509">
        <f t="shared" si="6"/>
        <v>44.312823689448827</v>
      </c>
      <c r="R38" s="510">
        <f t="shared" si="6"/>
        <v>45.478158515094776</v>
      </c>
      <c r="S38" s="508">
        <f t="shared" si="6"/>
        <v>46.697797966010114</v>
      </c>
      <c r="T38" s="509">
        <f t="shared" si="6"/>
        <v>47.97180270145293</v>
      </c>
      <c r="U38" s="509">
        <f t="shared" si="6"/>
        <v>49.300235200459021</v>
      </c>
      <c r="V38" s="509">
        <f t="shared" si="6"/>
        <v>50.683159816435285</v>
      </c>
      <c r="W38" s="509">
        <f t="shared" si="6"/>
        <v>52.120642833390853</v>
      </c>
      <c r="X38" s="509">
        <f t="shared" si="6"/>
        <v>53.612752523855072</v>
      </c>
      <c r="Y38" s="509">
        <f t="shared" si="6"/>
        <v>25.85034130728323</v>
      </c>
      <c r="Z38" s="509">
        <f t="shared" si="6"/>
        <v>25.935720566501729</v>
      </c>
      <c r="AA38" s="509">
        <f t="shared" si="6"/>
        <v>26.023661203496779</v>
      </c>
      <c r="AB38" s="509">
        <f t="shared" si="6"/>
        <v>26.114240059601684</v>
      </c>
      <c r="AC38" s="509">
        <f t="shared" si="6"/>
        <v>26.207536281389732</v>
      </c>
      <c r="AD38" s="509">
        <f t="shared" si="6"/>
        <v>26.303631389831427</v>
      </c>
      <c r="AE38" s="509">
        <f t="shared" si="6"/>
        <v>26.402609351526369</v>
      </c>
      <c r="AF38" s="509">
        <f t="shared" si="6"/>
        <v>26.504556652072161</v>
      </c>
      <c r="AG38" s="509">
        <f t="shared" si="6"/>
        <v>26.609562371634325</v>
      </c>
      <c r="AH38" s="510">
        <f t="shared" si="6"/>
        <v>26.717718262783354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9" t="s">
        <v>397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398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400</v>
      </c>
      <c r="C43" s="12"/>
      <c r="D43" s="516">
        <v>0.02</v>
      </c>
      <c r="E43" s="516">
        <v>0.02</v>
      </c>
      <c r="F43" s="516">
        <v>0.02</v>
      </c>
      <c r="G43" s="516">
        <v>0.02</v>
      </c>
      <c r="H43" s="516">
        <v>0.02</v>
      </c>
      <c r="I43" s="516">
        <v>0.02</v>
      </c>
      <c r="J43" s="516">
        <v>0.02</v>
      </c>
      <c r="K43" s="516">
        <v>0.02</v>
      </c>
      <c r="L43" s="516">
        <v>0.02</v>
      </c>
      <c r="M43" s="516">
        <v>0.02</v>
      </c>
      <c r="N43" s="516">
        <v>0.02</v>
      </c>
      <c r="O43" s="516">
        <v>0.02</v>
      </c>
      <c r="P43" s="516">
        <v>0.02</v>
      </c>
      <c r="Q43" s="516">
        <v>0.02</v>
      </c>
      <c r="R43" s="516">
        <v>0.02</v>
      </c>
      <c r="S43" s="516">
        <v>0.02</v>
      </c>
      <c r="T43" s="516">
        <v>0.02</v>
      </c>
      <c r="U43" s="516">
        <v>0.02</v>
      </c>
      <c r="V43" s="516">
        <v>0.02</v>
      </c>
      <c r="W43" s="516">
        <v>0.02</v>
      </c>
      <c r="X43" s="516">
        <v>0.02</v>
      </c>
      <c r="Y43" s="516">
        <v>0.02</v>
      </c>
      <c r="Z43" s="516">
        <v>0.02</v>
      </c>
      <c r="AA43" s="516">
        <v>0.02</v>
      </c>
      <c r="AB43" s="516">
        <v>0.02</v>
      </c>
      <c r="AC43" s="516">
        <v>0.02</v>
      </c>
      <c r="AD43" s="516">
        <v>0.02</v>
      </c>
      <c r="AE43" s="516">
        <v>0.02</v>
      </c>
      <c r="AF43" s="516">
        <v>0.02</v>
      </c>
      <c r="AG43" s="516">
        <v>0.02</v>
      </c>
      <c r="AH43" s="516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399</v>
      </c>
      <c r="C44" s="12"/>
      <c r="D44" s="513">
        <f>D42*(1+D43)</f>
        <v>10302</v>
      </c>
      <c r="E44" s="514">
        <f t="shared" ref="E44:AH44" si="7">E42*(1+E43)</f>
        <v>10302</v>
      </c>
      <c r="F44" s="514">
        <f t="shared" si="7"/>
        <v>10302</v>
      </c>
      <c r="G44" s="514">
        <f t="shared" si="7"/>
        <v>10302</v>
      </c>
      <c r="H44" s="514">
        <f t="shared" si="7"/>
        <v>10302</v>
      </c>
      <c r="I44" s="514">
        <f t="shared" si="7"/>
        <v>10302</v>
      </c>
      <c r="J44" s="514">
        <f t="shared" si="7"/>
        <v>10302</v>
      </c>
      <c r="K44" s="514">
        <f t="shared" si="7"/>
        <v>10302</v>
      </c>
      <c r="L44" s="514">
        <f t="shared" si="7"/>
        <v>10302</v>
      </c>
      <c r="M44" s="514">
        <f t="shared" si="7"/>
        <v>10302</v>
      </c>
      <c r="N44" s="514">
        <f t="shared" si="7"/>
        <v>10302</v>
      </c>
      <c r="O44" s="514">
        <f t="shared" si="7"/>
        <v>10302</v>
      </c>
      <c r="P44" s="514">
        <f t="shared" si="7"/>
        <v>10302</v>
      </c>
      <c r="Q44" s="514">
        <f t="shared" si="7"/>
        <v>10302</v>
      </c>
      <c r="R44" s="515">
        <f t="shared" si="7"/>
        <v>10302</v>
      </c>
      <c r="S44" s="513">
        <f t="shared" si="7"/>
        <v>10302</v>
      </c>
      <c r="T44" s="514">
        <f t="shared" si="7"/>
        <v>10302</v>
      </c>
      <c r="U44" s="514">
        <f t="shared" si="7"/>
        <v>10302</v>
      </c>
      <c r="V44" s="514">
        <f t="shared" si="7"/>
        <v>10302</v>
      </c>
      <c r="W44" s="514">
        <f t="shared" si="7"/>
        <v>10302</v>
      </c>
      <c r="X44" s="514">
        <f t="shared" si="7"/>
        <v>10302</v>
      </c>
      <c r="Y44" s="514">
        <f t="shared" si="7"/>
        <v>10302</v>
      </c>
      <c r="Z44" s="514">
        <f t="shared" si="7"/>
        <v>10302</v>
      </c>
      <c r="AA44" s="514">
        <f t="shared" si="7"/>
        <v>10302</v>
      </c>
      <c r="AB44" s="514">
        <f t="shared" si="7"/>
        <v>10302</v>
      </c>
      <c r="AC44" s="514">
        <f t="shared" si="7"/>
        <v>10302</v>
      </c>
      <c r="AD44" s="514">
        <f t="shared" si="7"/>
        <v>10302</v>
      </c>
      <c r="AE44" s="514">
        <f t="shared" si="7"/>
        <v>10302</v>
      </c>
      <c r="AF44" s="514">
        <f t="shared" si="7"/>
        <v>10302</v>
      </c>
      <c r="AG44" s="514">
        <f t="shared" si="7"/>
        <v>10302</v>
      </c>
      <c r="AH44" s="515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21</vt:i4>
      </vt:variant>
    </vt:vector>
  </HeadingPairs>
  <TitlesOfParts>
    <vt:vector size="41" baseType="lpstr">
      <vt:lpstr>Notes</vt:lpstr>
      <vt:lpstr>Tracking Sheet</vt:lpstr>
      <vt:lpstr>Assumptions</vt:lpstr>
      <vt:lpstr>IS</vt:lpstr>
      <vt:lpstr>Capital Budget</vt:lpstr>
      <vt:lpstr>Gas Curve</vt:lpstr>
      <vt:lpstr>Fixed and Variable Costs</vt:lpstr>
      <vt:lpstr>Returns Analysis</vt:lpstr>
      <vt:lpstr>Price_Technical Assumption</vt:lpstr>
      <vt:lpstr>Cash Flows</vt:lpstr>
      <vt:lpstr>Summary</vt:lpstr>
      <vt:lpstr>Amortization</vt:lpstr>
      <vt:lpstr>Debt Structs</vt:lpstr>
      <vt:lpstr>Performance</vt:lpstr>
      <vt:lpstr>Perf.</vt:lpstr>
      <vt:lpstr>BS</vt:lpstr>
      <vt:lpstr>Debt</vt:lpstr>
      <vt:lpstr>Depreciation</vt:lpstr>
      <vt:lpstr>Taxes</vt:lpstr>
      <vt:lpstr>IDC</vt:lpstr>
      <vt:lpstr>Deg_Rate</vt:lpstr>
      <vt:lpstr>ISO_MW</vt:lpstr>
      <vt:lpstr>Amortization!Print_Area</vt:lpstr>
      <vt:lpstr>Assumptions!Print_Area</vt:lpstr>
      <vt:lpstr>BS!Print_Area</vt:lpstr>
      <vt:lpstr>'Cash Flows'!Print_Area</vt:lpstr>
      <vt:lpstr>Debt!Print_Area</vt:lpstr>
      <vt:lpstr>'Debt Structs'!Print_Area</vt:lpstr>
      <vt:lpstr>Depreciation!Print_Area</vt:lpstr>
      <vt:lpstr>IDC!Print_Area</vt:lpstr>
      <vt:lpstr>IS!Print_Area</vt:lpstr>
      <vt:lpstr>'Returns Analysis'!Print_Area</vt:lpstr>
      <vt:lpstr>Summary!Print_Area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2000-04-19T15:01:20Z</cp:lastPrinted>
  <dcterms:created xsi:type="dcterms:W3CDTF">1999-04-02T01:38:38Z</dcterms:created>
  <dcterms:modified xsi:type="dcterms:W3CDTF">2023-09-13T22:55:37Z</dcterms:modified>
</cp:coreProperties>
</file>