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053D21-EAC6-4BF9-9CA7-F511278E2F95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3" r:id="rId1"/>
    <sheet name="Sheet1" sheetId="1" r:id="rId2"/>
    <sheet name="Sheet2" sheetId="2" r:id="rId3"/>
  </sheets>
  <definedNames>
    <definedName name="_xlnm.Print_Area" localSheetId="1">Sheet1!$A$1:$AN$215</definedName>
    <definedName name="_xlnm.Print_Area" localSheetId="2">Sheet2!$A$4:$AG$44</definedName>
    <definedName name="_xlnm.Print_Area" localSheetId="0">Summary!$D$7:$S$79</definedName>
  </definedNames>
  <calcPr calcId="0" calcMode="autoNoTable"/>
</workbook>
</file>

<file path=xl/calcChain.xml><?xml version="1.0" encoding="utf-8"?>
<calcChain xmlns="http://schemas.openxmlformats.org/spreadsheetml/2006/main">
  <c r="A3" i="1" l="1"/>
  <c r="M8" i="1"/>
  <c r="S9" i="1"/>
  <c r="S10" i="1"/>
  <c r="S11" i="1"/>
  <c r="G13" i="1"/>
  <c r="M13" i="1"/>
  <c r="G14" i="1"/>
  <c r="M14" i="1"/>
  <c r="G1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8" i="1"/>
  <c r="D51" i="1"/>
  <c r="E51" i="1"/>
  <c r="D52" i="1"/>
  <c r="E52" i="1"/>
  <c r="J52" i="1"/>
  <c r="K52" i="1"/>
  <c r="L52" i="1"/>
  <c r="M52" i="1"/>
  <c r="N52" i="1"/>
  <c r="O52" i="1"/>
  <c r="P52" i="1"/>
  <c r="Q52" i="1"/>
  <c r="D53" i="1"/>
  <c r="E53" i="1"/>
  <c r="F53" i="1"/>
  <c r="G53" i="1"/>
  <c r="R53" i="1"/>
  <c r="S53" i="1"/>
  <c r="T53" i="1"/>
  <c r="U53" i="1"/>
  <c r="V53" i="1"/>
  <c r="W53" i="1"/>
  <c r="D54" i="1"/>
  <c r="E54" i="1"/>
  <c r="H54" i="1"/>
  <c r="I54" i="1"/>
  <c r="D55" i="1"/>
  <c r="E55" i="1"/>
  <c r="D56" i="1"/>
  <c r="E56" i="1"/>
  <c r="F56" i="1"/>
  <c r="G56" i="1"/>
  <c r="J56" i="1"/>
  <c r="K56" i="1"/>
  <c r="L56" i="1"/>
  <c r="M56" i="1"/>
  <c r="D57" i="1"/>
  <c r="E57" i="1"/>
  <c r="F57" i="1"/>
  <c r="G57" i="1"/>
  <c r="J57" i="1"/>
  <c r="K57" i="1"/>
  <c r="L57" i="1"/>
  <c r="M57" i="1"/>
  <c r="R57" i="1"/>
  <c r="S57" i="1"/>
  <c r="T57" i="1"/>
  <c r="U57" i="1"/>
  <c r="V57" i="1"/>
  <c r="W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R84" i="1"/>
  <c r="S84" i="1"/>
  <c r="T84" i="1"/>
  <c r="U84" i="1"/>
  <c r="V84" i="1"/>
  <c r="W84" i="1"/>
  <c r="R85" i="1"/>
  <c r="S85" i="1"/>
  <c r="T85" i="1"/>
  <c r="U85" i="1"/>
  <c r="V85" i="1"/>
  <c r="W85" i="1"/>
  <c r="V86" i="1"/>
  <c r="W86" i="1"/>
  <c r="V87" i="1"/>
  <c r="W87" i="1"/>
  <c r="V88" i="1"/>
  <c r="W88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R141" i="1"/>
  <c r="S141" i="1"/>
  <c r="T141" i="1"/>
  <c r="U141" i="1"/>
  <c r="V141" i="1"/>
  <c r="W141" i="1"/>
  <c r="R142" i="1"/>
  <c r="S142" i="1"/>
  <c r="T142" i="1"/>
  <c r="U142" i="1"/>
  <c r="V142" i="1"/>
  <c r="W142" i="1"/>
  <c r="V143" i="1"/>
  <c r="W143" i="1"/>
  <c r="V144" i="1"/>
  <c r="W144" i="1"/>
  <c r="V145" i="1"/>
  <c r="W145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C162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E222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N310" i="1"/>
  <c r="O310" i="1"/>
  <c r="P310" i="1"/>
  <c r="Q310" i="1"/>
  <c r="R310" i="1"/>
  <c r="S310" i="1"/>
  <c r="T310" i="1"/>
  <c r="U310" i="1"/>
  <c r="V310" i="1"/>
  <c r="W310" i="1"/>
  <c r="N311" i="1"/>
  <c r="O311" i="1"/>
  <c r="P311" i="1"/>
  <c r="Q311" i="1"/>
  <c r="R311" i="1"/>
  <c r="S311" i="1"/>
  <c r="T311" i="1"/>
  <c r="U311" i="1"/>
  <c r="V311" i="1"/>
  <c r="W311" i="1"/>
  <c r="P312" i="1"/>
  <c r="Q312" i="1"/>
  <c r="R312" i="1"/>
  <c r="S312" i="1"/>
  <c r="T312" i="1"/>
  <c r="U312" i="1"/>
  <c r="V312" i="1"/>
  <c r="W312" i="1"/>
  <c r="P313" i="1"/>
  <c r="Q313" i="1"/>
  <c r="R313" i="1"/>
  <c r="S313" i="1"/>
  <c r="T313" i="1"/>
  <c r="U313" i="1"/>
  <c r="V313" i="1"/>
  <c r="W313" i="1"/>
  <c r="P314" i="1"/>
  <c r="Q314" i="1"/>
  <c r="R314" i="1"/>
  <c r="S314" i="1"/>
  <c r="T314" i="1"/>
  <c r="U314" i="1"/>
  <c r="V314" i="1"/>
  <c r="W314" i="1"/>
  <c r="P315" i="1"/>
  <c r="Q315" i="1"/>
  <c r="R315" i="1"/>
  <c r="S315" i="1"/>
  <c r="T315" i="1"/>
  <c r="U315" i="1"/>
  <c r="V315" i="1"/>
  <c r="W315" i="1"/>
  <c r="P316" i="1"/>
  <c r="Q316" i="1"/>
  <c r="R316" i="1"/>
  <c r="S316" i="1"/>
  <c r="T316" i="1"/>
  <c r="U316" i="1"/>
  <c r="V316" i="1"/>
  <c r="W316" i="1"/>
  <c r="P317" i="1"/>
  <c r="Q317" i="1"/>
  <c r="R317" i="1"/>
  <c r="S317" i="1"/>
  <c r="T317" i="1"/>
  <c r="U317" i="1"/>
  <c r="V317" i="1"/>
  <c r="W317" i="1"/>
  <c r="P318" i="1"/>
  <c r="Q318" i="1"/>
  <c r="R318" i="1"/>
  <c r="S318" i="1"/>
  <c r="T318" i="1"/>
  <c r="U318" i="1"/>
  <c r="V318" i="1"/>
  <c r="W318" i="1"/>
  <c r="R319" i="1"/>
  <c r="S319" i="1"/>
  <c r="T319" i="1"/>
  <c r="U319" i="1"/>
  <c r="V319" i="1"/>
  <c r="W319" i="1"/>
  <c r="R320" i="1"/>
  <c r="S320" i="1"/>
  <c r="T320" i="1"/>
  <c r="U320" i="1"/>
  <c r="V320" i="1"/>
  <c r="W320" i="1"/>
  <c r="V321" i="1"/>
  <c r="W321" i="1"/>
  <c r="V322" i="1"/>
  <c r="W322" i="1"/>
  <c r="V323" i="1"/>
  <c r="W32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N362" i="1"/>
  <c r="O362" i="1"/>
  <c r="P362" i="1"/>
  <c r="Q362" i="1"/>
  <c r="R362" i="1"/>
  <c r="S362" i="1"/>
  <c r="T362" i="1"/>
  <c r="U362" i="1"/>
  <c r="V362" i="1"/>
  <c r="W362" i="1"/>
  <c r="N363" i="1"/>
  <c r="O363" i="1"/>
  <c r="P363" i="1"/>
  <c r="Q363" i="1"/>
  <c r="R363" i="1"/>
  <c r="S363" i="1"/>
  <c r="T363" i="1"/>
  <c r="U363" i="1"/>
  <c r="V363" i="1"/>
  <c r="W363" i="1"/>
  <c r="P364" i="1"/>
  <c r="Q364" i="1"/>
  <c r="R364" i="1"/>
  <c r="S364" i="1"/>
  <c r="T364" i="1"/>
  <c r="U364" i="1"/>
  <c r="V364" i="1"/>
  <c r="W364" i="1"/>
  <c r="P365" i="1"/>
  <c r="Q365" i="1"/>
  <c r="R365" i="1"/>
  <c r="S365" i="1"/>
  <c r="T365" i="1"/>
  <c r="U365" i="1"/>
  <c r="V365" i="1"/>
  <c r="W365" i="1"/>
  <c r="P366" i="1"/>
  <c r="Q366" i="1"/>
  <c r="R366" i="1"/>
  <c r="S366" i="1"/>
  <c r="T366" i="1"/>
  <c r="U366" i="1"/>
  <c r="V366" i="1"/>
  <c r="W366" i="1"/>
  <c r="P367" i="1"/>
  <c r="Q367" i="1"/>
  <c r="R367" i="1"/>
  <c r="S367" i="1"/>
  <c r="T367" i="1"/>
  <c r="U367" i="1"/>
  <c r="V367" i="1"/>
  <c r="W367" i="1"/>
  <c r="P368" i="1"/>
  <c r="Q368" i="1"/>
  <c r="R368" i="1"/>
  <c r="S368" i="1"/>
  <c r="T368" i="1"/>
  <c r="U368" i="1"/>
  <c r="V368" i="1"/>
  <c r="W368" i="1"/>
  <c r="P369" i="1"/>
  <c r="Q369" i="1"/>
  <c r="R369" i="1"/>
  <c r="S369" i="1"/>
  <c r="T369" i="1"/>
  <c r="U369" i="1"/>
  <c r="V369" i="1"/>
  <c r="W369" i="1"/>
  <c r="P370" i="1"/>
  <c r="Q370" i="1"/>
  <c r="R370" i="1"/>
  <c r="S370" i="1"/>
  <c r="T370" i="1"/>
  <c r="U370" i="1"/>
  <c r="V370" i="1"/>
  <c r="W370" i="1"/>
  <c r="R371" i="1"/>
  <c r="S371" i="1"/>
  <c r="T371" i="1"/>
  <c r="U371" i="1"/>
  <c r="V371" i="1"/>
  <c r="W371" i="1"/>
  <c r="R372" i="1"/>
  <c r="S372" i="1"/>
  <c r="T372" i="1"/>
  <c r="U372" i="1"/>
  <c r="V372" i="1"/>
  <c r="W372" i="1"/>
  <c r="V373" i="1"/>
  <c r="W373" i="1"/>
  <c r="V374" i="1"/>
  <c r="W374" i="1"/>
  <c r="V375" i="1"/>
  <c r="W37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D407" i="1"/>
  <c r="E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D409" i="1"/>
  <c r="E409" i="1"/>
  <c r="F409" i="1"/>
  <c r="G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D413" i="1"/>
  <c r="E413" i="1"/>
  <c r="F413" i="1"/>
  <c r="G413" i="1"/>
  <c r="H413" i="1"/>
  <c r="I413" i="1"/>
  <c r="N413" i="1"/>
  <c r="O413" i="1"/>
  <c r="P413" i="1"/>
  <c r="Q413" i="1"/>
  <c r="R413" i="1"/>
  <c r="S413" i="1"/>
  <c r="T413" i="1"/>
  <c r="U413" i="1"/>
  <c r="V413" i="1"/>
  <c r="W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D415" i="1"/>
  <c r="E415" i="1"/>
  <c r="F415" i="1"/>
  <c r="G415" i="1"/>
  <c r="H415" i="1"/>
  <c r="I415" i="1"/>
  <c r="J415" i="1"/>
  <c r="K415" i="1"/>
  <c r="L415" i="1"/>
  <c r="M415" i="1"/>
  <c r="P415" i="1"/>
  <c r="Q415" i="1"/>
  <c r="R415" i="1"/>
  <c r="S415" i="1"/>
  <c r="T415" i="1"/>
  <c r="U415" i="1"/>
  <c r="V415" i="1"/>
  <c r="W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R422" i="1"/>
  <c r="S422" i="1"/>
  <c r="T422" i="1"/>
  <c r="U422" i="1"/>
  <c r="V422" i="1"/>
  <c r="W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V424" i="1"/>
  <c r="W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N464" i="1"/>
  <c r="O464" i="1"/>
  <c r="P464" i="1"/>
  <c r="Q464" i="1"/>
  <c r="R464" i="1"/>
  <c r="S464" i="1"/>
  <c r="T464" i="1"/>
  <c r="U464" i="1"/>
  <c r="V464" i="1"/>
  <c r="W464" i="1"/>
  <c r="N465" i="1"/>
  <c r="O465" i="1"/>
  <c r="P465" i="1"/>
  <c r="Q465" i="1"/>
  <c r="R465" i="1"/>
  <c r="S465" i="1"/>
  <c r="T465" i="1"/>
  <c r="U465" i="1"/>
  <c r="V465" i="1"/>
  <c r="W465" i="1"/>
  <c r="P466" i="1"/>
  <c r="Q466" i="1"/>
  <c r="R466" i="1"/>
  <c r="S466" i="1"/>
  <c r="T466" i="1"/>
  <c r="U466" i="1"/>
  <c r="V466" i="1"/>
  <c r="W466" i="1"/>
  <c r="P467" i="1"/>
  <c r="Q467" i="1"/>
  <c r="R467" i="1"/>
  <c r="S467" i="1"/>
  <c r="T467" i="1"/>
  <c r="U467" i="1"/>
  <c r="V467" i="1"/>
  <c r="W467" i="1"/>
  <c r="P468" i="1"/>
  <c r="Q468" i="1"/>
  <c r="R468" i="1"/>
  <c r="S468" i="1"/>
  <c r="T468" i="1"/>
  <c r="U468" i="1"/>
  <c r="V468" i="1"/>
  <c r="W468" i="1"/>
  <c r="P469" i="1"/>
  <c r="Q469" i="1"/>
  <c r="R469" i="1"/>
  <c r="S469" i="1"/>
  <c r="T469" i="1"/>
  <c r="U469" i="1"/>
  <c r="V469" i="1"/>
  <c r="W469" i="1"/>
  <c r="P470" i="1"/>
  <c r="Q470" i="1"/>
  <c r="R470" i="1"/>
  <c r="S470" i="1"/>
  <c r="T470" i="1"/>
  <c r="U470" i="1"/>
  <c r="V470" i="1"/>
  <c r="W470" i="1"/>
  <c r="P471" i="1"/>
  <c r="Q471" i="1"/>
  <c r="R471" i="1"/>
  <c r="S471" i="1"/>
  <c r="T471" i="1"/>
  <c r="U471" i="1"/>
  <c r="V471" i="1"/>
  <c r="W471" i="1"/>
  <c r="P472" i="1"/>
  <c r="Q472" i="1"/>
  <c r="R472" i="1"/>
  <c r="S472" i="1"/>
  <c r="T472" i="1"/>
  <c r="U472" i="1"/>
  <c r="V472" i="1"/>
  <c r="W472" i="1"/>
  <c r="R473" i="1"/>
  <c r="S473" i="1"/>
  <c r="T473" i="1"/>
  <c r="U473" i="1"/>
  <c r="V473" i="1"/>
  <c r="W473" i="1"/>
  <c r="R474" i="1"/>
  <c r="S474" i="1"/>
  <c r="T474" i="1"/>
  <c r="U474" i="1"/>
  <c r="V474" i="1"/>
  <c r="W474" i="1"/>
  <c r="V475" i="1"/>
  <c r="W475" i="1"/>
  <c r="V476" i="1"/>
  <c r="W476" i="1"/>
  <c r="V477" i="1"/>
  <c r="W477" i="1"/>
  <c r="D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C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" i="2"/>
  <c r="F5" i="2"/>
  <c r="G5" i="2"/>
  <c r="J5" i="2"/>
  <c r="L5" i="2"/>
  <c r="M5" i="2"/>
  <c r="N5" i="2"/>
  <c r="O5" i="2"/>
  <c r="R5" i="2"/>
  <c r="T5" i="2"/>
  <c r="U5" i="2"/>
  <c r="V5" i="2"/>
  <c r="W5" i="2"/>
  <c r="X5" i="2"/>
  <c r="Y5" i="2"/>
  <c r="Z5" i="2"/>
  <c r="AB5" i="2"/>
  <c r="AC5" i="2"/>
  <c r="AD5" i="2"/>
  <c r="AF5" i="2"/>
  <c r="AG5" i="2"/>
  <c r="AL5" i="2"/>
  <c r="AM5" i="2"/>
  <c r="AN5" i="2"/>
  <c r="AP5" i="2"/>
  <c r="AR5" i="2"/>
  <c r="AS5" i="2"/>
  <c r="AT5" i="2"/>
  <c r="AU5" i="2"/>
  <c r="AV5" i="2"/>
  <c r="AX5" i="2"/>
  <c r="C6" i="2"/>
  <c r="E6" i="2"/>
  <c r="F6" i="2"/>
  <c r="G6" i="2"/>
  <c r="J6" i="2"/>
  <c r="L6" i="2"/>
  <c r="M6" i="2"/>
  <c r="N6" i="2"/>
  <c r="O6" i="2"/>
  <c r="R6" i="2"/>
  <c r="U6" i="2"/>
  <c r="V6" i="2"/>
  <c r="W6" i="2"/>
  <c r="X6" i="2"/>
  <c r="Y6" i="2"/>
  <c r="Z6" i="2"/>
  <c r="AB6" i="2"/>
  <c r="AC6" i="2"/>
  <c r="AD6" i="2"/>
  <c r="AF6" i="2"/>
  <c r="AM6" i="2"/>
  <c r="AN6" i="2"/>
  <c r="AP6" i="2"/>
  <c r="AS6" i="2"/>
  <c r="AT6" i="2"/>
  <c r="AU6" i="2"/>
  <c r="AV6" i="2"/>
  <c r="AX6" i="2"/>
  <c r="C7" i="2"/>
  <c r="E7" i="2"/>
  <c r="F7" i="2"/>
  <c r="G7" i="2"/>
  <c r="J7" i="2"/>
  <c r="L7" i="2"/>
  <c r="M7" i="2"/>
  <c r="N7" i="2"/>
  <c r="O7" i="2"/>
  <c r="R7" i="2"/>
  <c r="U7" i="2"/>
  <c r="V7" i="2"/>
  <c r="W7" i="2"/>
  <c r="X7" i="2"/>
  <c r="Y7" i="2"/>
  <c r="Z7" i="2"/>
  <c r="AB7" i="2"/>
  <c r="AC7" i="2"/>
  <c r="AD7" i="2"/>
  <c r="AF7" i="2"/>
  <c r="AM7" i="2"/>
  <c r="AN7" i="2"/>
  <c r="AP7" i="2"/>
  <c r="AS7" i="2"/>
  <c r="AT7" i="2"/>
  <c r="AU7" i="2"/>
  <c r="AV7" i="2"/>
  <c r="AX7" i="2"/>
  <c r="C8" i="2"/>
  <c r="E8" i="2"/>
  <c r="F8" i="2"/>
  <c r="G8" i="2"/>
  <c r="J8" i="2"/>
  <c r="L8" i="2"/>
  <c r="M8" i="2"/>
  <c r="N8" i="2"/>
  <c r="O8" i="2"/>
  <c r="R8" i="2"/>
  <c r="U8" i="2"/>
  <c r="V8" i="2"/>
  <c r="W8" i="2"/>
  <c r="X8" i="2"/>
  <c r="Y8" i="2"/>
  <c r="Z8" i="2"/>
  <c r="AB8" i="2"/>
  <c r="AC8" i="2"/>
  <c r="AD8" i="2"/>
  <c r="AF8" i="2"/>
  <c r="AM8" i="2"/>
  <c r="AN8" i="2"/>
  <c r="AP8" i="2"/>
  <c r="AS8" i="2"/>
  <c r="AT8" i="2"/>
  <c r="AU8" i="2"/>
  <c r="AV8" i="2"/>
  <c r="AX8" i="2"/>
  <c r="C9" i="2"/>
  <c r="E9" i="2"/>
  <c r="F9" i="2"/>
  <c r="G9" i="2"/>
  <c r="J9" i="2"/>
  <c r="L9" i="2"/>
  <c r="M9" i="2"/>
  <c r="N9" i="2"/>
  <c r="O9" i="2"/>
  <c r="R9" i="2"/>
  <c r="U9" i="2"/>
  <c r="V9" i="2"/>
  <c r="W9" i="2"/>
  <c r="X9" i="2"/>
  <c r="Y9" i="2"/>
  <c r="Z9" i="2"/>
  <c r="AB9" i="2"/>
  <c r="AC9" i="2"/>
  <c r="AD9" i="2"/>
  <c r="AF9" i="2"/>
  <c r="AM9" i="2"/>
  <c r="AN9" i="2"/>
  <c r="AP9" i="2"/>
  <c r="AS9" i="2"/>
  <c r="AT9" i="2"/>
  <c r="AU9" i="2"/>
  <c r="AV9" i="2"/>
  <c r="AX9" i="2"/>
  <c r="C10" i="2"/>
  <c r="E10" i="2"/>
  <c r="F10" i="2"/>
  <c r="G10" i="2"/>
  <c r="J10" i="2"/>
  <c r="L10" i="2"/>
  <c r="M10" i="2"/>
  <c r="N10" i="2"/>
  <c r="O10" i="2"/>
  <c r="R10" i="2"/>
  <c r="U10" i="2"/>
  <c r="V10" i="2"/>
  <c r="W10" i="2"/>
  <c r="X10" i="2"/>
  <c r="Y10" i="2"/>
  <c r="Z10" i="2"/>
  <c r="AB10" i="2"/>
  <c r="AC10" i="2"/>
  <c r="AD10" i="2"/>
  <c r="AF10" i="2"/>
  <c r="AM10" i="2"/>
  <c r="AN10" i="2"/>
  <c r="AP10" i="2"/>
  <c r="AS10" i="2"/>
  <c r="AT10" i="2"/>
  <c r="AU10" i="2"/>
  <c r="AV10" i="2"/>
  <c r="AX10" i="2"/>
  <c r="C11" i="2"/>
  <c r="E11" i="2"/>
  <c r="F11" i="2"/>
  <c r="G11" i="2"/>
  <c r="J11" i="2"/>
  <c r="L11" i="2"/>
  <c r="M11" i="2"/>
  <c r="N11" i="2"/>
  <c r="O11" i="2"/>
  <c r="R11" i="2"/>
  <c r="U11" i="2"/>
  <c r="V11" i="2"/>
  <c r="W11" i="2"/>
  <c r="X11" i="2"/>
  <c r="Y11" i="2"/>
  <c r="Z11" i="2"/>
  <c r="AB11" i="2"/>
  <c r="AC11" i="2"/>
  <c r="AD11" i="2"/>
  <c r="AF11" i="2"/>
  <c r="AM11" i="2"/>
  <c r="AN11" i="2"/>
  <c r="AP11" i="2"/>
  <c r="AS11" i="2"/>
  <c r="AT11" i="2"/>
  <c r="AU11" i="2"/>
  <c r="AV11" i="2"/>
  <c r="AX11" i="2"/>
  <c r="C12" i="2"/>
  <c r="E12" i="2"/>
  <c r="F12" i="2"/>
  <c r="G12" i="2"/>
  <c r="J12" i="2"/>
  <c r="L12" i="2"/>
  <c r="M12" i="2"/>
  <c r="N12" i="2"/>
  <c r="O12" i="2"/>
  <c r="R12" i="2"/>
  <c r="U12" i="2"/>
  <c r="V12" i="2"/>
  <c r="W12" i="2"/>
  <c r="X12" i="2"/>
  <c r="Y12" i="2"/>
  <c r="Z12" i="2"/>
  <c r="AB12" i="2"/>
  <c r="AC12" i="2"/>
  <c r="AD12" i="2"/>
  <c r="AF12" i="2"/>
  <c r="AM12" i="2"/>
  <c r="AN12" i="2"/>
  <c r="AP12" i="2"/>
  <c r="AS12" i="2"/>
  <c r="AT12" i="2"/>
  <c r="AU12" i="2"/>
  <c r="AV12" i="2"/>
  <c r="AX12" i="2"/>
  <c r="C13" i="2"/>
  <c r="E13" i="2"/>
  <c r="F13" i="2"/>
  <c r="G13" i="2"/>
  <c r="J13" i="2"/>
  <c r="L13" i="2"/>
  <c r="M13" i="2"/>
  <c r="N13" i="2"/>
  <c r="O13" i="2"/>
  <c r="R13" i="2"/>
  <c r="U13" i="2"/>
  <c r="V13" i="2"/>
  <c r="W13" i="2"/>
  <c r="X13" i="2"/>
  <c r="Y13" i="2"/>
  <c r="Z13" i="2"/>
  <c r="AB13" i="2"/>
  <c r="AC13" i="2"/>
  <c r="AD13" i="2"/>
  <c r="AF13" i="2"/>
  <c r="AM13" i="2"/>
  <c r="AN13" i="2"/>
  <c r="AP13" i="2"/>
  <c r="AS13" i="2"/>
  <c r="AT13" i="2"/>
  <c r="AU13" i="2"/>
  <c r="AV13" i="2"/>
  <c r="AX13" i="2"/>
  <c r="C14" i="2"/>
  <c r="E14" i="2"/>
  <c r="F14" i="2"/>
  <c r="G14" i="2"/>
  <c r="J14" i="2"/>
  <c r="L14" i="2"/>
  <c r="M14" i="2"/>
  <c r="N14" i="2"/>
  <c r="O14" i="2"/>
  <c r="R14" i="2"/>
  <c r="U14" i="2"/>
  <c r="V14" i="2"/>
  <c r="W14" i="2"/>
  <c r="X14" i="2"/>
  <c r="Y14" i="2"/>
  <c r="Z14" i="2"/>
  <c r="AB14" i="2"/>
  <c r="AC14" i="2"/>
  <c r="AD14" i="2"/>
  <c r="AF14" i="2"/>
  <c r="AM14" i="2"/>
  <c r="AN14" i="2"/>
  <c r="AP14" i="2"/>
  <c r="AS14" i="2"/>
  <c r="AT14" i="2"/>
  <c r="AU14" i="2"/>
  <c r="AV14" i="2"/>
  <c r="AX14" i="2"/>
  <c r="C15" i="2"/>
  <c r="E15" i="2"/>
  <c r="F15" i="2"/>
  <c r="G15" i="2"/>
  <c r="J15" i="2"/>
  <c r="L15" i="2"/>
  <c r="M15" i="2"/>
  <c r="N15" i="2"/>
  <c r="O15" i="2"/>
  <c r="R15" i="2"/>
  <c r="U15" i="2"/>
  <c r="V15" i="2"/>
  <c r="W15" i="2"/>
  <c r="X15" i="2"/>
  <c r="Y15" i="2"/>
  <c r="Z15" i="2"/>
  <c r="AB15" i="2"/>
  <c r="AC15" i="2"/>
  <c r="AD15" i="2"/>
  <c r="AF15" i="2"/>
  <c r="AM15" i="2"/>
  <c r="AN15" i="2"/>
  <c r="AP15" i="2"/>
  <c r="AS15" i="2"/>
  <c r="AT15" i="2"/>
  <c r="AU15" i="2"/>
  <c r="AV15" i="2"/>
  <c r="AX15" i="2"/>
  <c r="C16" i="2"/>
  <c r="E16" i="2"/>
  <c r="F16" i="2"/>
  <c r="G16" i="2"/>
  <c r="J16" i="2"/>
  <c r="L16" i="2"/>
  <c r="M16" i="2"/>
  <c r="N16" i="2"/>
  <c r="O16" i="2"/>
  <c r="R16" i="2"/>
  <c r="U16" i="2"/>
  <c r="V16" i="2"/>
  <c r="W16" i="2"/>
  <c r="X16" i="2"/>
  <c r="Y16" i="2"/>
  <c r="Z16" i="2"/>
  <c r="AB16" i="2"/>
  <c r="AC16" i="2"/>
  <c r="AD16" i="2"/>
  <c r="AF16" i="2"/>
  <c r="AM16" i="2"/>
  <c r="AN16" i="2"/>
  <c r="AP16" i="2"/>
  <c r="AS16" i="2"/>
  <c r="AT16" i="2"/>
  <c r="AU16" i="2"/>
  <c r="AV16" i="2"/>
  <c r="AW16" i="2"/>
  <c r="AX16" i="2"/>
  <c r="C17" i="2"/>
  <c r="E17" i="2"/>
  <c r="F17" i="2"/>
  <c r="G17" i="2"/>
  <c r="J17" i="2"/>
  <c r="L17" i="2"/>
  <c r="M17" i="2"/>
  <c r="N17" i="2"/>
  <c r="O17" i="2"/>
  <c r="R17" i="2"/>
  <c r="U17" i="2"/>
  <c r="V17" i="2"/>
  <c r="W17" i="2"/>
  <c r="X17" i="2"/>
  <c r="Y17" i="2"/>
  <c r="Z17" i="2"/>
  <c r="AB17" i="2"/>
  <c r="AC17" i="2"/>
  <c r="AD17" i="2"/>
  <c r="AF17" i="2"/>
  <c r="AM17" i="2"/>
  <c r="AN17" i="2"/>
  <c r="AP17" i="2"/>
  <c r="AS17" i="2"/>
  <c r="AT17" i="2"/>
  <c r="AU17" i="2"/>
  <c r="AV17" i="2"/>
  <c r="AW17" i="2"/>
  <c r="AX17" i="2"/>
  <c r="C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U18" i="2"/>
  <c r="V18" i="2"/>
  <c r="W18" i="2"/>
  <c r="X18" i="2"/>
  <c r="Y18" i="2"/>
  <c r="Z18" i="2"/>
  <c r="AA18" i="2"/>
  <c r="AB18" i="2"/>
  <c r="AC18" i="2"/>
  <c r="AD18" i="2"/>
  <c r="AF18" i="2"/>
  <c r="AM18" i="2"/>
  <c r="AN18" i="2"/>
  <c r="AO18" i="2"/>
  <c r="AP18" i="2"/>
  <c r="AS18" i="2"/>
  <c r="AT18" i="2"/>
  <c r="AU18" i="2"/>
  <c r="AV18" i="2"/>
  <c r="AX18" i="2"/>
  <c r="C19" i="2"/>
  <c r="E19" i="2"/>
  <c r="F19" i="2"/>
  <c r="G19" i="2"/>
  <c r="J19" i="2"/>
  <c r="L19" i="2"/>
  <c r="M19" i="2"/>
  <c r="N19" i="2"/>
  <c r="O19" i="2"/>
  <c r="R19" i="2"/>
  <c r="U19" i="2"/>
  <c r="V19" i="2"/>
  <c r="W19" i="2"/>
  <c r="X19" i="2"/>
  <c r="Y19" i="2"/>
  <c r="Z19" i="2"/>
  <c r="AB19" i="2"/>
  <c r="AC19" i="2"/>
  <c r="AD19" i="2"/>
  <c r="AF19" i="2"/>
  <c r="AM19" i="2"/>
  <c r="AN19" i="2"/>
  <c r="AP19" i="2"/>
  <c r="AS19" i="2"/>
  <c r="AT19" i="2"/>
  <c r="AU19" i="2"/>
  <c r="AV19" i="2"/>
  <c r="AX19" i="2"/>
  <c r="C20" i="2"/>
  <c r="E20" i="2"/>
  <c r="F20" i="2"/>
  <c r="G20" i="2"/>
  <c r="J20" i="2"/>
  <c r="L20" i="2"/>
  <c r="M20" i="2"/>
  <c r="N20" i="2"/>
  <c r="O20" i="2"/>
  <c r="R20" i="2"/>
  <c r="U20" i="2"/>
  <c r="V20" i="2"/>
  <c r="W20" i="2"/>
  <c r="X20" i="2"/>
  <c r="Y20" i="2"/>
  <c r="Z20" i="2"/>
  <c r="AB20" i="2"/>
  <c r="AC20" i="2"/>
  <c r="AD20" i="2"/>
  <c r="AF20" i="2"/>
  <c r="AM20" i="2"/>
  <c r="AN20" i="2"/>
  <c r="AP20" i="2"/>
  <c r="AS20" i="2"/>
  <c r="AT20" i="2"/>
  <c r="AU20" i="2"/>
  <c r="AV20" i="2"/>
  <c r="AX20" i="2"/>
  <c r="C21" i="2"/>
  <c r="E21" i="2"/>
  <c r="F21" i="2"/>
  <c r="G21" i="2"/>
  <c r="J21" i="2"/>
  <c r="L21" i="2"/>
  <c r="M21" i="2"/>
  <c r="N21" i="2"/>
  <c r="O21" i="2"/>
  <c r="R21" i="2"/>
  <c r="U21" i="2"/>
  <c r="V21" i="2"/>
  <c r="W21" i="2"/>
  <c r="X21" i="2"/>
  <c r="Y21" i="2"/>
  <c r="Z21" i="2"/>
  <c r="AB21" i="2"/>
  <c r="AC21" i="2"/>
  <c r="AD21" i="2"/>
  <c r="AF21" i="2"/>
  <c r="AM21" i="2"/>
  <c r="AN21" i="2"/>
  <c r="AP21" i="2"/>
  <c r="AS21" i="2"/>
  <c r="AT21" i="2"/>
  <c r="AU21" i="2"/>
  <c r="AV21" i="2"/>
  <c r="AW21" i="2"/>
  <c r="AX21" i="2"/>
  <c r="C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U22" i="2"/>
  <c r="V22" i="2"/>
  <c r="W22" i="2"/>
  <c r="X22" i="2"/>
  <c r="Y22" i="2"/>
  <c r="Z22" i="2"/>
  <c r="AA22" i="2"/>
  <c r="AB22" i="2"/>
  <c r="AC22" i="2"/>
  <c r="AD22" i="2"/>
  <c r="AF22" i="2"/>
  <c r="AM22" i="2"/>
  <c r="AN22" i="2"/>
  <c r="AO22" i="2"/>
  <c r="AP22" i="2"/>
  <c r="AS22" i="2"/>
  <c r="AT22" i="2"/>
  <c r="AU22" i="2"/>
  <c r="AV22" i="2"/>
  <c r="AX22" i="2"/>
  <c r="C23" i="2"/>
  <c r="E23" i="2"/>
  <c r="F23" i="2"/>
  <c r="G23" i="2"/>
  <c r="J23" i="2"/>
  <c r="L23" i="2"/>
  <c r="M23" i="2"/>
  <c r="N23" i="2"/>
  <c r="O23" i="2"/>
  <c r="R23" i="2"/>
  <c r="U23" i="2"/>
  <c r="V23" i="2"/>
  <c r="W23" i="2"/>
  <c r="X23" i="2"/>
  <c r="Y23" i="2"/>
  <c r="Z23" i="2"/>
  <c r="AB23" i="2"/>
  <c r="AC23" i="2"/>
  <c r="AD23" i="2"/>
  <c r="AF23" i="2"/>
  <c r="AM23" i="2"/>
  <c r="AN23" i="2"/>
  <c r="AP23" i="2"/>
  <c r="AS23" i="2"/>
  <c r="AT23" i="2"/>
  <c r="AU23" i="2"/>
  <c r="AV23" i="2"/>
  <c r="AW23" i="2"/>
  <c r="AX23" i="2"/>
  <c r="C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U24" i="2"/>
  <c r="V24" i="2"/>
  <c r="W24" i="2"/>
  <c r="X24" i="2"/>
  <c r="Y24" i="2"/>
  <c r="Z24" i="2"/>
  <c r="AA24" i="2"/>
  <c r="AB24" i="2"/>
  <c r="AC24" i="2"/>
  <c r="AD24" i="2"/>
  <c r="AF24" i="2"/>
  <c r="AM24" i="2"/>
  <c r="AN24" i="2"/>
  <c r="AO24" i="2"/>
  <c r="AP24" i="2"/>
  <c r="AS24" i="2"/>
  <c r="AT24" i="2"/>
  <c r="AU24" i="2"/>
  <c r="AV24" i="2"/>
  <c r="AX24" i="2"/>
  <c r="C25" i="2"/>
  <c r="E25" i="2"/>
  <c r="F25" i="2"/>
  <c r="G25" i="2"/>
  <c r="J25" i="2"/>
  <c r="L25" i="2"/>
  <c r="M25" i="2"/>
  <c r="N25" i="2"/>
  <c r="O25" i="2"/>
  <c r="R25" i="2"/>
  <c r="U25" i="2"/>
  <c r="V25" i="2"/>
  <c r="W25" i="2"/>
  <c r="X25" i="2"/>
  <c r="Y25" i="2"/>
  <c r="Z25" i="2"/>
  <c r="AB25" i="2"/>
  <c r="AC25" i="2"/>
  <c r="AD25" i="2"/>
  <c r="AF25" i="2"/>
  <c r="AM25" i="2"/>
  <c r="AN25" i="2"/>
  <c r="AP25" i="2"/>
  <c r="AS25" i="2"/>
  <c r="AT25" i="2"/>
  <c r="AU25" i="2"/>
  <c r="AV25" i="2"/>
  <c r="AX25" i="2"/>
  <c r="C26" i="2"/>
  <c r="E26" i="2"/>
  <c r="F26" i="2"/>
  <c r="G26" i="2"/>
  <c r="J26" i="2"/>
  <c r="L26" i="2"/>
  <c r="M26" i="2"/>
  <c r="N26" i="2"/>
  <c r="O26" i="2"/>
  <c r="R26" i="2"/>
  <c r="U26" i="2"/>
  <c r="V26" i="2"/>
  <c r="W26" i="2"/>
  <c r="X26" i="2"/>
  <c r="Y26" i="2"/>
  <c r="Z26" i="2"/>
  <c r="AB26" i="2"/>
  <c r="AC26" i="2"/>
  <c r="AD26" i="2"/>
  <c r="AF26" i="2"/>
  <c r="AM26" i="2"/>
  <c r="AN26" i="2"/>
  <c r="AP26" i="2"/>
  <c r="AS26" i="2"/>
  <c r="AT26" i="2"/>
  <c r="AU26" i="2"/>
  <c r="AV26" i="2"/>
  <c r="AW26" i="2"/>
  <c r="AX26" i="2"/>
  <c r="C27" i="2"/>
  <c r="E27" i="2"/>
  <c r="F27" i="2"/>
  <c r="G27" i="2"/>
  <c r="J27" i="2"/>
  <c r="L27" i="2"/>
  <c r="M27" i="2"/>
  <c r="N27" i="2"/>
  <c r="O27" i="2"/>
  <c r="R27" i="2"/>
  <c r="U27" i="2"/>
  <c r="V27" i="2"/>
  <c r="W27" i="2"/>
  <c r="X27" i="2"/>
  <c r="Y27" i="2"/>
  <c r="Z27" i="2"/>
  <c r="AB27" i="2"/>
  <c r="AC27" i="2"/>
  <c r="AD27" i="2"/>
  <c r="AF27" i="2"/>
  <c r="AM27" i="2"/>
  <c r="AN27" i="2"/>
  <c r="AP27" i="2"/>
  <c r="AS27" i="2"/>
  <c r="AT27" i="2"/>
  <c r="AU27" i="2"/>
  <c r="AV27" i="2"/>
  <c r="AX27" i="2"/>
  <c r="C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U28" i="2"/>
  <c r="V28" i="2"/>
  <c r="W28" i="2"/>
  <c r="X28" i="2"/>
  <c r="Y28" i="2"/>
  <c r="Z28" i="2"/>
  <c r="AA28" i="2"/>
  <c r="AB28" i="2"/>
  <c r="AC28" i="2"/>
  <c r="AD28" i="2"/>
  <c r="AF28" i="2"/>
  <c r="AM28" i="2"/>
  <c r="AN28" i="2"/>
  <c r="AO28" i="2"/>
  <c r="AP28" i="2"/>
  <c r="AS28" i="2"/>
  <c r="AT28" i="2"/>
  <c r="AU28" i="2"/>
  <c r="AV28" i="2"/>
  <c r="AX28" i="2"/>
  <c r="C29" i="2"/>
  <c r="E29" i="2"/>
  <c r="F29" i="2"/>
  <c r="G29" i="2"/>
  <c r="J29" i="2"/>
  <c r="L29" i="2"/>
  <c r="M29" i="2"/>
  <c r="N29" i="2"/>
  <c r="O29" i="2"/>
  <c r="R29" i="2"/>
  <c r="U29" i="2"/>
  <c r="V29" i="2"/>
  <c r="W29" i="2"/>
  <c r="X29" i="2"/>
  <c r="Y29" i="2"/>
  <c r="Z29" i="2"/>
  <c r="AB29" i="2"/>
  <c r="AC29" i="2"/>
  <c r="AD29" i="2"/>
  <c r="AF29" i="2"/>
  <c r="AM29" i="2"/>
  <c r="AN29" i="2"/>
  <c r="AP29" i="2"/>
  <c r="AS29" i="2"/>
  <c r="AT29" i="2"/>
  <c r="AU29" i="2"/>
  <c r="AV29" i="2"/>
  <c r="AW29" i="2"/>
  <c r="AX29" i="2"/>
  <c r="C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U30" i="2"/>
  <c r="V30" i="2"/>
  <c r="W30" i="2"/>
  <c r="X30" i="2"/>
  <c r="Y30" i="2"/>
  <c r="Z30" i="2"/>
  <c r="AA30" i="2"/>
  <c r="AB30" i="2"/>
  <c r="AC30" i="2"/>
  <c r="AD30" i="2"/>
  <c r="AF30" i="2"/>
  <c r="AM30" i="2"/>
  <c r="AN30" i="2"/>
  <c r="AO30" i="2"/>
  <c r="AP30" i="2"/>
  <c r="AS30" i="2"/>
  <c r="AT30" i="2"/>
  <c r="AU30" i="2"/>
  <c r="AV30" i="2"/>
  <c r="AX30" i="2"/>
  <c r="C31" i="2"/>
  <c r="E31" i="2"/>
  <c r="F31" i="2"/>
  <c r="G31" i="2"/>
  <c r="J31" i="2"/>
  <c r="L31" i="2"/>
  <c r="M31" i="2"/>
  <c r="N31" i="2"/>
  <c r="O31" i="2"/>
  <c r="R31" i="2"/>
  <c r="U31" i="2"/>
  <c r="V31" i="2"/>
  <c r="W31" i="2"/>
  <c r="X31" i="2"/>
  <c r="Y31" i="2"/>
  <c r="Z31" i="2"/>
  <c r="AB31" i="2"/>
  <c r="AC31" i="2"/>
  <c r="AD31" i="2"/>
  <c r="AF31" i="2"/>
  <c r="AM31" i="2"/>
  <c r="AN31" i="2"/>
  <c r="AP31" i="2"/>
  <c r="AS31" i="2"/>
  <c r="AT31" i="2"/>
  <c r="AU31" i="2"/>
  <c r="AV31" i="2"/>
  <c r="AX31" i="2"/>
  <c r="C32" i="2"/>
  <c r="E32" i="2"/>
  <c r="F32" i="2"/>
  <c r="G32" i="2"/>
  <c r="J32" i="2"/>
  <c r="L32" i="2"/>
  <c r="M32" i="2"/>
  <c r="N32" i="2"/>
  <c r="O32" i="2"/>
  <c r="R32" i="2"/>
  <c r="U32" i="2"/>
  <c r="V32" i="2"/>
  <c r="W32" i="2"/>
  <c r="X32" i="2"/>
  <c r="Y32" i="2"/>
  <c r="Z32" i="2"/>
  <c r="AB32" i="2"/>
  <c r="AC32" i="2"/>
  <c r="AD32" i="2"/>
  <c r="AF32" i="2"/>
  <c r="AM32" i="2"/>
  <c r="AN32" i="2"/>
  <c r="AP32" i="2"/>
  <c r="AS32" i="2"/>
  <c r="AT32" i="2"/>
  <c r="AU32" i="2"/>
  <c r="AV32" i="2"/>
  <c r="AX32" i="2"/>
  <c r="C33" i="2"/>
  <c r="E33" i="2"/>
  <c r="F33" i="2"/>
  <c r="G33" i="2"/>
  <c r="J33" i="2"/>
  <c r="L33" i="2"/>
  <c r="M33" i="2"/>
  <c r="N33" i="2"/>
  <c r="O33" i="2"/>
  <c r="R33" i="2"/>
  <c r="U33" i="2"/>
  <c r="V33" i="2"/>
  <c r="W33" i="2"/>
  <c r="X33" i="2"/>
  <c r="Y33" i="2"/>
  <c r="Z33" i="2"/>
  <c r="AB33" i="2"/>
  <c r="AC33" i="2"/>
  <c r="AD33" i="2"/>
  <c r="AF33" i="2"/>
  <c r="AM33" i="2"/>
  <c r="AN33" i="2"/>
  <c r="AP33" i="2"/>
  <c r="AS33" i="2"/>
  <c r="AT33" i="2"/>
  <c r="AU33" i="2"/>
  <c r="AV33" i="2"/>
  <c r="AX33" i="2"/>
  <c r="C34" i="2"/>
  <c r="E34" i="2"/>
  <c r="F34" i="2"/>
  <c r="G34" i="2"/>
  <c r="J34" i="2"/>
  <c r="L34" i="2"/>
  <c r="M34" i="2"/>
  <c r="N34" i="2"/>
  <c r="O34" i="2"/>
  <c r="R34" i="2"/>
  <c r="U34" i="2"/>
  <c r="V34" i="2"/>
  <c r="W34" i="2"/>
  <c r="X34" i="2"/>
  <c r="Y34" i="2"/>
  <c r="Z34" i="2"/>
  <c r="AB34" i="2"/>
  <c r="AC34" i="2"/>
  <c r="AD34" i="2"/>
  <c r="AF34" i="2"/>
  <c r="AM34" i="2"/>
  <c r="AN34" i="2"/>
  <c r="AP34" i="2"/>
  <c r="AS34" i="2"/>
  <c r="AT34" i="2"/>
  <c r="AU34" i="2"/>
  <c r="AV34" i="2"/>
  <c r="AX34" i="2"/>
  <c r="C35" i="2"/>
  <c r="E35" i="2"/>
  <c r="F35" i="2"/>
  <c r="G35" i="2"/>
  <c r="J35" i="2"/>
  <c r="L35" i="2"/>
  <c r="M35" i="2"/>
  <c r="N35" i="2"/>
  <c r="O35" i="2"/>
  <c r="R35" i="2"/>
  <c r="U35" i="2"/>
  <c r="V35" i="2"/>
  <c r="W35" i="2"/>
  <c r="X35" i="2"/>
  <c r="Y35" i="2"/>
  <c r="Z35" i="2"/>
  <c r="AB35" i="2"/>
  <c r="AC35" i="2"/>
  <c r="AD35" i="2"/>
  <c r="AF35" i="2"/>
  <c r="AM35" i="2"/>
  <c r="AN35" i="2"/>
  <c r="AP35" i="2"/>
  <c r="AS35" i="2"/>
  <c r="AT35" i="2"/>
  <c r="AU35" i="2"/>
  <c r="AV35" i="2"/>
  <c r="AX35" i="2"/>
  <c r="C36" i="2"/>
  <c r="E36" i="2"/>
  <c r="F36" i="2"/>
  <c r="G36" i="2"/>
  <c r="J36" i="2"/>
  <c r="L36" i="2"/>
  <c r="M36" i="2"/>
  <c r="N36" i="2"/>
  <c r="O36" i="2"/>
  <c r="R36" i="2"/>
  <c r="U36" i="2"/>
  <c r="V36" i="2"/>
  <c r="W36" i="2"/>
  <c r="X36" i="2"/>
  <c r="Y36" i="2"/>
  <c r="Z36" i="2"/>
  <c r="AB36" i="2"/>
  <c r="AC36" i="2"/>
  <c r="AD36" i="2"/>
  <c r="AF36" i="2"/>
  <c r="AM36" i="2"/>
  <c r="AN36" i="2"/>
  <c r="AP36" i="2"/>
  <c r="AS36" i="2"/>
  <c r="AT36" i="2"/>
  <c r="AU36" i="2"/>
  <c r="AV36" i="2"/>
  <c r="AW36" i="2"/>
  <c r="AX36" i="2"/>
  <c r="C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U37" i="2"/>
  <c r="V37" i="2"/>
  <c r="W37" i="2"/>
  <c r="X37" i="2"/>
  <c r="Y37" i="2"/>
  <c r="Z37" i="2"/>
  <c r="AA37" i="2"/>
  <c r="AB37" i="2"/>
  <c r="AC37" i="2"/>
  <c r="AD37" i="2"/>
  <c r="AF37" i="2"/>
  <c r="AM37" i="2"/>
  <c r="AN37" i="2"/>
  <c r="AO37" i="2"/>
  <c r="AP37" i="2"/>
  <c r="AS37" i="2"/>
  <c r="AT37" i="2"/>
  <c r="AU37" i="2"/>
  <c r="AV37" i="2"/>
  <c r="AX37" i="2"/>
  <c r="C38" i="2"/>
  <c r="E38" i="2"/>
  <c r="F38" i="2"/>
  <c r="G38" i="2"/>
  <c r="J38" i="2"/>
  <c r="L38" i="2"/>
  <c r="M38" i="2"/>
  <c r="N38" i="2"/>
  <c r="O38" i="2"/>
  <c r="R38" i="2"/>
  <c r="U38" i="2"/>
  <c r="V38" i="2"/>
  <c r="W38" i="2"/>
  <c r="X38" i="2"/>
  <c r="Y38" i="2"/>
  <c r="Z38" i="2"/>
  <c r="AB38" i="2"/>
  <c r="AC38" i="2"/>
  <c r="AD38" i="2"/>
  <c r="AF38" i="2"/>
  <c r="AM38" i="2"/>
  <c r="AN38" i="2"/>
  <c r="AP38" i="2"/>
  <c r="AS38" i="2"/>
  <c r="AT38" i="2"/>
  <c r="AU38" i="2"/>
  <c r="AV38" i="2"/>
  <c r="AW38" i="2"/>
  <c r="AX38" i="2"/>
  <c r="C39" i="2"/>
  <c r="E39" i="2"/>
  <c r="F39" i="2"/>
  <c r="G39" i="2"/>
  <c r="H39" i="2"/>
  <c r="I39" i="2"/>
  <c r="J39" i="2"/>
  <c r="L39" i="2"/>
  <c r="M39" i="2"/>
  <c r="N39" i="2"/>
  <c r="O39" i="2"/>
  <c r="P39" i="2"/>
  <c r="Q39" i="2"/>
  <c r="R39" i="2"/>
  <c r="U39" i="2"/>
  <c r="V39" i="2"/>
  <c r="W39" i="2"/>
  <c r="X39" i="2"/>
  <c r="Y39" i="2"/>
  <c r="Z39" i="2"/>
  <c r="AA39" i="2"/>
  <c r="AB39" i="2"/>
  <c r="AC39" i="2"/>
  <c r="AD39" i="2"/>
  <c r="AF39" i="2"/>
  <c r="AM39" i="2"/>
  <c r="AN39" i="2"/>
  <c r="AO39" i="2"/>
  <c r="AP39" i="2"/>
  <c r="AS39" i="2"/>
  <c r="AT39" i="2"/>
  <c r="AU39" i="2"/>
  <c r="AV39" i="2"/>
  <c r="AW39" i="2"/>
  <c r="AX39" i="2"/>
  <c r="C40" i="2"/>
  <c r="E40" i="2"/>
  <c r="F40" i="2"/>
  <c r="G40" i="2"/>
  <c r="J40" i="2"/>
  <c r="L40" i="2"/>
  <c r="M40" i="2"/>
  <c r="N40" i="2"/>
  <c r="O40" i="2"/>
  <c r="R40" i="2"/>
  <c r="U40" i="2"/>
  <c r="V40" i="2"/>
  <c r="W40" i="2"/>
  <c r="X40" i="2"/>
  <c r="Y40" i="2"/>
  <c r="Z40" i="2"/>
  <c r="AB40" i="2"/>
  <c r="AC40" i="2"/>
  <c r="AD40" i="2"/>
  <c r="AF40" i="2"/>
  <c r="AM40" i="2"/>
  <c r="AN40" i="2"/>
  <c r="AP40" i="2"/>
  <c r="AS40" i="2"/>
  <c r="AT40" i="2"/>
  <c r="AU40" i="2"/>
  <c r="AV40" i="2"/>
  <c r="AX40" i="2"/>
  <c r="C41" i="2"/>
  <c r="E41" i="2"/>
  <c r="F41" i="2"/>
  <c r="G41" i="2"/>
  <c r="J41" i="2"/>
  <c r="L41" i="2"/>
  <c r="M41" i="2"/>
  <c r="N41" i="2"/>
  <c r="O41" i="2"/>
  <c r="R41" i="2"/>
  <c r="U41" i="2"/>
  <c r="V41" i="2"/>
  <c r="W41" i="2"/>
  <c r="X41" i="2"/>
  <c r="Y41" i="2"/>
  <c r="Z41" i="2"/>
  <c r="AB41" i="2"/>
  <c r="AC41" i="2"/>
  <c r="AD41" i="2"/>
  <c r="AF41" i="2"/>
  <c r="AM41" i="2"/>
  <c r="AN41" i="2"/>
  <c r="AP41" i="2"/>
  <c r="AS41" i="2"/>
  <c r="AT41" i="2"/>
  <c r="AU41" i="2"/>
  <c r="AV41" i="2"/>
  <c r="AX41" i="2"/>
  <c r="C42" i="2"/>
  <c r="E42" i="2"/>
  <c r="F42" i="2"/>
  <c r="G42" i="2"/>
  <c r="H42" i="2"/>
  <c r="I42" i="2"/>
  <c r="J42" i="2"/>
  <c r="L42" i="2"/>
  <c r="M42" i="2"/>
  <c r="N42" i="2"/>
  <c r="O42" i="2"/>
  <c r="P42" i="2"/>
  <c r="Q42" i="2"/>
  <c r="R42" i="2"/>
  <c r="U42" i="2"/>
  <c r="V42" i="2"/>
  <c r="W42" i="2"/>
  <c r="X42" i="2"/>
  <c r="Y42" i="2"/>
  <c r="Z42" i="2"/>
  <c r="AA42" i="2"/>
  <c r="AB42" i="2"/>
  <c r="AC42" i="2"/>
  <c r="AD42" i="2"/>
  <c r="AF42" i="2"/>
  <c r="AM42" i="2"/>
  <c r="AN42" i="2"/>
  <c r="AO42" i="2"/>
  <c r="AP42" i="2"/>
  <c r="AS42" i="2"/>
  <c r="AT42" i="2"/>
  <c r="AU42" i="2"/>
  <c r="AV42" i="2"/>
  <c r="AW42" i="2"/>
  <c r="AX42" i="2"/>
  <c r="AD43" i="2"/>
  <c r="AX43" i="2"/>
  <c r="AF44" i="2"/>
  <c r="F62" i="3"/>
  <c r="H62" i="3"/>
  <c r="I62" i="3"/>
  <c r="J62" i="3"/>
  <c r="K62" i="3"/>
  <c r="L62" i="3"/>
  <c r="M62" i="3"/>
  <c r="N62" i="3"/>
  <c r="O62" i="3"/>
  <c r="P62" i="3"/>
  <c r="Q62" i="3"/>
  <c r="R62" i="3"/>
  <c r="S62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E9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</calcChain>
</file>

<file path=xl/comments1.xml><?xml version="1.0" encoding="utf-8"?>
<comments xmlns="http://schemas.openxmlformats.org/spreadsheetml/2006/main">
  <authors>
    <author>Christopher D. Herron</author>
  </authors>
  <commentList>
    <comment ref="C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This figure equals the greatest amount drawn down (the BOM amount plus drawdown during the month).</t>
        </r>
      </text>
    </comment>
    <comment ref="U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Bloomberg, SWYC, April 6, 2000.</t>
        </r>
      </text>
    </comment>
    <comment ref="C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</t>
        </r>
      </text>
    </comment>
    <comment ref="I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  Six month LIBOR suggested by Brian Kerrigan.</t>
        </r>
      </text>
    </comment>
    <comment ref="C15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2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7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Does not include last scheduled payment.</t>
        </r>
      </text>
    </comment>
    <comment ref="A156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Mike Miller, April 10, 2000</t>
        </r>
      </text>
    </comment>
  </commentList>
</comments>
</file>

<file path=xl/comments2.xml><?xml version="1.0" encoding="utf-8"?>
<comments xmlns="http://schemas.openxmlformats.org/spreadsheetml/2006/main">
  <authors>
    <author>Christopher D. Herron</author>
  </authors>
  <commentList>
    <comment ref="N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Amount of facility to drawdown during the month indicated.  Does NOT include final payment due on turbine.</t>
        </r>
      </text>
    </comment>
    <comment ref="R4" authorId="0" shapeId="0">
      <text>
        <r>
          <rPr>
            <b/>
            <sz val="10"/>
            <color indexed="81"/>
            <rFont val="Tahoma"/>
            <family val="2"/>
          </rPr>
          <t xml:space="preserve">Christopher D. Herron:
</t>
        </r>
        <r>
          <rPr>
            <sz val="10"/>
            <color indexed="81"/>
            <rFont val="Tahoma"/>
            <family val="2"/>
          </rPr>
          <t>Any principal remaining after the last turbine selected is paid off is the initial drawdown for the installments previously made plus accrued interest.</t>
        </r>
      </text>
    </comment>
  </commentList>
</comments>
</file>

<file path=xl/sharedStrings.xml><?xml version="1.0" encoding="utf-8"?>
<sst xmlns="http://schemas.openxmlformats.org/spreadsheetml/2006/main" count="157" uniqueCount="97">
  <si>
    <t>Delivery Date</t>
  </si>
  <si>
    <t>Month</t>
  </si>
  <si>
    <t>Year</t>
  </si>
  <si>
    <t>Payment Date</t>
  </si>
  <si>
    <t>Total Paid to Date</t>
  </si>
  <si>
    <t>Cumulative Total Paid to Date</t>
  </si>
  <si>
    <t>USD 000</t>
  </si>
  <si>
    <t>SkyGen Energy LLC</t>
  </si>
  <si>
    <t>Gas Turbine Payment Schedule</t>
  </si>
  <si>
    <t>Total Payments</t>
  </si>
  <si>
    <t>Fut Pmt per Turb</t>
  </si>
  <si>
    <t>Principal Payment</t>
  </si>
  <si>
    <t>Total Facility</t>
  </si>
  <si>
    <t>Upfront Fee</t>
  </si>
  <si>
    <t>Upfront Fee (bps)</t>
  </si>
  <si>
    <t>Undrawn Commitment Fee (bps)</t>
  </si>
  <si>
    <t>Spread (bps)</t>
  </si>
  <si>
    <t>LIBOR 3 month</t>
  </si>
  <si>
    <t>LIBOR 1 month</t>
  </si>
  <si>
    <t>LIBOR 6 month</t>
  </si>
  <si>
    <t>LIBOR 12 month</t>
  </si>
  <si>
    <t>Undrawn Commitment Fee</t>
  </si>
  <si>
    <t>LIBOR Tenor</t>
  </si>
  <si>
    <t>LIBOR</t>
  </si>
  <si>
    <t>SkyGen</t>
  </si>
  <si>
    <t>Enron</t>
  </si>
  <si>
    <t>Interest Expense</t>
  </si>
  <si>
    <t>Enron Exposure</t>
  </si>
  <si>
    <t>Profit</t>
  </si>
  <si>
    <t>Total Payment</t>
  </si>
  <si>
    <t>PV</t>
  </si>
  <si>
    <t xml:space="preserve">Include in Facility </t>
  </si>
  <si>
    <t>Interest Carry-Forward</t>
  </si>
  <si>
    <t>Accrued Interest Payment</t>
  </si>
  <si>
    <t>Total Accrued Int</t>
  </si>
  <si>
    <t>Include Paid to Date in Facility</t>
  </si>
  <si>
    <t>BOM Outstanding</t>
  </si>
  <si>
    <t>EOM Outstanding</t>
  </si>
  <si>
    <t>SkyGen: Accrued Interest for Period Drawdown</t>
  </si>
  <si>
    <t>Market Value of Turbine</t>
  </si>
  <si>
    <t>Turbine Option</t>
  </si>
  <si>
    <t>CF Discount Rate</t>
  </si>
  <si>
    <t>Turbine Option Discount Rate</t>
  </si>
  <si>
    <t>Turbine Cost</t>
  </si>
  <si>
    <t>Select Turbine</t>
  </si>
  <si>
    <t>Present Value Factor</t>
  </si>
  <si>
    <t>Enron: Accrued Interest for Period Drawdown</t>
  </si>
  <si>
    <t>Turbine Value Analysis</t>
  </si>
  <si>
    <t>Value of Turbine to Enron</t>
  </si>
  <si>
    <t>Total PV of Selected Turbines</t>
  </si>
  <si>
    <t>SkyGen-Enron Differential</t>
  </si>
  <si>
    <t>Present Value to Enron Analysis</t>
  </si>
  <si>
    <t>Debt Drawdown</t>
  </si>
  <si>
    <t>Required Financing</t>
  </si>
  <si>
    <t>Debt Percentage</t>
  </si>
  <si>
    <t>Equity Percentage</t>
  </si>
  <si>
    <t>Equity Contribution</t>
  </si>
  <si>
    <t>Equity Returned</t>
  </si>
  <si>
    <t>Equity Yield</t>
  </si>
  <si>
    <t>EOM Equity</t>
  </si>
  <si>
    <t>BOM Equity</t>
  </si>
  <si>
    <t>Expected Equity Yield</t>
  </si>
  <si>
    <t>Enron: Equity Contribution</t>
  </si>
  <si>
    <t>Total Accrued Investment</t>
  </si>
  <si>
    <t>BOM Unutilized Facility</t>
  </si>
  <si>
    <t>Amount Owed to GE</t>
  </si>
  <si>
    <t>Cumulative Amount Paid to GE and Interest Carry</t>
  </si>
  <si>
    <t>SkyGen Interest Rate</t>
  </si>
  <si>
    <t>Enron Interest Rate</t>
  </si>
  <si>
    <t>Enron: Accrued Equity Yield</t>
  </si>
  <si>
    <t>Equity Yield Carry-Forward</t>
  </si>
  <si>
    <t>Accrued Equity Yield Payment</t>
  </si>
  <si>
    <t>Present Value Analysis</t>
  </si>
  <si>
    <t>MV of Turbines to Equity Holder</t>
  </si>
  <si>
    <t>SkyGen Total Payment to Capital Markets</t>
  </si>
  <si>
    <t>Cash Flow to SkyGen</t>
  </si>
  <si>
    <t>Net Cash Flow to Capital Market</t>
  </si>
  <si>
    <t>PV of Cash Flows to Capital Market</t>
  </si>
  <si>
    <t>Cash Flow to Equity Holder</t>
  </si>
  <si>
    <t>XIRR</t>
  </si>
  <si>
    <t>Capital Market Discount Rate</t>
  </si>
  <si>
    <t>Spread to LIBOR(bps)</t>
  </si>
  <si>
    <t>XIRR of Cash Flow to Equity Holder</t>
  </si>
  <si>
    <t>Without Turbine Value Included</t>
  </si>
  <si>
    <t>Target Equity XIRR</t>
  </si>
  <si>
    <t>With Turbine Value Included</t>
  </si>
  <si>
    <t>Present Value of Cash Flows to Capital Market</t>
  </si>
  <si>
    <t>Without Turbines</t>
  </si>
  <si>
    <t>Spread over LIBOR</t>
  </si>
  <si>
    <t>With Turbines</t>
  </si>
  <si>
    <t>Target Percentage Equity</t>
  </si>
  <si>
    <t>Equity XIRR</t>
  </si>
  <si>
    <t>"Capital Markets Deal" @ LIBOR + 250</t>
  </si>
  <si>
    <t>NPV</t>
  </si>
  <si>
    <t>Enron Deal"</t>
  </si>
  <si>
    <t>Spread over LIBOR (bps)</t>
  </si>
  <si>
    <t>CAPITAL MARKET DEAL: LIBOR + 250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</si>
</sst>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6" formatCode="0.0%"/>
    <numFmt numFmtId="167" formatCode="0.000%"/>
    <numFmt numFmtId="168" formatCode="0.0000%"/>
    <numFmt numFmtId="174" formatCode="0.000"/>
  </numFmts>
  <fonts count="12" x14ac:knownFonts="1">
    <font>
      <sz val="10"/>
      <name val="Times New Roman"/>
    </font>
    <font>
      <sz val="10"/>
      <name val="Times New Roman"/>
    </font>
    <font>
      <u/>
      <sz val="10"/>
      <name val="Times New Roman"/>
      <family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2" borderId="0" xfId="1" applyFont="1" applyFill="1"/>
    <xf numFmtId="0" fontId="0" fillId="0" borderId="1" xfId="0" applyBorder="1" applyAlignment="1">
      <alignment horizontal="left"/>
    </xf>
    <xf numFmtId="0" fontId="2" fillId="0" borderId="0" xfId="0" applyFont="1"/>
    <xf numFmtId="164" fontId="5" fillId="0" borderId="0" xfId="1" applyFont="1"/>
    <xf numFmtId="0" fontId="5" fillId="0" borderId="0" xfId="0" applyFont="1"/>
    <xf numFmtId="43" fontId="5" fillId="0" borderId="0" xfId="1" applyNumberFormat="1" applyFont="1"/>
    <xf numFmtId="168" fontId="0" fillId="0" borderId="0" xfId="2" applyNumberFormat="1" applyFont="1"/>
    <xf numFmtId="168" fontId="5" fillId="0" borderId="0" xfId="2" applyNumberFormat="1" applyFont="1"/>
    <xf numFmtId="164" fontId="6" fillId="0" borderId="0" xfId="1" applyFont="1"/>
    <xf numFmtId="10" fontId="5" fillId="0" borderId="0" xfId="0" applyNumberFormat="1" applyFont="1"/>
    <xf numFmtId="164" fontId="7" fillId="0" borderId="0" xfId="1" applyFont="1"/>
    <xf numFmtId="43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1" applyFont="1" applyBorder="1"/>
    <xf numFmtId="0" fontId="8" fillId="0" borderId="0" xfId="0" applyFont="1" applyBorder="1"/>
    <xf numFmtId="14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0" fillId="0" borderId="0" xfId="0" applyNumberFormat="1"/>
    <xf numFmtId="0" fontId="0" fillId="0" borderId="2" xfId="0" applyBorder="1"/>
    <xf numFmtId="17" fontId="0" fillId="0" borderId="0" xfId="0" applyNumberFormat="1" applyAlignment="1">
      <alignment horizontal="right"/>
    </xf>
    <xf numFmtId="0" fontId="8" fillId="0" borderId="0" xfId="0" applyFont="1"/>
    <xf numFmtId="164" fontId="9" fillId="0" borderId="0" xfId="0" applyNumberFormat="1" applyFont="1"/>
    <xf numFmtId="9" fontId="0" fillId="0" borderId="0" xfId="2" applyFont="1"/>
    <xf numFmtId="9" fontId="5" fillId="0" borderId="0" xfId="0" applyNumberFormat="1" applyFont="1"/>
    <xf numFmtId="10" fontId="0" fillId="0" borderId="0" xfId="2" applyNumberFormat="1" applyFont="1"/>
    <xf numFmtId="168" fontId="0" fillId="0" borderId="0" xfId="0" applyNumberFormat="1"/>
    <xf numFmtId="10" fontId="0" fillId="0" borderId="0" xfId="0" applyNumberFormat="1" applyBorder="1"/>
    <xf numFmtId="167" fontId="5" fillId="0" borderId="0" xfId="0" applyNumberFormat="1" applyFont="1"/>
    <xf numFmtId="10" fontId="0" fillId="0" borderId="3" xfId="2" applyNumberFormat="1" applyFont="1" applyBorder="1"/>
    <xf numFmtId="164" fontId="9" fillId="0" borderId="0" xfId="1" applyFont="1"/>
    <xf numFmtId="164" fontId="0" fillId="0" borderId="0" xfId="2" applyNumberFormat="1" applyFont="1"/>
    <xf numFmtId="164" fontId="7" fillId="0" borderId="0" xfId="2" applyNumberFormat="1" applyFont="1"/>
    <xf numFmtId="164" fontId="0" fillId="0" borderId="0" xfId="0" applyNumberFormat="1" applyBorder="1"/>
    <xf numFmtId="0" fontId="0" fillId="0" borderId="0" xfId="0" applyAlignment="1"/>
    <xf numFmtId="10" fontId="0" fillId="0" borderId="0" xfId="0" applyNumberFormat="1"/>
    <xf numFmtId="0" fontId="0" fillId="0" borderId="4" xfId="0" applyBorder="1" applyAlignment="1">
      <alignment wrapText="1"/>
    </xf>
    <xf numFmtId="9" fontId="0" fillId="0" borderId="4" xfId="0" applyNumberFormat="1" applyBorder="1"/>
    <xf numFmtId="9" fontId="0" fillId="0" borderId="4" xfId="2" applyFont="1" applyBorder="1"/>
    <xf numFmtId="10" fontId="0" fillId="0" borderId="4" xfId="2" applyNumberFormat="1" applyFont="1" applyBorder="1"/>
    <xf numFmtId="164" fontId="0" fillId="0" borderId="4" xfId="1" applyFont="1" applyBorder="1"/>
    <xf numFmtId="164" fontId="0" fillId="0" borderId="4" xfId="0" applyNumberFormat="1" applyBorder="1"/>
    <xf numFmtId="9" fontId="0" fillId="0" borderId="3" xfId="2" applyFont="1" applyBorder="1"/>
    <xf numFmtId="166" fontId="0" fillId="0" borderId="3" xfId="2" applyNumberFormat="1" applyFont="1" applyBorder="1"/>
    <xf numFmtId="166" fontId="0" fillId="0" borderId="2" xfId="0" applyNumberFormat="1" applyBorder="1"/>
    <xf numFmtId="10" fontId="0" fillId="0" borderId="5" xfId="2" applyNumberFormat="1" applyFont="1" applyBorder="1"/>
    <xf numFmtId="164" fontId="0" fillId="0" borderId="2" xfId="1" applyFont="1" applyBorder="1"/>
    <xf numFmtId="164" fontId="0" fillId="0" borderId="2" xfId="2" applyNumberFormat="1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164" fontId="0" fillId="0" borderId="3" xfId="1" applyFont="1" applyBorder="1"/>
    <xf numFmtId="164" fontId="0" fillId="0" borderId="3" xfId="2" applyNumberFormat="1" applyFont="1" applyBorder="1"/>
    <xf numFmtId="0" fontId="10" fillId="0" borderId="0" xfId="0" applyFont="1"/>
    <xf numFmtId="0" fontId="0" fillId="0" borderId="0" xfId="0" applyAlignment="1">
      <alignment horizontal="left" textRotation="180"/>
    </xf>
    <xf numFmtId="164" fontId="10" fillId="0" borderId="0" xfId="1" applyFont="1"/>
    <xf numFmtId="9" fontId="10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2" applyNumberFormat="1" applyFont="1" applyBorder="1"/>
    <xf numFmtId="164" fontId="11" fillId="0" borderId="0" xfId="1" applyFont="1" applyBorder="1"/>
    <xf numFmtId="164" fontId="10" fillId="0" borderId="4" xfId="1" applyFont="1" applyBorder="1"/>
    <xf numFmtId="0" fontId="10" fillId="0" borderId="0" xfId="0" applyFont="1" applyAlignment="1">
      <alignment horizontal="right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141"/>
  <sheetViews>
    <sheetView topLeftCell="A87" workbookViewId="0">
      <selection activeCell="D92" sqref="D92:D112"/>
    </sheetView>
  </sheetViews>
  <sheetFormatPr defaultRowHeight="12.75" x14ac:dyDescent="0.2"/>
  <cols>
    <col min="3" max="3" width="25.33203125" customWidth="1"/>
    <col min="4" max="4" width="6" customWidth="1"/>
    <col min="5" max="5" width="10.1640625" customWidth="1"/>
    <col min="6" max="6" width="14.83203125" customWidth="1"/>
    <col min="7" max="7" width="12.1640625" customWidth="1"/>
    <col min="8" max="8" width="10.5" customWidth="1"/>
    <col min="9" max="9" width="10.6640625" customWidth="1"/>
    <col min="10" max="10" width="15.33203125" customWidth="1"/>
    <col min="11" max="11" width="13.83203125" customWidth="1"/>
    <col min="12" max="12" width="13.33203125" customWidth="1"/>
    <col min="13" max="13" width="11.33203125" customWidth="1"/>
    <col min="14" max="14" width="13.1640625" customWidth="1"/>
    <col min="16" max="16" width="12.33203125" customWidth="1"/>
    <col min="17" max="17" width="11.1640625" customWidth="1"/>
    <col min="18" max="18" width="14.83203125" customWidth="1"/>
  </cols>
  <sheetData>
    <row r="7" spans="4:8" x14ac:dyDescent="0.2">
      <c r="D7" t="s">
        <v>12</v>
      </c>
      <c r="H7" s="4">
        <v>230000</v>
      </c>
    </row>
    <row r="8" spans="4:8" x14ac:dyDescent="0.2">
      <c r="D8" t="s">
        <v>67</v>
      </c>
      <c r="H8" s="36">
        <v>9.0024999999999994E-2</v>
      </c>
    </row>
    <row r="9" spans="4:8" x14ac:dyDescent="0.2">
      <c r="D9" t="s">
        <v>81</v>
      </c>
      <c r="H9">
        <v>250</v>
      </c>
    </row>
    <row r="10" spans="4:8" x14ac:dyDescent="0.2">
      <c r="D10" t="s">
        <v>61</v>
      </c>
      <c r="H10" s="33">
        <v>0.2</v>
      </c>
    </row>
    <row r="11" spans="4:8" x14ac:dyDescent="0.2">
      <c r="D11" t="s">
        <v>14</v>
      </c>
      <c r="H11">
        <v>300</v>
      </c>
    </row>
    <row r="12" spans="4:8" x14ac:dyDescent="0.2">
      <c r="D12" t="s">
        <v>15</v>
      </c>
      <c r="H12">
        <v>81.25</v>
      </c>
    </row>
    <row r="13" spans="4:8" x14ac:dyDescent="0.2">
      <c r="D13" t="s">
        <v>54</v>
      </c>
      <c r="H13" s="33">
        <v>0.65</v>
      </c>
    </row>
    <row r="14" spans="4:8" x14ac:dyDescent="0.2">
      <c r="D14" t="s">
        <v>55</v>
      </c>
      <c r="H14" s="33">
        <v>0.35</v>
      </c>
    </row>
    <row r="15" spans="4:8" x14ac:dyDescent="0.2">
      <c r="D15" t="s">
        <v>80</v>
      </c>
      <c r="H15" s="33">
        <v>0.1</v>
      </c>
    </row>
    <row r="17" spans="4:18" x14ac:dyDescent="0.2">
      <c r="D17" s="44" t="s">
        <v>77</v>
      </c>
      <c r="H17" s="4">
        <v>25074.248655548225</v>
      </c>
    </row>
    <row r="18" spans="4:18" x14ac:dyDescent="0.2">
      <c r="D18" s="44" t="s">
        <v>82</v>
      </c>
      <c r="H18" s="45">
        <v>0.24937710165977475</v>
      </c>
    </row>
    <row r="21" spans="4:18" x14ac:dyDescent="0.2">
      <c r="D21" s="71" t="s">
        <v>83</v>
      </c>
      <c r="E21" s="71"/>
      <c r="F21" s="71"/>
      <c r="H21" s="71" t="s">
        <v>85</v>
      </c>
      <c r="I21" s="71"/>
      <c r="J21" s="71"/>
      <c r="L21" s="71" t="s">
        <v>83</v>
      </c>
      <c r="M21" s="71"/>
      <c r="N21" s="71"/>
      <c r="P21" s="71" t="s">
        <v>85</v>
      </c>
      <c r="Q21" s="71"/>
      <c r="R21" s="71"/>
    </row>
    <row r="22" spans="4:18" ht="63.75" x14ac:dyDescent="0.2">
      <c r="D22" s="46" t="s">
        <v>84</v>
      </c>
      <c r="E22" s="46" t="s">
        <v>61</v>
      </c>
      <c r="F22" s="46" t="s">
        <v>77</v>
      </c>
      <c r="H22" s="46" t="s">
        <v>84</v>
      </c>
      <c r="I22" s="46" t="s">
        <v>61</v>
      </c>
      <c r="J22" s="46" t="s">
        <v>77</v>
      </c>
      <c r="L22" s="46" t="s">
        <v>90</v>
      </c>
      <c r="M22" s="46" t="s">
        <v>91</v>
      </c>
      <c r="N22" s="46" t="s">
        <v>77</v>
      </c>
      <c r="P22" s="46" t="s">
        <v>90</v>
      </c>
      <c r="Q22" s="46" t="s">
        <v>91</v>
      </c>
      <c r="R22" s="46" t="s">
        <v>77</v>
      </c>
    </row>
    <row r="23" spans="4:18" x14ac:dyDescent="0.2">
      <c r="D23" s="47">
        <v>0.15</v>
      </c>
      <c r="E23" s="49">
        <v>0.12510761944267673</v>
      </c>
      <c r="F23" s="50">
        <v>14309.891880328891</v>
      </c>
      <c r="H23" s="47">
        <v>0.15</v>
      </c>
      <c r="I23" s="49">
        <v>-0.54467880873852792</v>
      </c>
      <c r="J23" s="51">
        <v>13016.098993792853</v>
      </c>
      <c r="L23" s="48">
        <v>0.15</v>
      </c>
      <c r="M23" s="55">
        <v>0.24937710165977475</v>
      </c>
      <c r="N23" s="50">
        <v>15657.477691133296</v>
      </c>
      <c r="P23" s="48">
        <v>0.15</v>
      </c>
      <c r="Q23" s="49">
        <v>2.4805078744888323</v>
      </c>
      <c r="R23" s="50">
        <v>81653.58897255284</v>
      </c>
    </row>
    <row r="24" spans="4:18" x14ac:dyDescent="0.2">
      <c r="D24" s="47">
        <v>0.2</v>
      </c>
      <c r="E24" s="49">
        <v>0.16372216861991223</v>
      </c>
      <c r="F24" s="50">
        <v>19751.533861303655</v>
      </c>
      <c r="H24" s="47">
        <v>0.2</v>
      </c>
      <c r="I24" s="49">
        <v>-0.49019674852868772</v>
      </c>
      <c r="J24" s="51">
        <v>17036.278596940356</v>
      </c>
      <c r="L24" s="48">
        <v>0.2</v>
      </c>
      <c r="M24" s="55">
        <v>0.24937710165977475</v>
      </c>
      <c r="N24" s="50">
        <v>18011.670432236991</v>
      </c>
      <c r="P24" s="48">
        <v>0.2</v>
      </c>
      <c r="Q24" s="49">
        <v>1.8107958674430844</v>
      </c>
      <c r="R24" s="50">
        <v>84007.781713656543</v>
      </c>
    </row>
    <row r="25" spans="4:18" x14ac:dyDescent="0.2">
      <c r="D25" s="47">
        <v>0.25</v>
      </c>
      <c r="E25" s="49">
        <v>0.20076702614900666</v>
      </c>
      <c r="F25" s="50">
        <v>25189.064556927166</v>
      </c>
      <c r="H25" s="47">
        <v>0.25</v>
      </c>
      <c r="I25" s="49">
        <v>-0.43792181601550939</v>
      </c>
      <c r="J25" s="50">
        <v>21083.071602692879</v>
      </c>
      <c r="L25" s="48">
        <v>0.25</v>
      </c>
      <c r="M25" s="55">
        <v>0.24937710165977475</v>
      </c>
      <c r="N25" s="50">
        <v>20365.863173340709</v>
      </c>
      <c r="P25" s="48">
        <v>0.25</v>
      </c>
      <c r="Q25" s="49">
        <v>1.4376782298088078</v>
      </c>
      <c r="R25" s="50">
        <v>86361.97445476026</v>
      </c>
    </row>
    <row r="26" spans="4:18" x14ac:dyDescent="0.2">
      <c r="D26" s="47">
        <v>0.3</v>
      </c>
      <c r="E26" s="49">
        <v>0.23657817432671183</v>
      </c>
      <c r="F26" s="50">
        <v>30658.182608397299</v>
      </c>
      <c r="H26" s="47">
        <v>0.3</v>
      </c>
      <c r="I26" s="49">
        <v>-0.38829676740062935</v>
      </c>
      <c r="J26" s="50">
        <v>25107.221538398218</v>
      </c>
      <c r="L26" s="48">
        <v>0.3</v>
      </c>
      <c r="M26" s="55">
        <v>0.24937710165977475</v>
      </c>
      <c r="N26" s="50">
        <v>22720.055914444427</v>
      </c>
      <c r="P26" s="48">
        <v>0.3</v>
      </c>
      <c r="Q26" s="49">
        <v>1.2033455252647405</v>
      </c>
      <c r="R26" s="50">
        <v>88716.167195863993</v>
      </c>
    </row>
    <row r="27" spans="4:18" x14ac:dyDescent="0.2">
      <c r="L27" s="48">
        <v>0.35</v>
      </c>
      <c r="M27" s="35">
        <v>0.24937710165977475</v>
      </c>
      <c r="N27" s="50">
        <v>25074.248655548225</v>
      </c>
      <c r="P27" s="48">
        <v>0.35</v>
      </c>
      <c r="Q27" s="49">
        <v>1.0438662648200989</v>
      </c>
      <c r="R27" s="50">
        <v>91070.359936967798</v>
      </c>
    </row>
    <row r="28" spans="4:18" x14ac:dyDescent="0.2">
      <c r="L28" s="48">
        <v>0.4</v>
      </c>
      <c r="M28" s="49">
        <v>0.24937710165977475</v>
      </c>
      <c r="N28" s="50">
        <v>27428.441396651975</v>
      </c>
      <c r="P28" s="48">
        <v>0.4</v>
      </c>
      <c r="Q28" s="49">
        <v>0.92890003919601449</v>
      </c>
      <c r="R28" s="50">
        <v>93424.552678071486</v>
      </c>
    </row>
    <row r="29" spans="4:18" x14ac:dyDescent="0.2">
      <c r="L29" s="48">
        <v>0.45</v>
      </c>
      <c r="M29" s="49">
        <v>0.24937710165977475</v>
      </c>
      <c r="N29" s="50">
        <v>29782.634137755711</v>
      </c>
      <c r="P29" s="48">
        <v>0.45</v>
      </c>
      <c r="Q29" s="49">
        <v>0.84236885309219356</v>
      </c>
      <c r="R29" s="50">
        <v>95778.745419175219</v>
      </c>
    </row>
    <row r="30" spans="4:18" x14ac:dyDescent="0.2">
      <c r="L30" s="48">
        <v>0.5</v>
      </c>
      <c r="M30" s="49">
        <v>0.24937710165977475</v>
      </c>
      <c r="N30" s="50">
        <v>32136.826878859443</v>
      </c>
      <c r="P30" s="48">
        <v>0.5</v>
      </c>
      <c r="Q30" s="49">
        <v>0.77502437829971305</v>
      </c>
      <c r="R30" s="50">
        <v>98132.938160278951</v>
      </c>
    </row>
    <row r="33" spans="4:19" x14ac:dyDescent="0.2">
      <c r="D33" t="s">
        <v>86</v>
      </c>
    </row>
    <row r="34" spans="4:19" x14ac:dyDescent="0.2">
      <c r="D34" t="s">
        <v>87</v>
      </c>
    </row>
    <row r="36" spans="4:19" x14ac:dyDescent="0.2">
      <c r="G36" t="s">
        <v>61</v>
      </c>
    </row>
    <row r="37" spans="4:19" x14ac:dyDescent="0.2">
      <c r="G37" s="52">
        <v>0.15</v>
      </c>
      <c r="H37" s="52">
        <v>0.16</v>
      </c>
      <c r="I37" s="52">
        <v>0.17</v>
      </c>
      <c r="J37" s="52">
        <v>0.18</v>
      </c>
      <c r="K37" s="52">
        <v>0.19</v>
      </c>
      <c r="L37" s="52">
        <v>0.2</v>
      </c>
      <c r="M37" s="52">
        <v>0.21</v>
      </c>
      <c r="N37" s="52">
        <v>0.22</v>
      </c>
      <c r="O37" s="52">
        <v>0.23</v>
      </c>
      <c r="P37" s="52">
        <v>0.24</v>
      </c>
      <c r="Q37" s="52">
        <v>0.25</v>
      </c>
      <c r="R37" s="52">
        <v>0.26</v>
      </c>
      <c r="S37" s="52">
        <v>0.27</v>
      </c>
    </row>
    <row r="38" spans="4:19" x14ac:dyDescent="0.2">
      <c r="E38" s="2" t="s">
        <v>88</v>
      </c>
      <c r="F38" s="29">
        <v>200</v>
      </c>
      <c r="G38" s="4">
        <v>16574.10819478472</v>
      </c>
      <c r="H38" s="4">
        <v>17999.304007719773</v>
      </c>
      <c r="I38" s="4">
        <v>19439.919583016766</v>
      </c>
      <c r="J38" s="4">
        <v>20896.167413615054</v>
      </c>
      <c r="K38" s="4">
        <v>22368.263487003271</v>
      </c>
      <c r="L38" s="4">
        <v>23856.427350824692</v>
      </c>
      <c r="M38" s="4">
        <v>25360.882179821856</v>
      </c>
      <c r="N38" s="4">
        <v>26881.854844134286</v>
      </c>
      <c r="O38" s="4">
        <v>28419.575978992405</v>
      </c>
      <c r="P38" s="4">
        <v>29974.280055825475</v>
      </c>
      <c r="Q38" s="4">
        <v>31546.205454821407</v>
      </c>
      <c r="R38" s="4">
        <v>33135.594538964513</v>
      </c>
      <c r="S38" s="4">
        <v>34742.693729580918</v>
      </c>
    </row>
    <row r="39" spans="4:19" x14ac:dyDescent="0.2">
      <c r="F39" s="29">
        <v>225</v>
      </c>
      <c r="G39" s="4">
        <v>17182.221180137232</v>
      </c>
      <c r="H39" s="4">
        <v>18607.416993072322</v>
      </c>
      <c r="I39" s="4">
        <v>20048.032568369232</v>
      </c>
      <c r="J39" s="4">
        <v>21504.280398967607</v>
      </c>
      <c r="K39" s="4">
        <v>22976.37647235574</v>
      </c>
      <c r="L39" s="4">
        <v>24464.54033617719</v>
      </c>
      <c r="M39" s="4">
        <v>25968.995165174376</v>
      </c>
      <c r="N39" s="4">
        <v>27489.967829486755</v>
      </c>
      <c r="O39" s="4">
        <v>29027.688964344918</v>
      </c>
      <c r="P39" s="4">
        <v>30582.393041178009</v>
      </c>
      <c r="Q39" s="4">
        <v>32154.318440173876</v>
      </c>
      <c r="R39" s="4">
        <v>33743.707524317018</v>
      </c>
      <c r="S39" s="4">
        <v>35350.806714933329</v>
      </c>
    </row>
    <row r="40" spans="4:19" x14ac:dyDescent="0.2">
      <c r="F40" s="29">
        <v>250</v>
      </c>
      <c r="G40" s="4">
        <v>17791.929499508406</v>
      </c>
      <c r="H40" s="4">
        <v>19217.125312443462</v>
      </c>
      <c r="I40" s="4">
        <v>20657.740887740347</v>
      </c>
      <c r="J40" s="4">
        <v>22113.988718338722</v>
      </c>
      <c r="K40" s="4">
        <v>23586.084791726847</v>
      </c>
      <c r="L40" s="4">
        <v>25074.248655548225</v>
      </c>
      <c r="M40" s="4">
        <v>26578.703484545433</v>
      </c>
      <c r="N40" s="4">
        <v>28099.676148857863</v>
      </c>
      <c r="O40" s="4">
        <v>29637.39728371604</v>
      </c>
      <c r="P40" s="4">
        <v>31192.101360549088</v>
      </c>
      <c r="Q40" s="4">
        <v>32764.02675954497</v>
      </c>
      <c r="R40" s="4">
        <v>34353.415843688068</v>
      </c>
      <c r="S40" s="4">
        <v>35960.515034304466</v>
      </c>
    </row>
    <row r="41" spans="4:19" x14ac:dyDescent="0.2">
      <c r="F41" s="29">
        <v>275</v>
      </c>
      <c r="G41" s="4">
        <v>18403.238471505363</v>
      </c>
      <c r="H41" s="4">
        <v>19828.434284440402</v>
      </c>
      <c r="I41" s="4">
        <v>21269.049859737308</v>
      </c>
      <c r="J41" s="4">
        <v>22725.297690335683</v>
      </c>
      <c r="K41" s="4">
        <v>24197.393763723812</v>
      </c>
      <c r="L41" s="4">
        <v>25685.557627545189</v>
      </c>
      <c r="M41" s="4">
        <v>27190.012456542441</v>
      </c>
      <c r="N41" s="4">
        <v>28710.985120854828</v>
      </c>
      <c r="O41" s="4">
        <v>30248.706255713034</v>
      </c>
      <c r="P41" s="4">
        <v>31803.410332546038</v>
      </c>
      <c r="Q41" s="4">
        <v>33375.335731541978</v>
      </c>
      <c r="R41" s="4">
        <v>34964.724815685098</v>
      </c>
      <c r="S41" s="4">
        <v>36571.824006301431</v>
      </c>
    </row>
    <row r="42" spans="4:19" x14ac:dyDescent="0.2">
      <c r="F42" s="29">
        <v>300</v>
      </c>
      <c r="G42" s="4">
        <v>19016.15343588834</v>
      </c>
      <c r="H42" s="4">
        <v>20441.349248823328</v>
      </c>
      <c r="I42" s="4">
        <v>21881.964824120241</v>
      </c>
      <c r="J42" s="4">
        <v>23338.212654718602</v>
      </c>
      <c r="K42" s="4">
        <v>24810.308728106716</v>
      </c>
      <c r="L42" s="4">
        <v>26298.472591928137</v>
      </c>
      <c r="M42" s="4">
        <v>27802.927420925389</v>
      </c>
      <c r="N42" s="4">
        <v>29323.900085237732</v>
      </c>
      <c r="O42" s="4">
        <v>30861.621220095923</v>
      </c>
      <c r="P42" s="4">
        <v>32416.325296928957</v>
      </c>
      <c r="Q42" s="4">
        <v>33988.250695924915</v>
      </c>
      <c r="R42" s="4">
        <v>35577.639780067984</v>
      </c>
      <c r="S42" s="4">
        <v>37184.738970684397</v>
      </c>
    </row>
    <row r="43" spans="4:19" x14ac:dyDescent="0.2">
      <c r="F43" s="29">
        <v>325</v>
      </c>
      <c r="G43" s="4">
        <v>19630.679753666958</v>
      </c>
      <c r="H43" s="4">
        <v>21055.875566602026</v>
      </c>
      <c r="I43" s="4">
        <v>22496.491141898947</v>
      </c>
      <c r="J43" s="4">
        <v>23952.738972497304</v>
      </c>
      <c r="K43" s="4">
        <v>25424.835045885469</v>
      </c>
      <c r="L43" s="4">
        <v>26912.998909706839</v>
      </c>
      <c r="M43" s="4">
        <v>28417.453738704091</v>
      </c>
      <c r="N43" s="4">
        <v>29938.426403016478</v>
      </c>
      <c r="O43" s="4">
        <v>31476.147537874596</v>
      </c>
      <c r="P43" s="4">
        <v>33030.851614707666</v>
      </c>
      <c r="Q43" s="4">
        <v>34602.777013703584</v>
      </c>
      <c r="R43" s="4">
        <v>36192.166097846661</v>
      </c>
      <c r="S43" s="4">
        <v>37799.26528846311</v>
      </c>
    </row>
    <row r="44" spans="4:19" x14ac:dyDescent="0.2">
      <c r="F44" s="29">
        <v>350</v>
      </c>
      <c r="G44" s="4">
        <v>20246.822807199569</v>
      </c>
      <c r="H44" s="4">
        <v>21672.01862013463</v>
      </c>
      <c r="I44" s="4">
        <v>23112.634195431572</v>
      </c>
      <c r="J44" s="4">
        <v>24568.882026029845</v>
      </c>
      <c r="K44" s="4">
        <v>26040.978099418047</v>
      </c>
      <c r="L44" s="4">
        <v>27529.141963239439</v>
      </c>
      <c r="M44" s="4">
        <v>29033.596792236618</v>
      </c>
      <c r="N44" s="4">
        <v>30554.569456549063</v>
      </c>
      <c r="O44" s="4">
        <v>32092.29059140724</v>
      </c>
      <c r="P44" s="4">
        <v>33646.994668240317</v>
      </c>
      <c r="Q44" s="4">
        <v>35218.920067236155</v>
      </c>
      <c r="R44" s="4">
        <v>36808.309151379384</v>
      </c>
      <c r="S44" s="4">
        <v>38415.408341995637</v>
      </c>
    </row>
    <row r="45" spans="4:19" x14ac:dyDescent="0.2">
      <c r="F45" s="29">
        <v>375</v>
      </c>
      <c r="G45" s="4">
        <v>20864.588000289074</v>
      </c>
      <c r="H45" s="4">
        <v>22289.78381322412</v>
      </c>
      <c r="I45" s="4">
        <v>23730.39938852108</v>
      </c>
      <c r="J45" s="4">
        <v>25186.647219119382</v>
      </c>
      <c r="K45" s="4">
        <v>26658.743292507541</v>
      </c>
      <c r="L45" s="4">
        <v>28146.907156329013</v>
      </c>
      <c r="M45" s="4">
        <v>29651.361985326177</v>
      </c>
      <c r="N45" s="4">
        <v>31172.334649638557</v>
      </c>
      <c r="O45" s="4">
        <v>32710.055784496762</v>
      </c>
      <c r="P45" s="4">
        <v>34264.759861329752</v>
      </c>
      <c r="Q45" s="4">
        <v>35836.685260325692</v>
      </c>
      <c r="R45" s="4">
        <v>37426.074344468769</v>
      </c>
      <c r="S45" s="4">
        <v>39033.173535085196</v>
      </c>
    </row>
    <row r="46" spans="4:19" x14ac:dyDescent="0.2">
      <c r="F46" s="29">
        <v>400</v>
      </c>
      <c r="G46" s="4">
        <v>21483.980758280592</v>
      </c>
      <c r="H46" s="4">
        <v>22909.176571215612</v>
      </c>
      <c r="I46" s="4">
        <v>24349.792146512547</v>
      </c>
      <c r="J46" s="4">
        <v>25806.03997711085</v>
      </c>
      <c r="K46" s="4">
        <v>27278.136050499037</v>
      </c>
      <c r="L46" s="4">
        <v>28766.299914320443</v>
      </c>
      <c r="M46" s="4">
        <v>30270.754743317637</v>
      </c>
      <c r="N46" s="4">
        <v>31791.727407630038</v>
      </c>
      <c r="O46" s="4">
        <v>33329.44854248823</v>
      </c>
      <c r="P46" s="4">
        <v>34884.152619321183</v>
      </c>
      <c r="Q46" s="4">
        <v>36456.078018317159</v>
      </c>
      <c r="R46" s="4">
        <v>38045.467102460236</v>
      </c>
      <c r="S46" s="4">
        <v>39652.566293076641</v>
      </c>
    </row>
    <row r="47" spans="4:19" x14ac:dyDescent="0.2">
      <c r="F47" s="29">
        <v>425</v>
      </c>
      <c r="G47" s="4">
        <v>22105.006528161059</v>
      </c>
      <c r="H47" s="4">
        <v>23530.202341096112</v>
      </c>
      <c r="I47" s="4">
        <v>24970.817916393047</v>
      </c>
      <c r="J47" s="4">
        <v>26427.065746991379</v>
      </c>
      <c r="K47" s="4">
        <v>27899.161820379537</v>
      </c>
      <c r="L47" s="4">
        <v>29387.325684200958</v>
      </c>
      <c r="M47" s="4">
        <v>30891.780513198166</v>
      </c>
      <c r="N47" s="4">
        <v>32412.753177510553</v>
      </c>
      <c r="O47" s="4">
        <v>33950.474312368759</v>
      </c>
      <c r="P47" s="4">
        <v>35505.17838920177</v>
      </c>
      <c r="Q47" s="4">
        <v>37077.103788197717</v>
      </c>
      <c r="R47" s="4">
        <v>38666.492872340823</v>
      </c>
      <c r="S47" s="4">
        <v>40273.592062957185</v>
      </c>
    </row>
    <row r="48" spans="4:19" x14ac:dyDescent="0.2">
      <c r="F48" s="29">
        <v>450</v>
      </c>
      <c r="G48" s="4">
        <v>22727.670778659514</v>
      </c>
      <c r="H48" s="4">
        <v>24152.866591594538</v>
      </c>
      <c r="I48" s="4">
        <v>25593.482166891488</v>
      </c>
      <c r="J48" s="4">
        <v>27049.72999748982</v>
      </c>
      <c r="K48" s="4">
        <v>28521.826070877956</v>
      </c>
      <c r="L48" s="4">
        <v>30009.989934699428</v>
      </c>
      <c r="M48" s="4">
        <v>31514.444763696607</v>
      </c>
      <c r="N48" s="4">
        <v>33035.417428008965</v>
      </c>
      <c r="O48" s="4">
        <v>34573.138562867156</v>
      </c>
      <c r="P48" s="4">
        <v>36127.842639700226</v>
      </c>
      <c r="Q48" s="4">
        <v>37699.768038696129</v>
      </c>
      <c r="R48" s="4">
        <v>39289.157122839235</v>
      </c>
      <c r="S48" s="4">
        <v>40896.256313455626</v>
      </c>
    </row>
    <row r="49" spans="4:19" x14ac:dyDescent="0.2">
      <c r="F49" s="29">
        <v>475</v>
      </c>
      <c r="G49" s="4">
        <v>23351.979000344174</v>
      </c>
      <c r="H49" s="4">
        <v>24777.174813279191</v>
      </c>
      <c r="I49" s="4">
        <v>26217.790388576075</v>
      </c>
      <c r="J49" s="4">
        <v>27674.038219174465</v>
      </c>
      <c r="K49" s="4">
        <v>29146.134292562652</v>
      </c>
      <c r="L49" s="4">
        <v>30634.298156384015</v>
      </c>
      <c r="M49" s="4">
        <v>32138.752985381281</v>
      </c>
      <c r="N49" s="4">
        <v>33659.725649693624</v>
      </c>
      <c r="O49" s="4">
        <v>35197.446784551874</v>
      </c>
      <c r="P49" s="4">
        <v>36752.15086138482</v>
      </c>
      <c r="Q49" s="4">
        <v>38324.076260380774</v>
      </c>
      <c r="R49" s="4">
        <v>39913.465344523909</v>
      </c>
      <c r="S49" s="4">
        <v>41520.564535140256</v>
      </c>
    </row>
    <row r="50" spans="4:19" x14ac:dyDescent="0.2">
      <c r="F50" s="29">
        <v>500</v>
      </c>
      <c r="G50" s="4">
        <v>23977.936705722306</v>
      </c>
      <c r="H50" s="4">
        <v>25403.132518657359</v>
      </c>
      <c r="I50" s="4">
        <v>26843.748093954295</v>
      </c>
      <c r="J50" s="4">
        <v>28299.995924552626</v>
      </c>
      <c r="K50" s="4">
        <v>29772.09199794077</v>
      </c>
      <c r="L50" s="4">
        <v>31260.255861762249</v>
      </c>
      <c r="M50" s="4">
        <v>32764.710690759388</v>
      </c>
      <c r="N50" s="4">
        <v>34285.683355071815</v>
      </c>
      <c r="O50" s="4">
        <v>35823.404489930006</v>
      </c>
      <c r="P50" s="4">
        <v>37378.108566762981</v>
      </c>
      <c r="Q50" s="4">
        <v>38950.033965758936</v>
      </c>
      <c r="R50" s="4">
        <v>40539.423049902034</v>
      </c>
      <c r="S50" s="4">
        <v>42146.522240518418</v>
      </c>
    </row>
    <row r="51" spans="4:19" x14ac:dyDescent="0.2">
      <c r="F51" s="29">
        <v>525</v>
      </c>
      <c r="G51" s="4">
        <v>24605.54942934322</v>
      </c>
      <c r="H51" s="4">
        <v>26030.74524227831</v>
      </c>
      <c r="I51" s="4">
        <v>27471.360817575223</v>
      </c>
      <c r="J51" s="4">
        <v>28927.608648173613</v>
      </c>
      <c r="K51" s="4">
        <v>30399.704721561699</v>
      </c>
      <c r="L51" s="4">
        <v>31887.868585383119</v>
      </c>
      <c r="M51" s="4">
        <v>33392.32341438032</v>
      </c>
      <c r="N51" s="4">
        <v>34913.296078692772</v>
      </c>
      <c r="O51" s="4">
        <v>36451.017213550891</v>
      </c>
      <c r="P51" s="4">
        <v>38005.721290383924</v>
      </c>
      <c r="Q51" s="4">
        <v>39577.646689379922</v>
      </c>
      <c r="R51" s="4">
        <v>41167.035773522948</v>
      </c>
      <c r="S51" s="4">
        <v>42774.134964139339</v>
      </c>
    </row>
    <row r="52" spans="4:19" x14ac:dyDescent="0.2">
      <c r="F52" s="29">
        <v>550</v>
      </c>
      <c r="G52" s="4">
        <v>25234.822727898121</v>
      </c>
      <c r="H52" s="4">
        <v>26660.018540833153</v>
      </c>
      <c r="I52" s="4">
        <v>28100.634116130139</v>
      </c>
      <c r="J52" s="4">
        <v>29556.881946728441</v>
      </c>
      <c r="K52" s="4">
        <v>31028.978020116629</v>
      </c>
      <c r="L52" s="4">
        <v>32517.141883938042</v>
      </c>
      <c r="M52" s="4">
        <v>34021.59671293525</v>
      </c>
      <c r="N52" s="4">
        <v>35542.569377247644</v>
      </c>
      <c r="O52" s="4">
        <v>37080.29051210585</v>
      </c>
      <c r="P52" s="4">
        <v>38634.994588938869</v>
      </c>
      <c r="Q52" s="4">
        <v>40206.919987934794</v>
      </c>
      <c r="R52" s="4">
        <v>41796.309072077936</v>
      </c>
      <c r="S52" s="4">
        <v>43403.408262694211</v>
      </c>
    </row>
    <row r="53" spans="4:19" x14ac:dyDescent="0.2">
      <c r="F53" s="29">
        <v>575</v>
      </c>
      <c r="G53" s="4">
        <v>25865.762180320962</v>
      </c>
      <c r="H53" s="4">
        <v>27290.957993255979</v>
      </c>
      <c r="I53" s="4">
        <v>28731.573568552922</v>
      </c>
      <c r="J53" s="4">
        <v>30187.821399151282</v>
      </c>
      <c r="K53" s="4">
        <v>31659.917472539426</v>
      </c>
      <c r="L53" s="4">
        <v>33148.081336360847</v>
      </c>
      <c r="M53" s="4">
        <v>34652.536165358091</v>
      </c>
      <c r="N53" s="4">
        <v>36173.508829670471</v>
      </c>
      <c r="O53" s="4">
        <v>37711.229964528691</v>
      </c>
      <c r="P53" s="4">
        <v>39265.934041361637</v>
      </c>
      <c r="Q53" s="4">
        <v>40837.859440357592</v>
      </c>
      <c r="R53" s="4">
        <v>42427.24852450069</v>
      </c>
      <c r="S53" s="4">
        <v>44034.347715117045</v>
      </c>
    </row>
    <row r="54" spans="4:19" x14ac:dyDescent="0.2">
      <c r="F54" s="29">
        <v>600</v>
      </c>
      <c r="G54" s="4">
        <v>26498.373387890882</v>
      </c>
      <c r="H54" s="4">
        <v>27923.569200825979</v>
      </c>
      <c r="I54" s="4">
        <v>29364.184776122944</v>
      </c>
      <c r="J54" s="4">
        <v>30820.432606721275</v>
      </c>
      <c r="K54" s="4">
        <v>32292.528680109433</v>
      </c>
      <c r="L54" s="4">
        <v>33780.692543930869</v>
      </c>
      <c r="M54" s="4">
        <v>35285.147372928091</v>
      </c>
      <c r="N54" s="4">
        <v>36806.120037240442</v>
      </c>
      <c r="O54" s="4">
        <v>38343.841172098611</v>
      </c>
      <c r="P54" s="4">
        <v>39898.545248931689</v>
      </c>
      <c r="Q54" s="4">
        <v>41470.470647927614</v>
      </c>
      <c r="R54" s="4">
        <v>43059.85973207069</v>
      </c>
      <c r="S54" s="4">
        <v>44666.958922687067</v>
      </c>
    </row>
    <row r="57" spans="4:19" x14ac:dyDescent="0.2">
      <c r="D57" t="s">
        <v>86</v>
      </c>
    </row>
    <row r="58" spans="4:19" x14ac:dyDescent="0.2">
      <c r="D58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4:19" x14ac:dyDescent="0.2">
      <c r="D59" s="1"/>
      <c r="Q59" s="19"/>
      <c r="R59" s="19"/>
    </row>
    <row r="60" spans="4:19" x14ac:dyDescent="0.2">
      <c r="Q60" s="19"/>
      <c r="R60" s="19"/>
    </row>
    <row r="61" spans="4:19" x14ac:dyDescent="0.2">
      <c r="E61" s="1"/>
      <c r="G61" t="s">
        <v>61</v>
      </c>
      <c r="Q61" s="19"/>
      <c r="R61" s="19"/>
      <c r="S61" s="19"/>
    </row>
    <row r="62" spans="4:19" x14ac:dyDescent="0.2">
      <c r="E62" s="1"/>
      <c r="F62" s="32" t="e">
        <f>Sheet2!#REF!</f>
        <v>#REF!</v>
      </c>
      <c r="G62" s="53">
        <v>0.15</v>
      </c>
      <c r="H62" s="53">
        <f>0.01+G62</f>
        <v>0.16</v>
      </c>
      <c r="I62" s="53">
        <f t="shared" ref="I62:S62" si="0">0.01+H62</f>
        <v>0.17</v>
      </c>
      <c r="J62" s="53">
        <f t="shared" si="0"/>
        <v>0.18000000000000002</v>
      </c>
      <c r="K62" s="53">
        <f t="shared" si="0"/>
        <v>0.19000000000000003</v>
      </c>
      <c r="L62" s="53">
        <f t="shared" si="0"/>
        <v>0.20000000000000004</v>
      </c>
      <c r="M62" s="53">
        <f t="shared" si="0"/>
        <v>0.21000000000000005</v>
      </c>
      <c r="N62" s="53">
        <f t="shared" si="0"/>
        <v>0.22000000000000006</v>
      </c>
      <c r="O62" s="53">
        <f t="shared" si="0"/>
        <v>0.23000000000000007</v>
      </c>
      <c r="P62" s="53">
        <f t="shared" si="0"/>
        <v>0.24000000000000007</v>
      </c>
      <c r="Q62" s="53">
        <f>0.01+P62</f>
        <v>0.25000000000000006</v>
      </c>
      <c r="R62" s="53">
        <f t="shared" si="0"/>
        <v>0.26000000000000006</v>
      </c>
      <c r="S62" s="53">
        <f t="shared" si="0"/>
        <v>0.27000000000000007</v>
      </c>
    </row>
    <row r="63" spans="4:19" x14ac:dyDescent="0.2">
      <c r="E63" s="30" t="s">
        <v>88</v>
      </c>
      <c r="F63" s="29">
        <v>200</v>
      </c>
      <c r="G63" s="4">
        <v>82570.219476204278</v>
      </c>
      <c r="H63" s="4">
        <v>83995.415289139331</v>
      </c>
      <c r="I63" s="4">
        <v>85436.030864436238</v>
      </c>
      <c r="J63" s="4">
        <v>86892.278695034533</v>
      </c>
      <c r="K63" s="4">
        <v>88364.374768422727</v>
      </c>
      <c r="L63" s="4">
        <v>89852.538632244134</v>
      </c>
      <c r="M63" s="4">
        <v>91356.993461241349</v>
      </c>
      <c r="N63" s="4">
        <v>92877.966125553765</v>
      </c>
      <c r="O63" s="4">
        <v>94415.687260411913</v>
      </c>
      <c r="P63" s="4">
        <v>95970.391337244975</v>
      </c>
      <c r="Q63" s="4">
        <v>97542.316736240842</v>
      </c>
      <c r="R63" s="4">
        <v>99131.705820383999</v>
      </c>
      <c r="S63" s="4">
        <v>100738.80501100038</v>
      </c>
    </row>
    <row r="64" spans="4:19" x14ac:dyDescent="0.2">
      <c r="E64" s="1"/>
      <c r="F64" s="29">
        <f t="shared" ref="F64:F79" si="1">+F63+25</f>
        <v>225</v>
      </c>
      <c r="G64" s="4">
        <v>83178.332461556725</v>
      </c>
      <c r="H64" s="4">
        <v>84603.528274491808</v>
      </c>
      <c r="I64" s="4">
        <v>86044.143849788728</v>
      </c>
      <c r="J64" s="4">
        <v>87500.391680387096</v>
      </c>
      <c r="K64" s="4">
        <v>88972.487753775233</v>
      </c>
      <c r="L64" s="4">
        <v>90460.651617596683</v>
      </c>
      <c r="M64" s="4">
        <v>91965.106446593811</v>
      </c>
      <c r="N64" s="4">
        <v>93486.079110906299</v>
      </c>
      <c r="O64" s="4">
        <v>95023.800245764462</v>
      </c>
      <c r="P64" s="4">
        <v>96578.50432259748</v>
      </c>
      <c r="Q64" s="4">
        <v>98150.429721593391</v>
      </c>
      <c r="R64" s="4">
        <v>99739.81880573649</v>
      </c>
      <c r="S64" s="4">
        <v>101346.91799635286</v>
      </c>
    </row>
    <row r="65" spans="5:19" x14ac:dyDescent="0.2">
      <c r="E65" s="1"/>
      <c r="F65" s="29">
        <f t="shared" si="1"/>
        <v>250</v>
      </c>
      <c r="G65" s="4">
        <v>83788.040780927884</v>
      </c>
      <c r="H65" s="4">
        <v>85213.236593862952</v>
      </c>
      <c r="I65" s="4">
        <v>86653.852169159873</v>
      </c>
      <c r="J65" s="4">
        <v>88110.099999758269</v>
      </c>
      <c r="K65" s="4">
        <v>89582.196073146333</v>
      </c>
      <c r="L65" s="4">
        <v>91070.359936967798</v>
      </c>
      <c r="M65" s="4">
        <v>92574.814765965013</v>
      </c>
      <c r="N65" s="4">
        <v>94095.787430277385</v>
      </c>
      <c r="O65" s="4">
        <v>95633.508565135591</v>
      </c>
      <c r="P65" s="4">
        <v>97188.212641968596</v>
      </c>
      <c r="Q65" s="4">
        <v>98760.13804096455</v>
      </c>
      <c r="R65" s="4">
        <v>100349.52712510765</v>
      </c>
      <c r="S65" s="4">
        <v>101956.62631572399</v>
      </c>
    </row>
    <row r="66" spans="5:19" x14ac:dyDescent="0.2">
      <c r="E66" s="1"/>
      <c r="F66" s="29">
        <f t="shared" si="1"/>
        <v>275</v>
      </c>
      <c r="G66" s="4">
        <v>84399.349752924943</v>
      </c>
      <c r="H66" s="4">
        <v>85824.545565859997</v>
      </c>
      <c r="I66" s="4">
        <v>87265.161141156917</v>
      </c>
      <c r="J66" s="4">
        <v>88721.408971755227</v>
      </c>
      <c r="K66" s="4">
        <v>90193.505045143393</v>
      </c>
      <c r="L66" s="4">
        <v>91681.668908964755</v>
      </c>
      <c r="M66" s="4">
        <v>93186.123737961985</v>
      </c>
      <c r="N66" s="4">
        <v>94707.096402274445</v>
      </c>
      <c r="O66" s="4">
        <v>96244.817537132651</v>
      </c>
      <c r="P66" s="4">
        <v>97799.521613965568</v>
      </c>
      <c r="Q66" s="4">
        <v>99371.447012961537</v>
      </c>
      <c r="R66" s="4">
        <v>100960.83609710462</v>
      </c>
      <c r="S66" s="4">
        <v>102567.93528772102</v>
      </c>
    </row>
    <row r="67" spans="5:19" x14ac:dyDescent="0.2">
      <c r="E67" s="1"/>
      <c r="F67" s="29">
        <f t="shared" si="1"/>
        <v>300</v>
      </c>
      <c r="G67" s="4">
        <v>85012.264717307786</v>
      </c>
      <c r="H67" s="4">
        <v>86437.460530242854</v>
      </c>
      <c r="I67" s="4">
        <v>87878.076105539774</v>
      </c>
      <c r="J67" s="4">
        <v>89334.323936138098</v>
      </c>
      <c r="K67" s="4">
        <v>90806.420009526264</v>
      </c>
      <c r="L67" s="4">
        <v>92294.583873347627</v>
      </c>
      <c r="M67" s="4">
        <v>93799.0387023449</v>
      </c>
      <c r="N67" s="4">
        <v>95320.011366657272</v>
      </c>
      <c r="O67" s="4">
        <v>96857.73250151542</v>
      </c>
      <c r="P67" s="4">
        <v>98412.436578348512</v>
      </c>
      <c r="Q67" s="4">
        <v>99984.361977344466</v>
      </c>
      <c r="R67" s="4">
        <v>101573.75106148755</v>
      </c>
      <c r="S67" s="4">
        <v>103180.85025210388</v>
      </c>
    </row>
    <row r="68" spans="5:19" x14ac:dyDescent="0.2">
      <c r="E68" s="1"/>
      <c r="F68" s="29">
        <f t="shared" si="1"/>
        <v>325</v>
      </c>
      <c r="G68" s="4">
        <v>85626.791035086513</v>
      </c>
      <c r="H68" s="4">
        <v>87051.986848021566</v>
      </c>
      <c r="I68" s="4">
        <v>88492.602423318531</v>
      </c>
      <c r="J68" s="4">
        <v>89948.850253916869</v>
      </c>
      <c r="K68" s="4">
        <v>91420.946327305021</v>
      </c>
      <c r="L68" s="4">
        <v>92909.110191126441</v>
      </c>
      <c r="M68" s="4">
        <v>94413.565020123657</v>
      </c>
      <c r="N68" s="4">
        <v>95934.537684436014</v>
      </c>
      <c r="O68" s="4">
        <v>97472.258819294191</v>
      </c>
      <c r="P68" s="4">
        <v>99026.962896127283</v>
      </c>
      <c r="Q68" s="4">
        <v>100598.88829512318</v>
      </c>
      <c r="R68" s="4">
        <v>102188.27737926628</v>
      </c>
      <c r="S68" s="4">
        <v>103795.37656988263</v>
      </c>
    </row>
    <row r="69" spans="5:19" x14ac:dyDescent="0.2">
      <c r="E69" s="1"/>
      <c r="F69" s="29">
        <f t="shared" si="1"/>
        <v>350</v>
      </c>
      <c r="G69" s="4">
        <v>86242.934088619106</v>
      </c>
      <c r="H69" s="4">
        <v>87668.129901554217</v>
      </c>
      <c r="I69" s="4">
        <v>89108.745476851109</v>
      </c>
      <c r="J69" s="4">
        <v>90564.993307449477</v>
      </c>
      <c r="K69" s="4">
        <v>92037.089380837599</v>
      </c>
      <c r="L69" s="4">
        <v>93525.253244659005</v>
      </c>
      <c r="M69" s="4">
        <v>95029.708073656206</v>
      </c>
      <c r="N69" s="4">
        <v>96550.680737968622</v>
      </c>
      <c r="O69" s="4">
        <v>98088.401872826784</v>
      </c>
      <c r="P69" s="4">
        <v>99643.105949659832</v>
      </c>
      <c r="Q69" s="4">
        <v>101215.03134865576</v>
      </c>
      <c r="R69" s="4">
        <v>102804.42043279883</v>
      </c>
      <c r="S69" s="4">
        <v>104411.51962341525</v>
      </c>
    </row>
    <row r="70" spans="5:19" x14ac:dyDescent="0.2">
      <c r="E70" s="1"/>
      <c r="F70" s="29">
        <f t="shared" si="1"/>
        <v>375</v>
      </c>
      <c r="G70" s="4">
        <v>86860.699281708585</v>
      </c>
      <c r="H70" s="4">
        <v>88285.895094643667</v>
      </c>
      <c r="I70" s="4">
        <v>89726.510669940602</v>
      </c>
      <c r="J70" s="4">
        <v>91182.75850053897</v>
      </c>
      <c r="K70" s="4">
        <v>92654.854573927063</v>
      </c>
      <c r="L70" s="4">
        <v>94143.018437748513</v>
      </c>
      <c r="M70" s="4">
        <v>95647.473266745685</v>
      </c>
      <c r="N70" s="4">
        <v>97168.445931058115</v>
      </c>
      <c r="O70" s="4">
        <v>98706.167065916292</v>
      </c>
      <c r="P70" s="4">
        <v>100260.87114274935</v>
      </c>
      <c r="Q70" s="4">
        <v>101832.79654174522</v>
      </c>
      <c r="R70" s="4">
        <v>103422.18562588832</v>
      </c>
      <c r="S70" s="4">
        <v>105029.28481650473</v>
      </c>
    </row>
    <row r="71" spans="5:19" x14ac:dyDescent="0.2">
      <c r="E71" s="1"/>
      <c r="F71" s="29">
        <f t="shared" si="1"/>
        <v>400</v>
      </c>
      <c r="G71" s="4">
        <v>87480.092039700045</v>
      </c>
      <c r="H71" s="4">
        <v>88905.287852635098</v>
      </c>
      <c r="I71" s="4">
        <v>90345.903427932048</v>
      </c>
      <c r="J71" s="4">
        <v>91802.151258530357</v>
      </c>
      <c r="K71" s="4">
        <v>93274.247331918508</v>
      </c>
      <c r="L71" s="4">
        <v>94762.411195739944</v>
      </c>
      <c r="M71" s="4">
        <v>96266.86602473713</v>
      </c>
      <c r="N71" s="4">
        <v>97787.838689049531</v>
      </c>
      <c r="O71" s="4">
        <v>99325.559823907737</v>
      </c>
      <c r="P71" s="4">
        <v>100880.26390074074</v>
      </c>
      <c r="Q71" s="4">
        <v>102452.1892997367</v>
      </c>
      <c r="R71" s="4">
        <v>104041.57838387977</v>
      </c>
      <c r="S71" s="4">
        <v>105648.67757449616</v>
      </c>
    </row>
    <row r="72" spans="5:19" x14ac:dyDescent="0.2">
      <c r="E72" s="1"/>
      <c r="F72" s="29">
        <f t="shared" si="1"/>
        <v>425</v>
      </c>
      <c r="G72" s="4">
        <v>88101.117809580595</v>
      </c>
      <c r="H72" s="4">
        <v>89526.313622515619</v>
      </c>
      <c r="I72" s="4">
        <v>90966.929197812569</v>
      </c>
      <c r="J72" s="4">
        <v>92423.177028410923</v>
      </c>
      <c r="K72" s="4">
        <v>93895.273101799059</v>
      </c>
      <c r="L72" s="4">
        <v>95383.43696562048</v>
      </c>
      <c r="M72" s="4">
        <v>96887.891794617695</v>
      </c>
      <c r="N72" s="4">
        <v>98408.864458930067</v>
      </c>
      <c r="O72" s="4">
        <v>99946.585593788273</v>
      </c>
      <c r="P72" s="4">
        <v>101501.28967062126</v>
      </c>
      <c r="Q72" s="4">
        <v>103073.21506961723</v>
      </c>
      <c r="R72" s="4">
        <v>104662.60415376033</v>
      </c>
      <c r="S72" s="4">
        <v>106269.7033443767</v>
      </c>
    </row>
    <row r="73" spans="5:19" x14ac:dyDescent="0.2">
      <c r="E73" s="1"/>
      <c r="F73" s="29">
        <f t="shared" si="1"/>
        <v>450</v>
      </c>
      <c r="G73" s="4">
        <v>88723.782060079102</v>
      </c>
      <c r="H73" s="4">
        <v>90148.977873014082</v>
      </c>
      <c r="I73" s="4">
        <v>91589.593448310989</v>
      </c>
      <c r="J73" s="4">
        <v>93045.841278909385</v>
      </c>
      <c r="K73" s="4">
        <v>94517.937352297493</v>
      </c>
      <c r="L73" s="4">
        <v>96006.101216118899</v>
      </c>
      <c r="M73" s="4">
        <v>97510.556045116129</v>
      </c>
      <c r="N73" s="4">
        <v>99031.52870942856</v>
      </c>
      <c r="O73" s="4">
        <v>100569.24984428671</v>
      </c>
      <c r="P73" s="4">
        <v>102123.95392111974</v>
      </c>
      <c r="Q73" s="4">
        <v>103695.87932011567</v>
      </c>
      <c r="R73" s="4">
        <v>105285.26840425876</v>
      </c>
      <c r="S73" s="4">
        <v>106892.36759487513</v>
      </c>
    </row>
    <row r="74" spans="5:19" x14ac:dyDescent="0.2">
      <c r="E74" s="1"/>
      <c r="F74" s="29">
        <f t="shared" si="1"/>
        <v>475</v>
      </c>
      <c r="G74" s="4">
        <v>89348.090281763696</v>
      </c>
      <c r="H74" s="4">
        <v>90773.286094698749</v>
      </c>
      <c r="I74" s="4">
        <v>92213.90166999567</v>
      </c>
      <c r="J74" s="4">
        <v>93670.14950059398</v>
      </c>
      <c r="K74" s="4">
        <v>95142.24557398216</v>
      </c>
      <c r="L74" s="4">
        <v>96630.409437803552</v>
      </c>
      <c r="M74" s="4">
        <v>98134.864266800781</v>
      </c>
      <c r="N74" s="4">
        <v>99655.836931113183</v>
      </c>
      <c r="O74" s="4">
        <v>101193.55806597139</v>
      </c>
      <c r="P74" s="4">
        <v>102748.26214280436</v>
      </c>
      <c r="Q74" s="4">
        <v>104320.18754180029</v>
      </c>
      <c r="R74" s="4">
        <v>105909.57662594347</v>
      </c>
      <c r="S74" s="4">
        <v>107516.67581655979</v>
      </c>
    </row>
    <row r="75" spans="5:19" x14ac:dyDescent="0.2">
      <c r="E75" s="1"/>
      <c r="F75" s="29">
        <f t="shared" si="1"/>
        <v>500</v>
      </c>
      <c r="G75" s="4">
        <v>89974.047987141821</v>
      </c>
      <c r="H75" s="4">
        <v>91399.243800076903</v>
      </c>
      <c r="I75" s="4">
        <v>92839.85937537381</v>
      </c>
      <c r="J75" s="4">
        <v>94296.107205972163</v>
      </c>
      <c r="K75" s="4">
        <v>95768.203279360285</v>
      </c>
      <c r="L75" s="4">
        <v>97256.36714318172</v>
      </c>
      <c r="M75" s="4">
        <v>98760.821972178906</v>
      </c>
      <c r="N75" s="4">
        <v>100281.79463649134</v>
      </c>
      <c r="O75" s="4">
        <v>101819.51577134948</v>
      </c>
      <c r="P75" s="4">
        <v>103374.21984818256</v>
      </c>
      <c r="Q75" s="4">
        <v>104946.14524717844</v>
      </c>
      <c r="R75" s="4">
        <v>106535.53433132159</v>
      </c>
      <c r="S75" s="4">
        <v>108142.63352193794</v>
      </c>
    </row>
    <row r="76" spans="5:19" x14ac:dyDescent="0.2">
      <c r="E76" s="1"/>
      <c r="F76" s="29">
        <f t="shared" si="1"/>
        <v>525</v>
      </c>
      <c r="G76" s="4">
        <v>90601.660710762808</v>
      </c>
      <c r="H76" s="4">
        <v>92026.856523697905</v>
      </c>
      <c r="I76" s="4">
        <v>93467.472098994796</v>
      </c>
      <c r="J76" s="4">
        <v>94923.719929593164</v>
      </c>
      <c r="K76" s="4">
        <v>96395.816002981301</v>
      </c>
      <c r="L76" s="4">
        <v>97883.979866802692</v>
      </c>
      <c r="M76" s="4">
        <v>99388.434695799937</v>
      </c>
      <c r="N76" s="4">
        <v>100909.40736011235</v>
      </c>
      <c r="O76" s="4">
        <v>102447.12849497052</v>
      </c>
      <c r="P76" s="4">
        <v>104001.8325718035</v>
      </c>
      <c r="Q76" s="4">
        <v>105573.75797079946</v>
      </c>
      <c r="R76" s="4">
        <v>107163.14705494256</v>
      </c>
      <c r="S76" s="4">
        <v>108770.24624555896</v>
      </c>
    </row>
    <row r="77" spans="5:19" x14ac:dyDescent="0.2">
      <c r="E77" s="1"/>
      <c r="F77" s="29">
        <f t="shared" si="1"/>
        <v>550</v>
      </c>
      <c r="G77" s="4">
        <v>91230.9340093176</v>
      </c>
      <c r="H77" s="4">
        <v>92656.129822252668</v>
      </c>
      <c r="I77" s="4">
        <v>94096.745397549617</v>
      </c>
      <c r="J77" s="4">
        <v>95552.993228147941</v>
      </c>
      <c r="K77" s="4">
        <v>97025.089301536093</v>
      </c>
      <c r="L77" s="4">
        <v>98513.253165357484</v>
      </c>
      <c r="M77" s="4">
        <v>100017.70799435471</v>
      </c>
      <c r="N77" s="4">
        <v>101538.68065866712</v>
      </c>
      <c r="O77" s="4">
        <v>103076.40179352529</v>
      </c>
      <c r="P77" s="4">
        <v>104631.10587035835</v>
      </c>
      <c r="Q77" s="4">
        <v>106203.03126935428</v>
      </c>
      <c r="R77" s="4">
        <v>107792.42035349738</v>
      </c>
      <c r="S77" s="4">
        <v>109399.51954411375</v>
      </c>
    </row>
    <row r="78" spans="5:19" x14ac:dyDescent="0.2">
      <c r="E78" s="1"/>
      <c r="F78" s="29">
        <f t="shared" si="1"/>
        <v>575</v>
      </c>
      <c r="G78" s="4">
        <v>91861.873461740528</v>
      </c>
      <c r="H78" s="4">
        <v>93287.069274675508</v>
      </c>
      <c r="I78" s="4">
        <v>94727.684849972487</v>
      </c>
      <c r="J78" s="4">
        <v>96183.932680570811</v>
      </c>
      <c r="K78" s="4">
        <v>97656.028753958963</v>
      </c>
      <c r="L78" s="4">
        <v>99144.192617780413</v>
      </c>
      <c r="M78" s="4">
        <v>100648.64744677761</v>
      </c>
      <c r="N78" s="4">
        <v>102169.62011108996</v>
      </c>
      <c r="O78" s="4">
        <v>103707.34124594816</v>
      </c>
      <c r="P78" s="4">
        <v>105262.04532278117</v>
      </c>
      <c r="Q78" s="4">
        <v>106833.97072177711</v>
      </c>
      <c r="R78" s="4">
        <v>108423.35980592026</v>
      </c>
      <c r="S78" s="4">
        <v>110030.45899653659</v>
      </c>
    </row>
    <row r="79" spans="5:19" x14ac:dyDescent="0.2">
      <c r="E79" s="1"/>
      <c r="F79" s="29">
        <f t="shared" si="1"/>
        <v>600</v>
      </c>
      <c r="G79" s="4">
        <v>92494.484669310448</v>
      </c>
      <c r="H79" s="4">
        <v>93919.680482245516</v>
      </c>
      <c r="I79" s="4">
        <v>95360.296057542466</v>
      </c>
      <c r="J79" s="4">
        <v>96816.54388814079</v>
      </c>
      <c r="K79" s="4">
        <v>98288.63996152897</v>
      </c>
      <c r="L79" s="4">
        <v>99776.803825350376</v>
      </c>
      <c r="M79" s="4">
        <v>101281.25865434761</v>
      </c>
      <c r="N79" s="4">
        <v>102802.23131865999</v>
      </c>
      <c r="O79" s="4">
        <v>104339.95245351817</v>
      </c>
      <c r="P79" s="4">
        <v>105894.65653035122</v>
      </c>
      <c r="Q79" s="4">
        <v>107466.58192934713</v>
      </c>
      <c r="R79" s="4">
        <v>109055.9710134902</v>
      </c>
      <c r="S79" s="4">
        <v>110663.07020410657</v>
      </c>
    </row>
    <row r="88" spans="1:7" ht="15.75" x14ac:dyDescent="0.25">
      <c r="A88" s="62" t="s">
        <v>92</v>
      </c>
    </row>
    <row r="90" spans="1:7" ht="15.75" x14ac:dyDescent="0.25">
      <c r="C90" s="66" t="s">
        <v>61</v>
      </c>
      <c r="D90" s="66"/>
      <c r="E90" s="66" t="s">
        <v>93</v>
      </c>
      <c r="G90" s="63"/>
    </row>
    <row r="91" spans="1:7" x14ac:dyDescent="0.2">
      <c r="E91">
        <f>Sheet2!AD43</f>
        <v>72901.886266092159</v>
      </c>
    </row>
    <row r="92" spans="1:7" ht="15.75" x14ac:dyDescent="0.25">
      <c r="D92" s="65">
        <v>0.15</v>
      </c>
      <c r="E92" s="64">
        <v>17533.29081466551</v>
      </c>
    </row>
    <row r="93" spans="1:7" ht="15.75" x14ac:dyDescent="0.25">
      <c r="D93" s="65">
        <v>0.16</v>
      </c>
      <c r="E93" s="64">
        <v>18958.48662760052</v>
      </c>
    </row>
    <row r="94" spans="1:7" ht="15.75" x14ac:dyDescent="0.25">
      <c r="D94" s="65">
        <v>0.17</v>
      </c>
      <c r="E94" s="64">
        <v>20399.102202897462</v>
      </c>
    </row>
    <row r="95" spans="1:7" ht="15.75" x14ac:dyDescent="0.25">
      <c r="D95" s="65">
        <v>0.18</v>
      </c>
      <c r="E95" s="64">
        <v>21855.350033495815</v>
      </c>
    </row>
    <row r="96" spans="1:7" ht="15.75" x14ac:dyDescent="0.25">
      <c r="D96" s="65">
        <v>0.19</v>
      </c>
      <c r="E96" s="64">
        <v>23327.446106883996</v>
      </c>
    </row>
    <row r="97" spans="4:5" ht="15.75" x14ac:dyDescent="0.25">
      <c r="D97" s="65">
        <v>0.2</v>
      </c>
      <c r="E97" s="64">
        <v>24815.609970705365</v>
      </c>
    </row>
    <row r="98" spans="4:5" ht="15.75" x14ac:dyDescent="0.25">
      <c r="D98" s="65">
        <v>0.21</v>
      </c>
      <c r="E98" s="64">
        <v>26320.064799702559</v>
      </c>
    </row>
    <row r="99" spans="4:5" ht="15.75" x14ac:dyDescent="0.25">
      <c r="D99" s="65">
        <v>0.22</v>
      </c>
      <c r="E99" s="64">
        <v>27841.037464014975</v>
      </c>
    </row>
    <row r="100" spans="4:5" ht="15.75" x14ac:dyDescent="0.25">
      <c r="D100" s="65">
        <v>0.23</v>
      </c>
      <c r="E100" s="64">
        <v>29378.758598873246</v>
      </c>
    </row>
    <row r="101" spans="4:5" ht="15.75" x14ac:dyDescent="0.25">
      <c r="D101" s="65">
        <v>0.24</v>
      </c>
      <c r="E101" s="64">
        <v>30933.462675706178</v>
      </c>
    </row>
    <row r="102" spans="4:5" ht="15.75" x14ac:dyDescent="0.25">
      <c r="D102" s="65">
        <v>0.25</v>
      </c>
      <c r="E102" s="64">
        <v>32505.38807470211</v>
      </c>
    </row>
    <row r="103" spans="4:5" ht="15.75" x14ac:dyDescent="0.25">
      <c r="D103" s="65">
        <v>0.26</v>
      </c>
      <c r="E103" s="64">
        <v>34094.777158845231</v>
      </c>
    </row>
    <row r="104" spans="4:5" ht="15.75" x14ac:dyDescent="0.25">
      <c r="D104" s="65">
        <v>0.27</v>
      </c>
      <c r="E104" s="64">
        <v>35701.876349461607</v>
      </c>
    </row>
    <row r="105" spans="4:5" ht="15.75" x14ac:dyDescent="0.25">
      <c r="D105" s="65">
        <v>0.28000000000000003</v>
      </c>
      <c r="E105" s="64">
        <v>37326.93620331218</v>
      </c>
    </row>
    <row r="106" spans="4:5" ht="15.75" x14ac:dyDescent="0.25">
      <c r="D106" s="65">
        <v>0.28999999999999998</v>
      </c>
      <c r="E106" s="64">
        <v>38970.211491252296</v>
      </c>
    </row>
    <row r="107" spans="4:5" ht="15.75" x14ac:dyDescent="0.25">
      <c r="D107" s="65">
        <v>0.3</v>
      </c>
      <c r="E107" s="64">
        <v>40631.961278505572</v>
      </c>
    </row>
    <row r="108" spans="4:5" ht="15.75" x14ac:dyDescent="0.25">
      <c r="D108" s="65">
        <v>0.31</v>
      </c>
      <c r="E108" s="64">
        <v>42312.449006574374</v>
      </c>
    </row>
    <row r="109" spans="4:5" ht="15.75" x14ac:dyDescent="0.25">
      <c r="D109" s="65">
        <v>0.32</v>
      </c>
      <c r="E109" s="64">
        <v>44011.942576825422</v>
      </c>
    </row>
    <row r="110" spans="4:5" ht="15.75" x14ac:dyDescent="0.25">
      <c r="D110" s="65">
        <v>0.33</v>
      </c>
      <c r="E110" s="64">
        <v>45730.714435790855</v>
      </c>
    </row>
    <row r="111" spans="4:5" ht="15.75" x14ac:dyDescent="0.25">
      <c r="D111" s="65">
        <v>0.34</v>
      </c>
      <c r="E111" s="64">
        <v>47469.041662208132</v>
      </c>
    </row>
    <row r="112" spans="4:5" ht="15.75" x14ac:dyDescent="0.25">
      <c r="D112" s="65">
        <v>0.35</v>
      </c>
      <c r="E112" s="64">
        <v>49227.206055851493</v>
      </c>
    </row>
    <row r="115" spans="1:12" ht="15.75" x14ac:dyDescent="0.25">
      <c r="A115" s="62" t="s">
        <v>94</v>
      </c>
    </row>
    <row r="118" spans="1:12" ht="15.75" x14ac:dyDescent="0.25">
      <c r="F118" s="62" t="s">
        <v>14</v>
      </c>
    </row>
    <row r="120" spans="1:12" ht="15.75" x14ac:dyDescent="0.25">
      <c r="E120" s="62"/>
      <c r="F120" s="67">
        <v>200</v>
      </c>
      <c r="G120" s="67">
        <v>300</v>
      </c>
      <c r="H120" s="67">
        <v>400</v>
      </c>
      <c r="I120" s="67">
        <v>500</v>
      </c>
      <c r="J120" s="67">
        <v>600</v>
      </c>
      <c r="K120" s="67">
        <v>700</v>
      </c>
      <c r="L120" s="67">
        <v>800</v>
      </c>
    </row>
    <row r="121" spans="1:12" ht="15.75" x14ac:dyDescent="0.25">
      <c r="C121" s="2"/>
      <c r="D121" s="70" t="s">
        <v>95</v>
      </c>
      <c r="E121" s="68">
        <v>200</v>
      </c>
      <c r="F121" s="69">
        <v>16450.590369075704</v>
      </c>
      <c r="G121" s="69">
        <v>18681.995327753415</v>
      </c>
      <c r="H121" s="69">
        <v>20913.400286431068</v>
      </c>
      <c r="I121" s="69">
        <v>23144.805245108779</v>
      </c>
      <c r="J121" s="69">
        <v>25376.210203786446</v>
      </c>
      <c r="K121" s="69">
        <v>27607.615162464157</v>
      </c>
      <c r="L121" s="69">
        <v>29839.020121141868</v>
      </c>
    </row>
    <row r="122" spans="1:12" ht="15.75" x14ac:dyDescent="0.25">
      <c r="E122" s="67">
        <f>+E121+25</f>
        <v>225</v>
      </c>
      <c r="F122" s="69">
        <v>17388.451667007364</v>
      </c>
      <c r="G122" s="69">
        <v>19619.856625685017</v>
      </c>
      <c r="H122" s="69">
        <v>21851.261584362728</v>
      </c>
      <c r="I122" s="69">
        <v>24082.666543040439</v>
      </c>
      <c r="J122" s="69">
        <v>26314.071501718106</v>
      </c>
      <c r="K122" s="69">
        <v>28545.476460395759</v>
      </c>
      <c r="L122" s="69">
        <v>30776.88141907347</v>
      </c>
    </row>
    <row r="123" spans="1:12" ht="15.75" x14ac:dyDescent="0.25">
      <c r="E123" s="67">
        <f t="shared" ref="E123:E141" si="2">+E122+25</f>
        <v>250</v>
      </c>
      <c r="F123" s="69">
        <v>18328.778745695745</v>
      </c>
      <c r="G123" s="69">
        <v>20560.183704373398</v>
      </c>
      <c r="H123" s="69">
        <v>22791.588663051109</v>
      </c>
      <c r="I123" s="69">
        <v>25022.993621728747</v>
      </c>
      <c r="J123" s="69">
        <v>27254.398580406458</v>
      </c>
      <c r="K123" s="69">
        <v>29485.803539084111</v>
      </c>
      <c r="L123" s="69">
        <v>31717.208497761807</v>
      </c>
    </row>
    <row r="124" spans="1:12" ht="15.75" x14ac:dyDescent="0.25">
      <c r="E124" s="67">
        <f t="shared" si="2"/>
        <v>275</v>
      </c>
      <c r="F124" s="69">
        <v>19271.579849667258</v>
      </c>
      <c r="G124" s="69">
        <v>21502.984808344969</v>
      </c>
      <c r="H124" s="69">
        <v>23734.38976702268</v>
      </c>
      <c r="I124" s="69">
        <v>25965.794725700332</v>
      </c>
      <c r="J124" s="69">
        <v>28197.199684378043</v>
      </c>
      <c r="K124" s="69">
        <v>30428.604643055696</v>
      </c>
      <c r="L124" s="69">
        <v>32660.009601733407</v>
      </c>
    </row>
    <row r="125" spans="1:12" ht="15.75" x14ac:dyDescent="0.25">
      <c r="E125" s="67">
        <f t="shared" si="2"/>
        <v>300</v>
      </c>
      <c r="F125" s="69">
        <v>20216.863256341137</v>
      </c>
      <c r="G125" s="69">
        <v>22448.268215018819</v>
      </c>
      <c r="H125" s="69">
        <v>24679.673173696472</v>
      </c>
      <c r="I125" s="69">
        <v>26911.078132374183</v>
      </c>
      <c r="J125" s="69">
        <v>29142.483091051836</v>
      </c>
      <c r="K125" s="69">
        <v>31373.888049729547</v>
      </c>
      <c r="L125" s="69">
        <v>33605.293008407229</v>
      </c>
    </row>
    <row r="126" spans="1:12" ht="15.75" x14ac:dyDescent="0.25">
      <c r="E126" s="67">
        <f t="shared" si="2"/>
        <v>325</v>
      </c>
      <c r="F126" s="69">
        <v>21164.637276179863</v>
      </c>
      <c r="G126" s="69">
        <v>23396.042234857516</v>
      </c>
      <c r="H126" s="69">
        <v>25627.447193535227</v>
      </c>
      <c r="I126" s="69">
        <v>27858.852152212938</v>
      </c>
      <c r="J126" s="69">
        <v>30090.25711089059</v>
      </c>
      <c r="K126" s="69">
        <v>32321.662069568301</v>
      </c>
      <c r="L126" s="69">
        <v>34553.067028245954</v>
      </c>
    </row>
    <row r="127" spans="1:12" ht="15.75" x14ac:dyDescent="0.25">
      <c r="E127" s="67">
        <f t="shared" si="2"/>
        <v>350</v>
      </c>
      <c r="F127" s="69">
        <v>22114.910252843183</v>
      </c>
      <c r="G127" s="69">
        <v>24346.315211520836</v>
      </c>
      <c r="H127" s="69">
        <v>26577.720170198547</v>
      </c>
      <c r="I127" s="69">
        <v>28809.1251288762</v>
      </c>
      <c r="J127" s="69">
        <v>31040.530087553911</v>
      </c>
      <c r="K127" s="69">
        <v>33271.935046231622</v>
      </c>
      <c r="L127" s="69">
        <v>35503.340004909274</v>
      </c>
    </row>
    <row r="128" spans="1:12" ht="15.75" x14ac:dyDescent="0.25">
      <c r="E128" s="67">
        <f t="shared" si="2"/>
        <v>375</v>
      </c>
      <c r="F128" s="69">
        <v>23067.690563338394</v>
      </c>
      <c r="G128" s="69">
        <v>25299.095522016105</v>
      </c>
      <c r="H128" s="69">
        <v>27530.500480693758</v>
      </c>
      <c r="I128" s="69">
        <v>29761.905439371469</v>
      </c>
      <c r="J128" s="69">
        <v>31993.31039804918</v>
      </c>
      <c r="K128" s="69">
        <v>34224.715356726832</v>
      </c>
      <c r="L128" s="69">
        <v>36456.120315404543</v>
      </c>
    </row>
    <row r="129" spans="5:12" ht="15.75" x14ac:dyDescent="0.25">
      <c r="E129" s="67">
        <f t="shared" si="2"/>
        <v>400</v>
      </c>
      <c r="F129" s="69">
        <v>24022.986618172734</v>
      </c>
      <c r="G129" s="69">
        <v>26254.391576850387</v>
      </c>
      <c r="H129" s="69">
        <v>28485.796535528098</v>
      </c>
      <c r="I129" s="69">
        <v>30717.20149420575</v>
      </c>
      <c r="J129" s="69">
        <v>32948.606452883461</v>
      </c>
      <c r="K129" s="69">
        <v>35180.011411561114</v>
      </c>
      <c r="L129" s="69">
        <v>37411.416370238767</v>
      </c>
    </row>
    <row r="130" spans="5:12" ht="15.75" x14ac:dyDescent="0.25">
      <c r="E130" s="67">
        <f t="shared" si="2"/>
        <v>425</v>
      </c>
      <c r="F130" s="69">
        <v>24980.806861507641</v>
      </c>
      <c r="G130" s="69">
        <v>27212.211820185352</v>
      </c>
      <c r="H130" s="69">
        <v>29443.61677886299</v>
      </c>
      <c r="I130" s="69">
        <v>31675.021737540701</v>
      </c>
      <c r="J130" s="69">
        <v>33906.426696218412</v>
      </c>
      <c r="K130" s="69">
        <v>36137.831654896123</v>
      </c>
      <c r="L130" s="69">
        <v>38369.236613573776</v>
      </c>
    </row>
    <row r="131" spans="5:12" ht="15.75" x14ac:dyDescent="0.25">
      <c r="E131" s="67">
        <f t="shared" si="2"/>
        <v>450</v>
      </c>
      <c r="F131" s="69">
        <v>25941.159771315983</v>
      </c>
      <c r="G131" s="69">
        <v>28172.564729993665</v>
      </c>
      <c r="H131" s="69">
        <v>30403.969688671346</v>
      </c>
      <c r="I131" s="69">
        <v>32635.374647349028</v>
      </c>
      <c r="J131" s="69">
        <v>34866.779606026714</v>
      </c>
      <c r="K131" s="69">
        <v>37098.184564704425</v>
      </c>
      <c r="L131" s="69">
        <v>39329.589523382107</v>
      </c>
    </row>
    <row r="132" spans="5:12" ht="15.75" x14ac:dyDescent="0.25">
      <c r="E132" s="67">
        <f t="shared" si="2"/>
        <v>475</v>
      </c>
      <c r="F132" s="69">
        <v>26904.05385953296</v>
      </c>
      <c r="G132" s="69">
        <v>29135.458818210671</v>
      </c>
      <c r="H132" s="69">
        <v>31366.863776888382</v>
      </c>
      <c r="I132" s="69">
        <v>33598.26873556606</v>
      </c>
      <c r="J132" s="69">
        <v>35829.673694243742</v>
      </c>
      <c r="K132" s="69">
        <v>38061.078652921424</v>
      </c>
      <c r="L132" s="69">
        <v>40292.483611599106</v>
      </c>
    </row>
    <row r="133" spans="5:12" ht="15.75" x14ac:dyDescent="0.25">
      <c r="E133" s="67">
        <f t="shared" si="2"/>
        <v>500</v>
      </c>
      <c r="F133" s="69">
        <v>27869.49767221251</v>
      </c>
      <c r="G133" s="69">
        <v>30100.902630890163</v>
      </c>
      <c r="H133" s="69">
        <v>32332.307589567874</v>
      </c>
      <c r="I133" s="69">
        <v>34563.71254824553</v>
      </c>
      <c r="J133" s="69">
        <v>36795.117506923241</v>
      </c>
      <c r="K133" s="69">
        <v>39026.522465600952</v>
      </c>
      <c r="L133" s="69">
        <v>41257.927424278605</v>
      </c>
    </row>
    <row r="134" spans="5:12" ht="15.75" x14ac:dyDescent="0.25">
      <c r="E134" s="67">
        <f t="shared" si="2"/>
        <v>525</v>
      </c>
      <c r="F134" s="69">
        <v>28837.49978968675</v>
      </c>
      <c r="G134" s="69">
        <v>31068.904748364461</v>
      </c>
      <c r="H134" s="69">
        <v>33300.309707042114</v>
      </c>
      <c r="I134" s="69">
        <v>35531.714665719825</v>
      </c>
      <c r="J134" s="69">
        <v>37763.119624397477</v>
      </c>
      <c r="K134" s="69">
        <v>39994.524583075188</v>
      </c>
      <c r="L134" s="69">
        <v>42225.929541752899</v>
      </c>
    </row>
    <row r="135" spans="5:12" ht="15.75" x14ac:dyDescent="0.25">
      <c r="E135" s="67">
        <f t="shared" si="2"/>
        <v>550</v>
      </c>
      <c r="F135" s="69">
        <v>29808.068826722796</v>
      </c>
      <c r="G135" s="69">
        <v>32039.473785400478</v>
      </c>
      <c r="H135" s="69">
        <v>34270.87874407816</v>
      </c>
      <c r="I135" s="69">
        <v>36502.283702755842</v>
      </c>
      <c r="J135" s="69">
        <v>38733.688661433524</v>
      </c>
      <c r="K135" s="69">
        <v>40965.093620111205</v>
      </c>
      <c r="L135" s="69">
        <v>43196.498578788887</v>
      </c>
    </row>
    <row r="136" spans="5:12" ht="15.75" x14ac:dyDescent="0.25">
      <c r="E136" s="67">
        <f t="shared" si="2"/>
        <v>575</v>
      </c>
      <c r="F136" s="69">
        <v>30781.213432679495</v>
      </c>
      <c r="G136" s="69">
        <v>33012.618391357202</v>
      </c>
      <c r="H136" s="69">
        <v>35244.023350034913</v>
      </c>
      <c r="I136" s="69">
        <v>37475.428308712566</v>
      </c>
      <c r="J136" s="69">
        <v>39706.833267390277</v>
      </c>
      <c r="K136" s="69">
        <v>41938.238226067871</v>
      </c>
      <c r="L136" s="69">
        <v>44169.64318474559</v>
      </c>
    </row>
    <row r="137" spans="5:12" ht="15.75" x14ac:dyDescent="0.25">
      <c r="E137" s="67">
        <f t="shared" si="2"/>
        <v>600</v>
      </c>
      <c r="F137" s="69">
        <v>31756.942291666863</v>
      </c>
      <c r="G137" s="69">
        <v>33988.347250344545</v>
      </c>
      <c r="H137" s="69">
        <v>36219.752209022226</v>
      </c>
      <c r="I137" s="69">
        <v>38451.157167699908</v>
      </c>
      <c r="J137" s="69">
        <v>40682.562126377619</v>
      </c>
      <c r="K137" s="69">
        <v>42913.967085055301</v>
      </c>
      <c r="L137" s="69">
        <v>45145.372043733012</v>
      </c>
    </row>
    <row r="138" spans="5:12" ht="15.75" x14ac:dyDescent="0.25">
      <c r="E138" s="67">
        <f t="shared" si="2"/>
        <v>625</v>
      </c>
      <c r="F138" s="69">
        <v>32735.26412270905</v>
      </c>
      <c r="G138" s="69">
        <v>34966.669081386732</v>
      </c>
      <c r="H138" s="69">
        <v>37198.074040064414</v>
      </c>
      <c r="I138" s="69">
        <v>39429.478998742095</v>
      </c>
      <c r="J138" s="69">
        <v>41660.883957419777</v>
      </c>
      <c r="K138" s="69">
        <v>43892.28891609743</v>
      </c>
      <c r="L138" s="69">
        <v>46123.693874775112</v>
      </c>
    </row>
    <row r="139" spans="5:12" ht="15.75" x14ac:dyDescent="0.25">
      <c r="E139" s="67">
        <f t="shared" si="2"/>
        <v>650</v>
      </c>
      <c r="F139" s="69">
        <v>33716.187679900911</v>
      </c>
      <c r="G139" s="69">
        <v>35947.592638578622</v>
      </c>
      <c r="H139" s="69">
        <v>38178.997597256275</v>
      </c>
      <c r="I139" s="69">
        <v>40410.402555933986</v>
      </c>
      <c r="J139" s="69">
        <v>42641.807514611639</v>
      </c>
      <c r="K139" s="69">
        <v>44873.21247328935</v>
      </c>
      <c r="L139" s="69">
        <v>47104.617431967061</v>
      </c>
    </row>
    <row r="140" spans="5:12" ht="15.75" x14ac:dyDescent="0.25">
      <c r="E140" s="67">
        <f t="shared" si="2"/>
        <v>675</v>
      </c>
      <c r="F140" s="69">
        <v>34699.721752571131</v>
      </c>
      <c r="G140" s="69">
        <v>36931.126711248842</v>
      </c>
      <c r="H140" s="69">
        <v>39162.531669926495</v>
      </c>
      <c r="I140" s="69">
        <v>41393.936628604206</v>
      </c>
      <c r="J140" s="69">
        <v>43625.341587281917</v>
      </c>
      <c r="K140" s="69">
        <v>45856.74654595957</v>
      </c>
      <c r="L140" s="69">
        <v>48088.151504637281</v>
      </c>
    </row>
    <row r="141" spans="5:12" ht="15.75" x14ac:dyDescent="0.25">
      <c r="E141" s="67">
        <f t="shared" si="2"/>
        <v>700</v>
      </c>
      <c r="F141" s="69">
        <v>35685.875165445657</v>
      </c>
      <c r="G141" s="69">
        <v>37917.280124123368</v>
      </c>
      <c r="H141" s="69">
        <v>40148.685082801021</v>
      </c>
      <c r="I141" s="69">
        <v>42380.090041478732</v>
      </c>
      <c r="J141" s="69">
        <v>44611.495000156385</v>
      </c>
      <c r="K141" s="69">
        <v>46842.899958834096</v>
      </c>
      <c r="L141" s="69">
        <v>49074.304917511748</v>
      </c>
    </row>
  </sheetData>
  <mergeCells count="4">
    <mergeCell ref="D21:F21"/>
    <mergeCell ref="H21:J21"/>
    <mergeCell ref="L21:N21"/>
    <mergeCell ref="P21:R21"/>
  </mergeCells>
  <pageMargins left="0.75" right="0.75" top="1" bottom="1" header="0.5" footer="0.5"/>
  <pageSetup paperSize="5" scale="47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zoomScale="75" workbookViewId="0">
      <selection activeCell="B18" sqref="B18"/>
    </sheetView>
  </sheetViews>
  <sheetFormatPr defaultRowHeight="12.75" x14ac:dyDescent="0.2"/>
  <cols>
    <col min="1" max="1" width="11.6640625" customWidth="1"/>
    <col min="2" max="2" width="22.1640625" customWidth="1"/>
    <col min="3" max="3" width="13.83203125" customWidth="1"/>
    <col min="4" max="4" width="16" customWidth="1"/>
    <col min="5" max="5" width="14.6640625" customWidth="1"/>
    <col min="6" max="6" width="12.1640625" customWidth="1"/>
    <col min="7" max="7" width="12.6640625" bestFit="1" customWidth="1"/>
    <col min="8" max="9" width="12.33203125" customWidth="1"/>
    <col min="10" max="10" width="13" customWidth="1"/>
    <col min="11" max="11" width="12.83203125" customWidth="1"/>
    <col min="12" max="12" width="12.6640625" customWidth="1"/>
    <col min="13" max="13" width="11.83203125" customWidth="1"/>
    <col min="14" max="14" width="13.1640625" customWidth="1"/>
    <col min="15" max="15" width="12.6640625" customWidth="1"/>
    <col min="16" max="17" width="12" customWidth="1"/>
    <col min="18" max="18" width="12.33203125" customWidth="1"/>
    <col min="19" max="19" width="12.1640625" customWidth="1"/>
    <col min="20" max="20" width="13" customWidth="1"/>
    <col min="21" max="21" width="11.83203125" customWidth="1"/>
    <col min="22" max="22" width="12.1640625" customWidth="1"/>
    <col min="23" max="23" width="12" bestFit="1" customWidth="1"/>
    <col min="24" max="24" width="11.1640625" customWidth="1"/>
    <col min="25" max="25" width="10.83203125" bestFit="1" customWidth="1"/>
    <col min="26" max="26" width="10.6640625" customWidth="1"/>
    <col min="27" max="40" width="11" bestFit="1" customWidth="1"/>
    <col min="41" max="41" width="18.1640625" bestFit="1" customWidth="1"/>
    <col min="42" max="42" width="16.6640625" customWidth="1"/>
    <col min="44" max="44" width="16.5" customWidth="1"/>
    <col min="45" max="45" width="28" bestFit="1" customWidth="1"/>
    <col min="46" max="46" width="18" customWidth="1"/>
    <col min="47" max="47" width="16" bestFit="1" customWidth="1"/>
    <col min="48" max="48" width="16.1640625" bestFit="1" customWidth="1"/>
    <col min="49" max="49" width="14.83203125" customWidth="1"/>
  </cols>
  <sheetData>
    <row r="1" spans="1:23" x14ac:dyDescent="0.2">
      <c r="A1" t="s">
        <v>7</v>
      </c>
      <c r="D1" t="s">
        <v>96</v>
      </c>
    </row>
    <row r="2" spans="1:23" x14ac:dyDescent="0.2">
      <c r="A2" t="s">
        <v>8</v>
      </c>
    </row>
    <row r="3" spans="1:23" x14ac:dyDescent="0.2">
      <c r="A3" s="24">
        <f ca="1">TODAY()</f>
        <v>36628</v>
      </c>
    </row>
    <row r="6" spans="1:23" x14ac:dyDescent="0.2">
      <c r="A6" t="s">
        <v>6</v>
      </c>
    </row>
    <row r="7" spans="1:23" x14ac:dyDescent="0.2">
      <c r="C7" s="10" t="s">
        <v>24</v>
      </c>
      <c r="I7" s="10" t="s">
        <v>25</v>
      </c>
      <c r="O7" s="10" t="s">
        <v>50</v>
      </c>
    </row>
    <row r="8" spans="1:23" x14ac:dyDescent="0.2">
      <c r="C8" t="s">
        <v>12</v>
      </c>
      <c r="G8" s="11">
        <v>295000</v>
      </c>
      <c r="I8" t="s">
        <v>12</v>
      </c>
      <c r="M8" s="16">
        <f>G8</f>
        <v>295000</v>
      </c>
      <c r="U8" t="s">
        <v>18</v>
      </c>
      <c r="W8" s="15">
        <v>6.13E-2</v>
      </c>
    </row>
    <row r="9" spans="1:23" x14ac:dyDescent="0.2">
      <c r="C9" t="s">
        <v>14</v>
      </c>
      <c r="G9" s="13">
        <v>300</v>
      </c>
      <c r="I9" t="s">
        <v>14</v>
      </c>
      <c r="M9" s="13">
        <v>50</v>
      </c>
      <c r="O9" t="s">
        <v>14</v>
      </c>
      <c r="S9" s="28">
        <f>G9-M9</f>
        <v>250</v>
      </c>
      <c r="U9" t="s">
        <v>17</v>
      </c>
      <c r="W9" s="15">
        <v>6.2712000000000004E-2</v>
      </c>
    </row>
    <row r="10" spans="1:23" x14ac:dyDescent="0.2">
      <c r="C10" t="s">
        <v>15</v>
      </c>
      <c r="G10" s="13">
        <v>81.25</v>
      </c>
      <c r="I10" t="s">
        <v>15</v>
      </c>
      <c r="M10" s="13">
        <v>15</v>
      </c>
      <c r="O10" t="s">
        <v>15</v>
      </c>
      <c r="S10" s="28">
        <f>G10-M10</f>
        <v>66.25</v>
      </c>
      <c r="U10" t="s">
        <v>19</v>
      </c>
      <c r="W10" s="15">
        <v>6.5024999999999999E-2</v>
      </c>
    </row>
    <row r="11" spans="1:23" x14ac:dyDescent="0.2">
      <c r="C11" t="s">
        <v>16</v>
      </c>
      <c r="G11" s="13">
        <v>250</v>
      </c>
      <c r="I11" t="s">
        <v>16</v>
      </c>
      <c r="M11" s="13">
        <v>65</v>
      </c>
      <c r="O11" t="s">
        <v>16</v>
      </c>
      <c r="S11" s="28">
        <f>G11-M11</f>
        <v>185</v>
      </c>
      <c r="U11" t="s">
        <v>20</v>
      </c>
      <c r="W11" s="15">
        <v>6.8650000000000003E-2</v>
      </c>
    </row>
    <row r="12" spans="1:23" x14ac:dyDescent="0.2">
      <c r="C12" t="s">
        <v>22</v>
      </c>
      <c r="G12" s="11">
        <v>6</v>
      </c>
      <c r="I12" t="s">
        <v>22</v>
      </c>
      <c r="M12" s="11">
        <v>6</v>
      </c>
    </row>
    <row r="13" spans="1:23" x14ac:dyDescent="0.2">
      <c r="C13" t="s">
        <v>23</v>
      </c>
      <c r="G13" s="14">
        <f>IF(G12=1,W8,IF(G12=3,W9,IF(G12=6,W10,W11)))</f>
        <v>6.5024999999999999E-2</v>
      </c>
      <c r="I13" t="s">
        <v>23</v>
      </c>
      <c r="M13" s="14">
        <f>IF(M12=1,W8,IF(M12=3,W9,IF(M12=6,W10,W11)))</f>
        <v>6.5024999999999999E-2</v>
      </c>
    </row>
    <row r="14" spans="1:23" x14ac:dyDescent="0.2">
      <c r="C14" t="s">
        <v>67</v>
      </c>
      <c r="G14" s="36">
        <f>+(G11/10000)+G13</f>
        <v>9.0024999999999994E-2</v>
      </c>
      <c r="I14" t="s">
        <v>68</v>
      </c>
      <c r="M14" s="14">
        <f>M13+M11/10000</f>
        <v>7.1525000000000005E-2</v>
      </c>
    </row>
    <row r="15" spans="1:23" x14ac:dyDescent="0.2">
      <c r="C15" t="s">
        <v>35</v>
      </c>
      <c r="G15" s="20">
        <v>1</v>
      </c>
      <c r="I15" t="s">
        <v>41</v>
      </c>
      <c r="M15" s="17">
        <v>0.08</v>
      </c>
    </row>
    <row r="16" spans="1:23" x14ac:dyDescent="0.2">
      <c r="C16" t="s">
        <v>54</v>
      </c>
      <c r="G16" s="33">
        <f>1-M17</f>
        <v>0.65</v>
      </c>
      <c r="I16" t="s">
        <v>42</v>
      </c>
      <c r="M16" s="17">
        <v>0.12</v>
      </c>
    </row>
    <row r="17" spans="2:23" x14ac:dyDescent="0.2">
      <c r="I17" t="s">
        <v>55</v>
      </c>
      <c r="M17" s="34">
        <v>0.35</v>
      </c>
    </row>
    <row r="18" spans="2:23" x14ac:dyDescent="0.2">
      <c r="C18" t="s">
        <v>80</v>
      </c>
      <c r="G18" s="34">
        <v>0.1</v>
      </c>
      <c r="I18" t="s">
        <v>61</v>
      </c>
      <c r="M18" s="38">
        <v>0.2</v>
      </c>
    </row>
    <row r="20" spans="2:23" x14ac:dyDescent="0.2">
      <c r="C20" s="7" t="s">
        <v>0</v>
      </c>
    </row>
    <row r="21" spans="2:23" x14ac:dyDescent="0.2">
      <c r="C21" s="2" t="s">
        <v>2</v>
      </c>
      <c r="D21">
        <v>2001</v>
      </c>
      <c r="E21">
        <v>2001</v>
      </c>
      <c r="F21">
        <v>2001</v>
      </c>
      <c r="G21">
        <v>2001</v>
      </c>
      <c r="H21">
        <v>2001</v>
      </c>
      <c r="I21">
        <v>2001</v>
      </c>
      <c r="J21">
        <v>2002</v>
      </c>
      <c r="K21">
        <v>2002</v>
      </c>
      <c r="L21">
        <v>2002</v>
      </c>
      <c r="M21">
        <v>2002</v>
      </c>
      <c r="N21">
        <v>2002</v>
      </c>
      <c r="O21">
        <v>2002</v>
      </c>
      <c r="P21">
        <v>2002</v>
      </c>
      <c r="Q21">
        <v>2002</v>
      </c>
      <c r="R21">
        <v>2003</v>
      </c>
      <c r="S21">
        <v>2003</v>
      </c>
      <c r="T21">
        <v>2003</v>
      </c>
      <c r="U21">
        <v>2003</v>
      </c>
      <c r="V21">
        <v>2003</v>
      </c>
      <c r="W21">
        <v>2003</v>
      </c>
    </row>
    <row r="22" spans="2:23" x14ac:dyDescent="0.2">
      <c r="C22" s="2" t="s">
        <v>1</v>
      </c>
      <c r="D22">
        <v>4</v>
      </c>
      <c r="E22">
        <v>4</v>
      </c>
      <c r="F22">
        <v>8</v>
      </c>
      <c r="G22">
        <v>8</v>
      </c>
      <c r="H22">
        <v>10</v>
      </c>
      <c r="I22">
        <v>10</v>
      </c>
      <c r="J22">
        <v>1</v>
      </c>
      <c r="K22">
        <v>1</v>
      </c>
      <c r="L22">
        <v>1</v>
      </c>
      <c r="M22">
        <v>1</v>
      </c>
      <c r="N22">
        <v>4</v>
      </c>
      <c r="O22">
        <v>4</v>
      </c>
      <c r="P22">
        <v>11</v>
      </c>
      <c r="Q22">
        <v>11</v>
      </c>
      <c r="R22">
        <v>1</v>
      </c>
      <c r="S22">
        <v>1</v>
      </c>
      <c r="T22">
        <v>2</v>
      </c>
      <c r="U22">
        <v>2</v>
      </c>
      <c r="V22">
        <v>5</v>
      </c>
      <c r="W22">
        <v>5</v>
      </c>
    </row>
    <row r="23" spans="2:23" x14ac:dyDescent="0.2">
      <c r="C23" s="2"/>
      <c r="D23" s="1">
        <v>36982</v>
      </c>
      <c r="E23" s="1">
        <v>36982</v>
      </c>
      <c r="F23" s="1">
        <v>37104</v>
      </c>
      <c r="G23" s="1">
        <v>37104</v>
      </c>
      <c r="H23" s="1">
        <v>37165</v>
      </c>
      <c r="I23" s="1">
        <v>37165</v>
      </c>
      <c r="J23" s="1">
        <v>37257</v>
      </c>
      <c r="K23" s="1">
        <v>37257</v>
      </c>
      <c r="L23" s="1">
        <v>37257</v>
      </c>
      <c r="M23" s="1">
        <v>37257</v>
      </c>
      <c r="N23" s="1">
        <v>37347</v>
      </c>
      <c r="O23" s="1">
        <v>37347</v>
      </c>
      <c r="P23" s="1">
        <v>37561</v>
      </c>
      <c r="Q23" s="1">
        <v>37561</v>
      </c>
      <c r="R23" s="1">
        <v>37622</v>
      </c>
      <c r="S23" s="1">
        <v>37622</v>
      </c>
      <c r="T23" s="1">
        <v>37653</v>
      </c>
      <c r="U23" s="1">
        <v>37653</v>
      </c>
      <c r="V23" s="1">
        <v>37712</v>
      </c>
      <c r="W23" s="1">
        <v>37712</v>
      </c>
    </row>
    <row r="24" spans="2:23" x14ac:dyDescent="0.2">
      <c r="B24" t="s">
        <v>31</v>
      </c>
      <c r="C24" s="2"/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</row>
    <row r="25" spans="2:23" x14ac:dyDescent="0.2">
      <c r="C25" s="2"/>
    </row>
    <row r="26" spans="2:23" x14ac:dyDescent="0.2">
      <c r="B26" s="7" t="s">
        <v>3</v>
      </c>
    </row>
    <row r="27" spans="2:23" x14ac:dyDescent="0.2">
      <c r="B27" s="1">
        <v>36008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2:23" x14ac:dyDescent="0.2">
      <c r="B28" s="1">
        <v>36039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x14ac:dyDescent="0.2">
      <c r="B29" s="1">
        <v>36069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x14ac:dyDescent="0.2">
      <c r="B30" s="1">
        <v>36100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x14ac:dyDescent="0.2">
      <c r="B31" s="1">
        <v>36130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2:23" x14ac:dyDescent="0.2">
      <c r="B32" s="1">
        <v>36161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x14ac:dyDescent="0.2">
      <c r="B33" s="1">
        <v>36192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x14ac:dyDescent="0.2">
      <c r="B34" s="1">
        <v>36220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x14ac:dyDescent="0.2">
      <c r="B35" s="1">
        <v>36251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x14ac:dyDescent="0.2">
      <c r="B36" s="1">
        <v>36281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</row>
    <row r="37" spans="2:23" x14ac:dyDescent="0.2">
      <c r="B37" s="1">
        <v>36312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x14ac:dyDescent="0.2">
      <c r="B38" s="1">
        <v>36342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x14ac:dyDescent="0.2">
      <c r="B39" s="1">
        <v>36373</v>
      </c>
      <c r="D39" s="4">
        <v>1688</v>
      </c>
      <c r="E39" s="4">
        <v>1688</v>
      </c>
      <c r="F39" s="4">
        <v>1691</v>
      </c>
      <c r="G39" s="4">
        <v>1691</v>
      </c>
      <c r="H39" s="4">
        <v>1691</v>
      </c>
      <c r="I39" s="4">
        <v>1691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2:23" x14ac:dyDescent="0.2">
      <c r="B40" s="1">
        <v>36404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x14ac:dyDescent="0.2">
      <c r="B41" s="1">
        <v>36434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x14ac:dyDescent="0.2">
      <c r="B42" s="1">
        <v>36465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1737</v>
      </c>
      <c r="K42" s="4">
        <v>1737</v>
      </c>
      <c r="L42" s="4">
        <v>1737</v>
      </c>
      <c r="M42" s="4">
        <v>1737</v>
      </c>
      <c r="N42" s="4">
        <v>1725</v>
      </c>
      <c r="O42" s="4">
        <v>1725</v>
      </c>
      <c r="P42" s="4">
        <v>1725</v>
      </c>
      <c r="Q42" s="4">
        <v>1725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x14ac:dyDescent="0.2">
      <c r="B43" s="1">
        <v>36495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/>
      <c r="K43" s="4"/>
      <c r="L43" s="4"/>
      <c r="M43" s="4"/>
      <c r="N43" s="4"/>
      <c r="O43" s="4"/>
      <c r="P43" s="4"/>
      <c r="Q43" s="4"/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x14ac:dyDescent="0.2">
      <c r="B44" s="1">
        <v>36526</v>
      </c>
      <c r="D44" s="4">
        <v>1688</v>
      </c>
      <c r="E44" s="4">
        <v>1688</v>
      </c>
      <c r="F44" s="4">
        <v>0</v>
      </c>
      <c r="G44" s="4">
        <v>0</v>
      </c>
      <c r="H44" s="4">
        <v>0</v>
      </c>
      <c r="I44" s="4">
        <v>0</v>
      </c>
      <c r="J44" s="4">
        <v>868</v>
      </c>
      <c r="K44" s="4">
        <v>868</v>
      </c>
      <c r="L44" s="4">
        <v>868</v>
      </c>
      <c r="M44" s="4">
        <v>868</v>
      </c>
      <c r="N44" s="4">
        <v>863</v>
      </c>
      <c r="O44" s="4">
        <v>863</v>
      </c>
      <c r="P44" s="4">
        <v>863</v>
      </c>
      <c r="Q44" s="4">
        <v>863</v>
      </c>
      <c r="R44" s="4">
        <v>1800</v>
      </c>
      <c r="S44" s="4">
        <v>1800</v>
      </c>
      <c r="T44" s="4">
        <v>1800</v>
      </c>
      <c r="U44" s="4">
        <v>1800</v>
      </c>
      <c r="V44" s="4">
        <v>1785</v>
      </c>
      <c r="W44" s="4">
        <v>1785</v>
      </c>
    </row>
    <row r="45" spans="2:23" x14ac:dyDescent="0.2">
      <c r="B45" s="1">
        <v>36557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x14ac:dyDescent="0.2">
      <c r="B46" s="3" t="s">
        <v>4</v>
      </c>
      <c r="C46" s="3"/>
      <c r="D46" s="5">
        <f>SUM(D27:D45)</f>
        <v>3376</v>
      </c>
      <c r="E46" s="5">
        <f t="shared" ref="E46:W46" si="0">SUM(E27:E45)</f>
        <v>3376</v>
      </c>
      <c r="F46" s="5">
        <f t="shared" si="0"/>
        <v>1691</v>
      </c>
      <c r="G46" s="5">
        <f t="shared" si="0"/>
        <v>1691</v>
      </c>
      <c r="H46" s="5">
        <f t="shared" si="0"/>
        <v>1691</v>
      </c>
      <c r="I46" s="5">
        <f t="shared" si="0"/>
        <v>1691</v>
      </c>
      <c r="J46" s="5">
        <f t="shared" si="0"/>
        <v>2605</v>
      </c>
      <c r="K46" s="5">
        <f t="shared" si="0"/>
        <v>2605</v>
      </c>
      <c r="L46" s="5">
        <f t="shared" si="0"/>
        <v>2605</v>
      </c>
      <c r="M46" s="5">
        <f t="shared" si="0"/>
        <v>2605</v>
      </c>
      <c r="N46" s="5">
        <f t="shared" si="0"/>
        <v>2588</v>
      </c>
      <c r="O46" s="5">
        <f t="shared" si="0"/>
        <v>2588</v>
      </c>
      <c r="P46" s="5">
        <f t="shared" si="0"/>
        <v>2588</v>
      </c>
      <c r="Q46" s="5">
        <f t="shared" si="0"/>
        <v>2588</v>
      </c>
      <c r="R46" s="5">
        <f t="shared" si="0"/>
        <v>1800</v>
      </c>
      <c r="S46" s="5">
        <f t="shared" si="0"/>
        <v>1800</v>
      </c>
      <c r="T46" s="5">
        <f t="shared" si="0"/>
        <v>1800</v>
      </c>
      <c r="U46" s="5">
        <f t="shared" si="0"/>
        <v>1800</v>
      </c>
      <c r="V46" s="5">
        <f t="shared" si="0"/>
        <v>1785</v>
      </c>
      <c r="W46" s="5">
        <f t="shared" si="0"/>
        <v>1785</v>
      </c>
    </row>
    <row r="48" spans="2:23" x14ac:dyDescent="0.2">
      <c r="B48" t="s">
        <v>5</v>
      </c>
      <c r="F48" s="6">
        <f>SUM(D46:W46)</f>
        <v>45058</v>
      </c>
    </row>
    <row r="50" spans="1:23" x14ac:dyDescent="0.2">
      <c r="A50" t="s">
        <v>65</v>
      </c>
    </row>
    <row r="51" spans="1:23" x14ac:dyDescent="0.2">
      <c r="A51">
        <v>1</v>
      </c>
      <c r="B51" s="1">
        <v>36586</v>
      </c>
      <c r="D51" s="4">
        <f>1688*$D$24</f>
        <v>1688</v>
      </c>
      <c r="E51" s="4">
        <f>0*$E$24</f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 x14ac:dyDescent="0.2">
      <c r="A52">
        <v>2</v>
      </c>
      <c r="B52" s="1">
        <v>36617</v>
      </c>
      <c r="D52" s="4">
        <f>1857*$D$24</f>
        <v>1857</v>
      </c>
      <c r="E52" s="4">
        <f>1383*$E$24</f>
        <v>1383</v>
      </c>
      <c r="F52" s="4">
        <v>0</v>
      </c>
      <c r="G52" s="4">
        <v>0</v>
      </c>
      <c r="H52" s="4">
        <v>0</v>
      </c>
      <c r="I52" s="4">
        <v>0</v>
      </c>
      <c r="J52" s="4">
        <f>868*J$24</f>
        <v>868</v>
      </c>
      <c r="K52" s="4">
        <f>868*K$24</f>
        <v>868</v>
      </c>
      <c r="L52" s="4">
        <f>868*L$24</f>
        <v>868</v>
      </c>
      <c r="M52" s="4">
        <f>868*M$24</f>
        <v>868</v>
      </c>
      <c r="N52" s="4">
        <f>863*N$24</f>
        <v>863</v>
      </c>
      <c r="O52" s="4">
        <f>863*O$24</f>
        <v>863</v>
      </c>
      <c r="P52" s="4">
        <f>863*P$24</f>
        <v>863</v>
      </c>
      <c r="Q52" s="4">
        <f>863*Q$24</f>
        <v>863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 x14ac:dyDescent="0.2">
      <c r="A53">
        <v>3</v>
      </c>
      <c r="B53" s="1">
        <v>36647</v>
      </c>
      <c r="D53" s="4">
        <f t="shared" ref="D53:D62" si="1">1857*$D$24</f>
        <v>1857</v>
      </c>
      <c r="E53" s="4">
        <f>1745*$E$24</f>
        <v>1745</v>
      </c>
      <c r="F53" s="4">
        <f>1691*F$24</f>
        <v>1691</v>
      </c>
      <c r="G53" s="4">
        <f>1691*G$24</f>
        <v>1691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f>900*R$24</f>
        <v>900</v>
      </c>
      <c r="S53" s="4">
        <f>900*S$24</f>
        <v>900</v>
      </c>
      <c r="T53" s="4">
        <f>900*T$24</f>
        <v>900</v>
      </c>
      <c r="U53" s="4">
        <f>900*U$24</f>
        <v>900</v>
      </c>
      <c r="V53" s="4">
        <f>893*V$24</f>
        <v>893</v>
      </c>
      <c r="W53" s="4">
        <f>893*W$24</f>
        <v>893</v>
      </c>
    </row>
    <row r="54" spans="1:23" x14ac:dyDescent="0.2">
      <c r="A54">
        <v>4</v>
      </c>
      <c r="B54" s="1">
        <v>36678</v>
      </c>
      <c r="D54" s="4">
        <f t="shared" si="1"/>
        <v>1857</v>
      </c>
      <c r="E54" s="4">
        <f t="shared" ref="E54:E62" si="2">1745*$E$24</f>
        <v>1745</v>
      </c>
      <c r="F54" s="4">
        <v>0</v>
      </c>
      <c r="G54" s="4">
        <v>0</v>
      </c>
      <c r="H54" s="4">
        <f>1691*H$24</f>
        <v>1691</v>
      </c>
      <c r="I54" s="4">
        <f>1691*I$24</f>
        <v>1691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 x14ac:dyDescent="0.2">
      <c r="A55">
        <v>5</v>
      </c>
      <c r="B55" s="1">
        <v>36708</v>
      </c>
      <c r="D55" s="4">
        <f t="shared" si="1"/>
        <v>1857</v>
      </c>
      <c r="E55" s="4">
        <f t="shared" si="2"/>
        <v>1745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</row>
    <row r="56" spans="1:23" x14ac:dyDescent="0.2">
      <c r="A56">
        <v>6</v>
      </c>
      <c r="B56" s="1">
        <v>36739</v>
      </c>
      <c r="D56" s="4">
        <f t="shared" si="1"/>
        <v>1857</v>
      </c>
      <c r="E56" s="4">
        <f t="shared" si="2"/>
        <v>1745</v>
      </c>
      <c r="F56" s="4">
        <f>1691*F$24</f>
        <v>1691</v>
      </c>
      <c r="G56" s="4">
        <f>1691*G$24</f>
        <v>1691</v>
      </c>
      <c r="H56" s="4">
        <v>0</v>
      </c>
      <c r="I56" s="4">
        <v>0</v>
      </c>
      <c r="J56" s="4">
        <f>1216*J$24</f>
        <v>1216</v>
      </c>
      <c r="K56" s="4">
        <f t="shared" ref="K56:M71" si="3">1216*K$24</f>
        <v>1216</v>
      </c>
      <c r="L56" s="4">
        <f t="shared" si="3"/>
        <v>1216</v>
      </c>
      <c r="M56" s="4">
        <f t="shared" si="3"/>
        <v>1216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</row>
    <row r="57" spans="1:23" x14ac:dyDescent="0.2">
      <c r="A57">
        <v>7</v>
      </c>
      <c r="B57" s="1">
        <v>36770</v>
      </c>
      <c r="D57" s="4">
        <f t="shared" si="1"/>
        <v>1857</v>
      </c>
      <c r="E57" s="4">
        <f t="shared" si="2"/>
        <v>1745</v>
      </c>
      <c r="F57" s="4">
        <f>1860*F$24</f>
        <v>1860</v>
      </c>
      <c r="G57" s="4">
        <f>1860*G$24</f>
        <v>1860</v>
      </c>
      <c r="H57" s="4">
        <v>0</v>
      </c>
      <c r="I57" s="4">
        <v>0</v>
      </c>
      <c r="J57" s="4">
        <f t="shared" ref="J57:J71" si="4">1216*J$24</f>
        <v>1216</v>
      </c>
      <c r="K57" s="4">
        <f t="shared" si="3"/>
        <v>1216</v>
      </c>
      <c r="L57" s="4">
        <f t="shared" si="3"/>
        <v>1216</v>
      </c>
      <c r="M57" s="4">
        <f t="shared" si="3"/>
        <v>1216</v>
      </c>
      <c r="N57" s="4">
        <v>0</v>
      </c>
      <c r="O57" s="4">
        <v>0</v>
      </c>
      <c r="P57" s="4">
        <v>0</v>
      </c>
      <c r="Q57" s="4">
        <v>0</v>
      </c>
      <c r="R57" s="4">
        <f>900*R$24</f>
        <v>900</v>
      </c>
      <c r="S57" s="4">
        <f>900*S$24</f>
        <v>900</v>
      </c>
      <c r="T57" s="4">
        <f>900*T$24</f>
        <v>900</v>
      </c>
      <c r="U57" s="4">
        <f>900*U$24</f>
        <v>900</v>
      </c>
      <c r="V57" s="4">
        <f>893*V$24</f>
        <v>893</v>
      </c>
      <c r="W57" s="4">
        <f>893*W$24</f>
        <v>893</v>
      </c>
    </row>
    <row r="58" spans="1:23" x14ac:dyDescent="0.2">
      <c r="A58">
        <v>8</v>
      </c>
      <c r="B58" s="1">
        <v>36800</v>
      </c>
      <c r="D58" s="4">
        <f t="shared" si="1"/>
        <v>1857</v>
      </c>
      <c r="E58" s="4">
        <f t="shared" si="2"/>
        <v>1745</v>
      </c>
      <c r="F58" s="4">
        <f t="shared" ref="F58:I68" si="5">1860*F$24</f>
        <v>1860</v>
      </c>
      <c r="G58" s="4">
        <f t="shared" si="5"/>
        <v>1860</v>
      </c>
      <c r="H58" s="4">
        <f>1691*H$24</f>
        <v>1691</v>
      </c>
      <c r="I58" s="4">
        <f>1691*I$24</f>
        <v>1691</v>
      </c>
      <c r="J58" s="4">
        <f t="shared" si="4"/>
        <v>1216</v>
      </c>
      <c r="K58" s="4">
        <f t="shared" si="3"/>
        <v>1216</v>
      </c>
      <c r="L58" s="4">
        <f t="shared" si="3"/>
        <v>1216</v>
      </c>
      <c r="M58" s="4">
        <f t="shared" si="3"/>
        <v>1216</v>
      </c>
      <c r="N58" s="4">
        <f>1208*N$24</f>
        <v>1208</v>
      </c>
      <c r="O58" s="4">
        <f>1208*O$24</f>
        <v>1208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</row>
    <row r="59" spans="1:23" x14ac:dyDescent="0.2">
      <c r="A59">
        <v>9</v>
      </c>
      <c r="B59" s="1">
        <v>36831</v>
      </c>
      <c r="D59" s="4">
        <f t="shared" si="1"/>
        <v>1857</v>
      </c>
      <c r="E59" s="4">
        <f t="shared" si="2"/>
        <v>1745</v>
      </c>
      <c r="F59" s="4">
        <f t="shared" si="5"/>
        <v>1860</v>
      </c>
      <c r="G59" s="4">
        <f t="shared" si="5"/>
        <v>1860</v>
      </c>
      <c r="H59" s="4">
        <f t="shared" si="5"/>
        <v>1860</v>
      </c>
      <c r="I59" s="4">
        <f t="shared" si="5"/>
        <v>1860</v>
      </c>
      <c r="J59" s="4">
        <f t="shared" si="4"/>
        <v>1216</v>
      </c>
      <c r="K59" s="4">
        <f t="shared" si="3"/>
        <v>1216</v>
      </c>
      <c r="L59" s="4">
        <f t="shared" si="3"/>
        <v>1216</v>
      </c>
      <c r="M59" s="4">
        <f t="shared" si="3"/>
        <v>1216</v>
      </c>
      <c r="N59" s="4">
        <f t="shared" ref="N59:Q74" si="6">1208*N$24</f>
        <v>1208</v>
      </c>
      <c r="O59" s="4">
        <f t="shared" si="6"/>
        <v>1208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 x14ac:dyDescent="0.2">
      <c r="A60">
        <v>10</v>
      </c>
      <c r="B60" s="1">
        <v>36861</v>
      </c>
      <c r="D60" s="4">
        <f t="shared" si="1"/>
        <v>1857</v>
      </c>
      <c r="E60" s="4">
        <f t="shared" si="2"/>
        <v>1745</v>
      </c>
      <c r="F60" s="4">
        <f t="shared" si="5"/>
        <v>1860</v>
      </c>
      <c r="G60" s="4">
        <f t="shared" si="5"/>
        <v>1860</v>
      </c>
      <c r="H60" s="4">
        <f t="shared" si="5"/>
        <v>1860</v>
      </c>
      <c r="I60" s="4">
        <f t="shared" si="5"/>
        <v>1860</v>
      </c>
      <c r="J60" s="4">
        <f t="shared" si="4"/>
        <v>1216</v>
      </c>
      <c r="K60" s="4">
        <f t="shared" si="3"/>
        <v>1216</v>
      </c>
      <c r="L60" s="4">
        <f t="shared" si="3"/>
        <v>1216</v>
      </c>
      <c r="M60" s="4">
        <f t="shared" si="3"/>
        <v>1216</v>
      </c>
      <c r="N60" s="4">
        <f t="shared" si="6"/>
        <v>1208</v>
      </c>
      <c r="O60" s="4">
        <f t="shared" si="6"/>
        <v>1208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 x14ac:dyDescent="0.2">
      <c r="A61">
        <v>11</v>
      </c>
      <c r="B61" s="1">
        <v>36892</v>
      </c>
      <c r="D61" s="4">
        <f t="shared" si="1"/>
        <v>1857</v>
      </c>
      <c r="E61" s="4">
        <f t="shared" si="2"/>
        <v>1745</v>
      </c>
      <c r="F61" s="4">
        <f t="shared" si="5"/>
        <v>1860</v>
      </c>
      <c r="G61" s="4">
        <f t="shared" si="5"/>
        <v>1860</v>
      </c>
      <c r="H61" s="4">
        <f t="shared" si="5"/>
        <v>1860</v>
      </c>
      <c r="I61" s="4">
        <f t="shared" si="5"/>
        <v>1860</v>
      </c>
      <c r="J61" s="4">
        <f t="shared" si="4"/>
        <v>1216</v>
      </c>
      <c r="K61" s="4">
        <f t="shared" si="3"/>
        <v>1216</v>
      </c>
      <c r="L61" s="4">
        <f t="shared" si="3"/>
        <v>1216</v>
      </c>
      <c r="M61" s="4">
        <f t="shared" si="3"/>
        <v>1216</v>
      </c>
      <c r="N61" s="4">
        <f t="shared" si="6"/>
        <v>1208</v>
      </c>
      <c r="O61" s="4">
        <f t="shared" si="6"/>
        <v>1208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">
      <c r="A62">
        <v>12</v>
      </c>
      <c r="B62" s="1">
        <v>36923</v>
      </c>
      <c r="D62" s="4">
        <f t="shared" si="1"/>
        <v>1857</v>
      </c>
      <c r="E62" s="4">
        <f t="shared" si="2"/>
        <v>1745</v>
      </c>
      <c r="F62" s="4">
        <f t="shared" si="5"/>
        <v>1860</v>
      </c>
      <c r="G62" s="4">
        <f t="shared" si="5"/>
        <v>1860</v>
      </c>
      <c r="H62" s="4">
        <f t="shared" si="5"/>
        <v>1860</v>
      </c>
      <c r="I62" s="4">
        <f t="shared" si="5"/>
        <v>1860</v>
      </c>
      <c r="J62" s="4">
        <f t="shared" si="4"/>
        <v>1216</v>
      </c>
      <c r="K62" s="4">
        <f t="shared" si="3"/>
        <v>1216</v>
      </c>
      <c r="L62" s="4">
        <f t="shared" si="3"/>
        <v>1216</v>
      </c>
      <c r="M62" s="4">
        <f t="shared" si="3"/>
        <v>1216</v>
      </c>
      <c r="N62" s="4">
        <f t="shared" si="6"/>
        <v>1208</v>
      </c>
      <c r="O62" s="4">
        <f t="shared" si="6"/>
        <v>1208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</row>
    <row r="63" spans="1:23" x14ac:dyDescent="0.2">
      <c r="A63">
        <v>13</v>
      </c>
      <c r="B63" s="1">
        <v>36951</v>
      </c>
      <c r="D63" s="4">
        <f>8440*$D$24</f>
        <v>8440</v>
      </c>
      <c r="E63" s="4">
        <f>7932*$E$24</f>
        <v>7932</v>
      </c>
      <c r="F63" s="4">
        <f t="shared" si="5"/>
        <v>1860</v>
      </c>
      <c r="G63" s="4">
        <f t="shared" si="5"/>
        <v>1860</v>
      </c>
      <c r="H63" s="4">
        <f t="shared" si="5"/>
        <v>1860</v>
      </c>
      <c r="I63" s="4">
        <f t="shared" si="5"/>
        <v>1860</v>
      </c>
      <c r="J63" s="4">
        <f t="shared" si="4"/>
        <v>1216</v>
      </c>
      <c r="K63" s="4">
        <f t="shared" si="3"/>
        <v>1216</v>
      </c>
      <c r="L63" s="4">
        <f t="shared" si="3"/>
        <v>1216</v>
      </c>
      <c r="M63" s="4">
        <f t="shared" si="3"/>
        <v>1216</v>
      </c>
      <c r="N63" s="4">
        <f t="shared" si="6"/>
        <v>1208</v>
      </c>
      <c r="O63" s="4">
        <f t="shared" si="6"/>
        <v>1208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</row>
    <row r="64" spans="1:23" x14ac:dyDescent="0.2">
      <c r="A64">
        <v>14</v>
      </c>
      <c r="B64" s="1">
        <v>36982</v>
      </c>
      <c r="D64" s="8">
        <f>1688*$D$24</f>
        <v>1688</v>
      </c>
      <c r="E64" s="8">
        <f>1586*$E$24</f>
        <v>1586</v>
      </c>
      <c r="F64" s="4">
        <f t="shared" si="5"/>
        <v>1860</v>
      </c>
      <c r="G64" s="4">
        <f t="shared" si="5"/>
        <v>1860</v>
      </c>
      <c r="H64" s="4">
        <f t="shared" si="5"/>
        <v>1860</v>
      </c>
      <c r="I64" s="4">
        <f t="shared" si="5"/>
        <v>1860</v>
      </c>
      <c r="J64" s="4">
        <f t="shared" si="4"/>
        <v>1216</v>
      </c>
      <c r="K64" s="4">
        <f t="shared" si="3"/>
        <v>1216</v>
      </c>
      <c r="L64" s="4">
        <f t="shared" si="3"/>
        <v>1216</v>
      </c>
      <c r="M64" s="4">
        <f t="shared" si="3"/>
        <v>1216</v>
      </c>
      <c r="N64" s="4">
        <f t="shared" si="6"/>
        <v>1208</v>
      </c>
      <c r="O64" s="4">
        <f t="shared" si="6"/>
        <v>1208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</row>
    <row r="65" spans="1:23" x14ac:dyDescent="0.2">
      <c r="A65">
        <v>15</v>
      </c>
      <c r="B65" s="1">
        <v>37012</v>
      </c>
      <c r="D65" s="4">
        <v>0</v>
      </c>
      <c r="E65" s="4">
        <v>0</v>
      </c>
      <c r="F65" s="4">
        <f t="shared" si="5"/>
        <v>1860</v>
      </c>
      <c r="G65" s="4">
        <f t="shared" si="5"/>
        <v>1860</v>
      </c>
      <c r="H65" s="4">
        <f t="shared" si="5"/>
        <v>1860</v>
      </c>
      <c r="I65" s="4">
        <f t="shared" si="5"/>
        <v>1860</v>
      </c>
      <c r="J65" s="4">
        <f t="shared" si="4"/>
        <v>1216</v>
      </c>
      <c r="K65" s="4">
        <f t="shared" si="3"/>
        <v>1216</v>
      </c>
      <c r="L65" s="4">
        <f t="shared" si="3"/>
        <v>1216</v>
      </c>
      <c r="M65" s="4">
        <f t="shared" si="3"/>
        <v>1216</v>
      </c>
      <c r="N65" s="4">
        <f t="shared" si="6"/>
        <v>1208</v>
      </c>
      <c r="O65" s="4">
        <f t="shared" si="6"/>
        <v>1208</v>
      </c>
      <c r="P65" s="4">
        <f t="shared" si="6"/>
        <v>1208</v>
      </c>
      <c r="Q65" s="4">
        <f t="shared" si="6"/>
        <v>1208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 x14ac:dyDescent="0.2">
      <c r="A66">
        <v>16</v>
      </c>
      <c r="B66" s="1">
        <v>37043</v>
      </c>
      <c r="D66" s="4">
        <v>0</v>
      </c>
      <c r="E66" s="4">
        <v>0</v>
      </c>
      <c r="F66" s="4">
        <f t="shared" si="5"/>
        <v>1860</v>
      </c>
      <c r="G66" s="4">
        <f t="shared" si="5"/>
        <v>1860</v>
      </c>
      <c r="H66" s="4">
        <f t="shared" si="5"/>
        <v>1860</v>
      </c>
      <c r="I66" s="4">
        <f t="shared" si="5"/>
        <v>1860</v>
      </c>
      <c r="J66" s="4">
        <f t="shared" si="4"/>
        <v>1216</v>
      </c>
      <c r="K66" s="4">
        <f t="shared" si="3"/>
        <v>1216</v>
      </c>
      <c r="L66" s="4">
        <f t="shared" si="3"/>
        <v>1216</v>
      </c>
      <c r="M66" s="4">
        <f t="shared" si="3"/>
        <v>1216</v>
      </c>
      <c r="N66" s="4">
        <f t="shared" si="6"/>
        <v>1208</v>
      </c>
      <c r="O66" s="4">
        <f t="shared" si="6"/>
        <v>1208</v>
      </c>
      <c r="P66" s="4">
        <f t="shared" si="6"/>
        <v>1208</v>
      </c>
      <c r="Q66" s="4">
        <f t="shared" si="6"/>
        <v>1208</v>
      </c>
      <c r="R66" s="4">
        <v>0</v>
      </c>
      <c r="S66" s="4">
        <v>0</v>
      </c>
      <c r="T66" s="4">
        <f>630*T$24</f>
        <v>630</v>
      </c>
      <c r="U66" s="4">
        <f>630*U$24</f>
        <v>630</v>
      </c>
      <c r="V66" s="4">
        <v>0</v>
      </c>
      <c r="W66" s="4">
        <v>0</v>
      </c>
    </row>
    <row r="67" spans="1:23" x14ac:dyDescent="0.2">
      <c r="A67">
        <v>17</v>
      </c>
      <c r="B67" s="1">
        <v>37073</v>
      </c>
      <c r="D67" s="4">
        <v>0</v>
      </c>
      <c r="E67" s="4">
        <v>0</v>
      </c>
      <c r="F67" s="4">
        <f>8454*F$24</f>
        <v>8454</v>
      </c>
      <c r="G67" s="4">
        <f>8454*G$24</f>
        <v>8454</v>
      </c>
      <c r="H67" s="4">
        <f t="shared" si="5"/>
        <v>1860</v>
      </c>
      <c r="I67" s="4">
        <f t="shared" si="5"/>
        <v>1860</v>
      </c>
      <c r="J67" s="4">
        <f t="shared" si="4"/>
        <v>1216</v>
      </c>
      <c r="K67" s="4">
        <f t="shared" si="3"/>
        <v>1216</v>
      </c>
      <c r="L67" s="4">
        <f t="shared" si="3"/>
        <v>1216</v>
      </c>
      <c r="M67" s="4">
        <f t="shared" si="3"/>
        <v>1216</v>
      </c>
      <c r="N67" s="4">
        <f t="shared" si="6"/>
        <v>1208</v>
      </c>
      <c r="O67" s="4">
        <f t="shared" si="6"/>
        <v>1208</v>
      </c>
      <c r="P67" s="4">
        <f t="shared" si="6"/>
        <v>1208</v>
      </c>
      <c r="Q67" s="4">
        <f t="shared" si="6"/>
        <v>1208</v>
      </c>
      <c r="R67" s="4">
        <f>1260*R$24</f>
        <v>1260</v>
      </c>
      <c r="S67" s="4">
        <f t="shared" ref="S67:U82" si="7">1260*S$24</f>
        <v>1260</v>
      </c>
      <c r="T67" s="4">
        <f t="shared" si="7"/>
        <v>1260</v>
      </c>
      <c r="U67" s="4">
        <f t="shared" si="7"/>
        <v>1260</v>
      </c>
      <c r="V67" s="4">
        <v>0</v>
      </c>
      <c r="W67" s="4">
        <v>0</v>
      </c>
    </row>
    <row r="68" spans="1:23" x14ac:dyDescent="0.2">
      <c r="A68">
        <v>18</v>
      </c>
      <c r="B68" s="1">
        <v>37104</v>
      </c>
      <c r="D68" s="4">
        <v>0</v>
      </c>
      <c r="E68" s="4">
        <v>0</v>
      </c>
      <c r="F68" s="8">
        <f>1691*F$24</f>
        <v>1691</v>
      </c>
      <c r="G68" s="8">
        <f>1691*G$24</f>
        <v>1691</v>
      </c>
      <c r="H68" s="4">
        <f t="shared" si="5"/>
        <v>1860</v>
      </c>
      <c r="I68" s="4">
        <f t="shared" si="5"/>
        <v>1860</v>
      </c>
      <c r="J68" s="4">
        <f t="shared" si="4"/>
        <v>1216</v>
      </c>
      <c r="K68" s="4">
        <f t="shared" si="3"/>
        <v>1216</v>
      </c>
      <c r="L68" s="4">
        <f t="shared" si="3"/>
        <v>1216</v>
      </c>
      <c r="M68" s="4">
        <f t="shared" si="3"/>
        <v>1216</v>
      </c>
      <c r="N68" s="4">
        <f t="shared" si="6"/>
        <v>1208</v>
      </c>
      <c r="O68" s="4">
        <f t="shared" si="6"/>
        <v>1208</v>
      </c>
      <c r="P68" s="4">
        <f t="shared" si="6"/>
        <v>1208</v>
      </c>
      <c r="Q68" s="4">
        <f t="shared" si="6"/>
        <v>1208</v>
      </c>
      <c r="R68" s="4">
        <f t="shared" ref="R68:R82" si="8">1260*R$24</f>
        <v>1260</v>
      </c>
      <c r="S68" s="4">
        <f t="shared" si="7"/>
        <v>1260</v>
      </c>
      <c r="T68" s="4">
        <f t="shared" si="7"/>
        <v>1260</v>
      </c>
      <c r="U68" s="4">
        <f t="shared" si="7"/>
        <v>1260</v>
      </c>
      <c r="V68" s="4">
        <v>0</v>
      </c>
      <c r="W68" s="4">
        <v>0</v>
      </c>
    </row>
    <row r="69" spans="1:23" x14ac:dyDescent="0.2">
      <c r="A69">
        <v>19</v>
      </c>
      <c r="B69" s="1">
        <v>37135</v>
      </c>
      <c r="D69" s="4">
        <v>0</v>
      </c>
      <c r="E69" s="4">
        <v>0</v>
      </c>
      <c r="F69" s="4">
        <v>0</v>
      </c>
      <c r="G69" s="4">
        <v>0</v>
      </c>
      <c r="H69" s="4">
        <f>8454*H$24</f>
        <v>8454</v>
      </c>
      <c r="I69" s="4">
        <f>8454*I$24</f>
        <v>8454</v>
      </c>
      <c r="J69" s="4">
        <f t="shared" si="4"/>
        <v>1216</v>
      </c>
      <c r="K69" s="4">
        <f t="shared" si="3"/>
        <v>1216</v>
      </c>
      <c r="L69" s="4">
        <f t="shared" si="3"/>
        <v>1216</v>
      </c>
      <c r="M69" s="4">
        <f t="shared" si="3"/>
        <v>1216</v>
      </c>
      <c r="N69" s="4">
        <f t="shared" si="6"/>
        <v>1208</v>
      </c>
      <c r="O69" s="4">
        <f t="shared" si="6"/>
        <v>1208</v>
      </c>
      <c r="P69" s="4">
        <f t="shared" si="6"/>
        <v>1208</v>
      </c>
      <c r="Q69" s="4">
        <f t="shared" si="6"/>
        <v>1208</v>
      </c>
      <c r="R69" s="4">
        <f t="shared" si="8"/>
        <v>1260</v>
      </c>
      <c r="S69" s="4">
        <f t="shared" si="7"/>
        <v>1260</v>
      </c>
      <c r="T69" s="4">
        <f t="shared" si="7"/>
        <v>1260</v>
      </c>
      <c r="U69" s="4">
        <f t="shared" si="7"/>
        <v>1260</v>
      </c>
      <c r="V69" s="4">
        <v>0</v>
      </c>
      <c r="W69" s="4">
        <v>0</v>
      </c>
    </row>
    <row r="70" spans="1:23" x14ac:dyDescent="0.2">
      <c r="A70">
        <v>20</v>
      </c>
      <c r="B70" s="1">
        <v>37165</v>
      </c>
      <c r="D70" s="4">
        <v>0</v>
      </c>
      <c r="E70" s="4">
        <v>0</v>
      </c>
      <c r="F70" s="4">
        <v>0</v>
      </c>
      <c r="G70" s="4">
        <v>0</v>
      </c>
      <c r="H70" s="8">
        <f>1691*H$24</f>
        <v>1691</v>
      </c>
      <c r="I70" s="8">
        <f>1691*I$24</f>
        <v>1691</v>
      </c>
      <c r="J70" s="4">
        <f t="shared" si="4"/>
        <v>1216</v>
      </c>
      <c r="K70" s="4">
        <f t="shared" si="3"/>
        <v>1216</v>
      </c>
      <c r="L70" s="4">
        <f t="shared" si="3"/>
        <v>1216</v>
      </c>
      <c r="M70" s="4">
        <f t="shared" si="3"/>
        <v>1216</v>
      </c>
      <c r="N70" s="4">
        <f t="shared" si="6"/>
        <v>1208</v>
      </c>
      <c r="O70" s="4">
        <f t="shared" si="6"/>
        <v>1208</v>
      </c>
      <c r="P70" s="4">
        <f t="shared" si="6"/>
        <v>1208</v>
      </c>
      <c r="Q70" s="4">
        <f t="shared" si="6"/>
        <v>1208</v>
      </c>
      <c r="R70" s="4">
        <f t="shared" si="8"/>
        <v>1260</v>
      </c>
      <c r="S70" s="4">
        <f t="shared" si="7"/>
        <v>1260</v>
      </c>
      <c r="T70" s="4">
        <f t="shared" si="7"/>
        <v>1260</v>
      </c>
      <c r="U70" s="4">
        <f t="shared" si="7"/>
        <v>1260</v>
      </c>
      <c r="V70" s="4">
        <f>1250*V$24</f>
        <v>1250</v>
      </c>
      <c r="W70" s="4">
        <f>1250*W$24</f>
        <v>1250</v>
      </c>
    </row>
    <row r="71" spans="1:23" x14ac:dyDescent="0.2">
      <c r="A71">
        <v>21</v>
      </c>
      <c r="B71" s="1">
        <v>37196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f t="shared" si="4"/>
        <v>1216</v>
      </c>
      <c r="K71" s="4">
        <f t="shared" si="3"/>
        <v>1216</v>
      </c>
      <c r="L71" s="4">
        <f t="shared" si="3"/>
        <v>1216</v>
      </c>
      <c r="M71" s="4">
        <f t="shared" si="3"/>
        <v>1216</v>
      </c>
      <c r="N71" s="4">
        <f t="shared" si="6"/>
        <v>1208</v>
      </c>
      <c r="O71" s="4">
        <f t="shared" si="6"/>
        <v>1208</v>
      </c>
      <c r="P71" s="4">
        <f t="shared" si="6"/>
        <v>1208</v>
      </c>
      <c r="Q71" s="4">
        <f t="shared" si="6"/>
        <v>1208</v>
      </c>
      <c r="R71" s="4">
        <f t="shared" si="8"/>
        <v>1260</v>
      </c>
      <c r="S71" s="4">
        <f t="shared" si="7"/>
        <v>1260</v>
      </c>
      <c r="T71" s="4">
        <f t="shared" si="7"/>
        <v>1260</v>
      </c>
      <c r="U71" s="4">
        <f t="shared" si="7"/>
        <v>1260</v>
      </c>
      <c r="V71" s="4">
        <f t="shared" ref="V71:W85" si="9">1250*V$24</f>
        <v>1250</v>
      </c>
      <c r="W71" s="4">
        <f t="shared" si="9"/>
        <v>1250</v>
      </c>
    </row>
    <row r="72" spans="1:23" x14ac:dyDescent="0.2">
      <c r="A72">
        <v>22</v>
      </c>
      <c r="B72" s="1">
        <v>37226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f>1390*J$24</f>
        <v>1390</v>
      </c>
      <c r="K72" s="4">
        <f>1390*K$24</f>
        <v>1390</v>
      </c>
      <c r="L72" s="4">
        <f>1390*L$24</f>
        <v>1390</v>
      </c>
      <c r="M72" s="4">
        <f>1390*M$24</f>
        <v>1390</v>
      </c>
      <c r="N72" s="4">
        <f t="shared" si="6"/>
        <v>1208</v>
      </c>
      <c r="O72" s="4">
        <f t="shared" si="6"/>
        <v>1208</v>
      </c>
      <c r="P72" s="4">
        <f t="shared" si="6"/>
        <v>1208</v>
      </c>
      <c r="Q72" s="4">
        <f t="shared" si="6"/>
        <v>1208</v>
      </c>
      <c r="R72" s="4">
        <f t="shared" si="8"/>
        <v>1260</v>
      </c>
      <c r="S72" s="4">
        <f t="shared" si="7"/>
        <v>1260</v>
      </c>
      <c r="T72" s="4">
        <f t="shared" si="7"/>
        <v>1260</v>
      </c>
      <c r="U72" s="4">
        <f t="shared" si="7"/>
        <v>1260</v>
      </c>
      <c r="V72" s="4">
        <f t="shared" si="9"/>
        <v>1250</v>
      </c>
      <c r="W72" s="4">
        <f t="shared" si="9"/>
        <v>1250</v>
      </c>
    </row>
    <row r="73" spans="1:23" x14ac:dyDescent="0.2">
      <c r="A73">
        <v>23</v>
      </c>
      <c r="B73" s="1">
        <v>37257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f>8685*J$24</f>
        <v>8685</v>
      </c>
      <c r="K73" s="4">
        <f>8685*K$24</f>
        <v>8685</v>
      </c>
      <c r="L73" s="4">
        <f>8685*L$24</f>
        <v>8685</v>
      </c>
      <c r="M73" s="4">
        <f>8685*M$24</f>
        <v>8685</v>
      </c>
      <c r="N73" s="4">
        <f t="shared" si="6"/>
        <v>1208</v>
      </c>
      <c r="O73" s="4">
        <f t="shared" si="6"/>
        <v>1208</v>
      </c>
      <c r="P73" s="4">
        <f t="shared" si="6"/>
        <v>1208</v>
      </c>
      <c r="Q73" s="4">
        <f t="shared" si="6"/>
        <v>1208</v>
      </c>
      <c r="R73" s="4">
        <f t="shared" si="8"/>
        <v>1260</v>
      </c>
      <c r="S73" s="4">
        <f t="shared" si="7"/>
        <v>1260</v>
      </c>
      <c r="T73" s="4">
        <f t="shared" si="7"/>
        <v>1260</v>
      </c>
      <c r="U73" s="4">
        <f t="shared" si="7"/>
        <v>1260</v>
      </c>
      <c r="V73" s="4">
        <f t="shared" si="9"/>
        <v>1250</v>
      </c>
      <c r="W73" s="4">
        <f t="shared" si="9"/>
        <v>1250</v>
      </c>
    </row>
    <row r="74" spans="1:23" x14ac:dyDescent="0.2">
      <c r="A74">
        <v>24</v>
      </c>
      <c r="B74" s="1">
        <v>37288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8">
        <f>1737*J$24</f>
        <v>1737</v>
      </c>
      <c r="K74" s="8">
        <f>1737*K$24</f>
        <v>1737</v>
      </c>
      <c r="L74" s="8">
        <f>1737*L$24</f>
        <v>1737</v>
      </c>
      <c r="M74" s="8">
        <f>1737*M$24</f>
        <v>1737</v>
      </c>
      <c r="N74" s="4">
        <f>1380*N$24</f>
        <v>1380</v>
      </c>
      <c r="O74" s="4">
        <f>1380*O$24</f>
        <v>1380</v>
      </c>
      <c r="P74" s="4">
        <f t="shared" si="6"/>
        <v>1208</v>
      </c>
      <c r="Q74" s="4">
        <f t="shared" si="6"/>
        <v>1208</v>
      </c>
      <c r="R74" s="4">
        <f t="shared" si="8"/>
        <v>1260</v>
      </c>
      <c r="S74" s="4">
        <f t="shared" si="7"/>
        <v>1260</v>
      </c>
      <c r="T74" s="4">
        <f t="shared" si="7"/>
        <v>1260</v>
      </c>
      <c r="U74" s="4">
        <f t="shared" si="7"/>
        <v>1260</v>
      </c>
      <c r="V74" s="4">
        <f t="shared" si="9"/>
        <v>1250</v>
      </c>
      <c r="W74" s="4">
        <f t="shared" si="9"/>
        <v>1250</v>
      </c>
    </row>
    <row r="75" spans="1:23" x14ac:dyDescent="0.2">
      <c r="A75">
        <v>25</v>
      </c>
      <c r="B75" s="1">
        <v>37316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f>8625*N$24</f>
        <v>8625</v>
      </c>
      <c r="O75" s="4">
        <f>8625*O$24</f>
        <v>8625</v>
      </c>
      <c r="P75" s="4">
        <f t="shared" ref="P75:Q80" si="10">1208*P$24</f>
        <v>1208</v>
      </c>
      <c r="Q75" s="4">
        <f t="shared" si="10"/>
        <v>1208</v>
      </c>
      <c r="R75" s="4">
        <f t="shared" si="8"/>
        <v>1260</v>
      </c>
      <c r="S75" s="4">
        <f t="shared" si="7"/>
        <v>1260</v>
      </c>
      <c r="T75" s="4">
        <f t="shared" si="7"/>
        <v>1260</v>
      </c>
      <c r="U75" s="4">
        <f t="shared" si="7"/>
        <v>1260</v>
      </c>
      <c r="V75" s="4">
        <f t="shared" si="9"/>
        <v>1250</v>
      </c>
      <c r="W75" s="4">
        <f t="shared" si="9"/>
        <v>1250</v>
      </c>
    </row>
    <row r="76" spans="1:23" x14ac:dyDescent="0.2">
      <c r="A76">
        <v>26</v>
      </c>
      <c r="B76" s="1">
        <v>37347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8">
        <f>1725*N$24</f>
        <v>1725</v>
      </c>
      <c r="O76" s="8">
        <f>1725*O$24</f>
        <v>1725</v>
      </c>
      <c r="P76" s="4">
        <f t="shared" si="10"/>
        <v>1208</v>
      </c>
      <c r="Q76" s="4">
        <f t="shared" si="10"/>
        <v>1208</v>
      </c>
      <c r="R76" s="4">
        <f t="shared" si="8"/>
        <v>1260</v>
      </c>
      <c r="S76" s="4">
        <f t="shared" si="7"/>
        <v>1260</v>
      </c>
      <c r="T76" s="4">
        <f t="shared" si="7"/>
        <v>1260</v>
      </c>
      <c r="U76" s="4">
        <f t="shared" si="7"/>
        <v>1260</v>
      </c>
      <c r="V76" s="4">
        <f t="shared" si="9"/>
        <v>1250</v>
      </c>
      <c r="W76" s="4">
        <f t="shared" si="9"/>
        <v>1250</v>
      </c>
    </row>
    <row r="77" spans="1:23" x14ac:dyDescent="0.2">
      <c r="A77">
        <v>27</v>
      </c>
      <c r="B77" s="1">
        <v>37377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f t="shared" si="10"/>
        <v>1208</v>
      </c>
      <c r="Q77" s="4">
        <f t="shared" si="10"/>
        <v>1208</v>
      </c>
      <c r="R77" s="4">
        <f t="shared" si="8"/>
        <v>1260</v>
      </c>
      <c r="S77" s="4">
        <f t="shared" si="7"/>
        <v>1260</v>
      </c>
      <c r="T77" s="4">
        <f t="shared" si="7"/>
        <v>1260</v>
      </c>
      <c r="U77" s="4">
        <f t="shared" si="7"/>
        <v>1260</v>
      </c>
      <c r="V77" s="4">
        <f t="shared" si="9"/>
        <v>1250</v>
      </c>
      <c r="W77" s="4">
        <f t="shared" si="9"/>
        <v>1250</v>
      </c>
    </row>
    <row r="78" spans="1:23" x14ac:dyDescent="0.2">
      <c r="A78">
        <v>28</v>
      </c>
      <c r="B78" s="1">
        <v>37408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f t="shared" si="10"/>
        <v>1208</v>
      </c>
      <c r="Q78" s="4">
        <f t="shared" si="10"/>
        <v>1208</v>
      </c>
      <c r="R78" s="4">
        <f t="shared" si="8"/>
        <v>1260</v>
      </c>
      <c r="S78" s="4">
        <f t="shared" si="7"/>
        <v>1260</v>
      </c>
      <c r="T78" s="4">
        <f t="shared" si="7"/>
        <v>1260</v>
      </c>
      <c r="U78" s="4">
        <f t="shared" si="7"/>
        <v>1260</v>
      </c>
      <c r="V78" s="4">
        <f t="shared" si="9"/>
        <v>1250</v>
      </c>
      <c r="W78" s="4">
        <f t="shared" si="9"/>
        <v>1250</v>
      </c>
    </row>
    <row r="79" spans="1:23" x14ac:dyDescent="0.2">
      <c r="A79">
        <v>29</v>
      </c>
      <c r="B79" s="1">
        <v>37438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f t="shared" si="10"/>
        <v>1208</v>
      </c>
      <c r="Q79" s="4">
        <f t="shared" si="10"/>
        <v>1208</v>
      </c>
      <c r="R79" s="4">
        <f t="shared" si="8"/>
        <v>1260</v>
      </c>
      <c r="S79" s="4">
        <f t="shared" si="7"/>
        <v>1260</v>
      </c>
      <c r="T79" s="4">
        <f t="shared" si="7"/>
        <v>1260</v>
      </c>
      <c r="U79" s="4">
        <f t="shared" si="7"/>
        <v>1260</v>
      </c>
      <c r="V79" s="4">
        <f t="shared" si="9"/>
        <v>1250</v>
      </c>
      <c r="W79" s="4">
        <f t="shared" si="9"/>
        <v>1250</v>
      </c>
    </row>
    <row r="80" spans="1:23" x14ac:dyDescent="0.2">
      <c r="A80">
        <v>30</v>
      </c>
      <c r="B80" s="1">
        <v>37469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f t="shared" si="10"/>
        <v>1208</v>
      </c>
      <c r="Q80" s="4">
        <f t="shared" si="10"/>
        <v>1208</v>
      </c>
      <c r="R80" s="4">
        <f t="shared" si="8"/>
        <v>1260</v>
      </c>
      <c r="S80" s="4">
        <f t="shared" si="7"/>
        <v>1260</v>
      </c>
      <c r="T80" s="4">
        <f t="shared" si="7"/>
        <v>1260</v>
      </c>
      <c r="U80" s="4">
        <f t="shared" si="7"/>
        <v>1260</v>
      </c>
      <c r="V80" s="4">
        <f t="shared" si="9"/>
        <v>1250</v>
      </c>
      <c r="W80" s="4">
        <f t="shared" si="9"/>
        <v>1250</v>
      </c>
    </row>
    <row r="81" spans="1:23" x14ac:dyDescent="0.2">
      <c r="A81">
        <v>31</v>
      </c>
      <c r="B81" s="1">
        <v>37500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f>1380*P$24</f>
        <v>1380</v>
      </c>
      <c r="Q81" s="4">
        <f>1380*Q$24</f>
        <v>1380</v>
      </c>
      <c r="R81" s="4">
        <f t="shared" si="8"/>
        <v>1260</v>
      </c>
      <c r="S81" s="4">
        <f t="shared" si="7"/>
        <v>1260</v>
      </c>
      <c r="T81" s="4">
        <f t="shared" si="7"/>
        <v>1260</v>
      </c>
      <c r="U81" s="4">
        <f t="shared" si="7"/>
        <v>1260</v>
      </c>
      <c r="V81" s="4">
        <f t="shared" si="9"/>
        <v>1250</v>
      </c>
      <c r="W81" s="4">
        <f t="shared" si="9"/>
        <v>1250</v>
      </c>
    </row>
    <row r="82" spans="1:23" x14ac:dyDescent="0.2">
      <c r="A82">
        <v>32</v>
      </c>
      <c r="B82" s="1">
        <v>37530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f>8625*P$24</f>
        <v>8625</v>
      </c>
      <c r="Q82" s="4">
        <f>8625*Q$24</f>
        <v>8625</v>
      </c>
      <c r="R82" s="4">
        <f t="shared" si="8"/>
        <v>1260</v>
      </c>
      <c r="S82" s="4">
        <f t="shared" si="7"/>
        <v>1260</v>
      </c>
      <c r="T82" s="4">
        <f>1350*T$24</f>
        <v>1350</v>
      </c>
      <c r="U82" s="4">
        <f>1350*U$24</f>
        <v>1350</v>
      </c>
      <c r="V82" s="4">
        <f t="shared" si="9"/>
        <v>1250</v>
      </c>
      <c r="W82" s="4">
        <f t="shared" si="9"/>
        <v>1250</v>
      </c>
    </row>
    <row r="83" spans="1:23" x14ac:dyDescent="0.2">
      <c r="A83">
        <v>33</v>
      </c>
      <c r="B83" s="1">
        <v>37561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8">
        <f>1725*P$24</f>
        <v>1725</v>
      </c>
      <c r="Q83" s="8">
        <f>1725*Q$24</f>
        <v>1725</v>
      </c>
      <c r="R83" s="4">
        <f>1440*R$24</f>
        <v>1440</v>
      </c>
      <c r="S83" s="4">
        <f>1440*S$24</f>
        <v>1440</v>
      </c>
      <c r="T83" s="4">
        <f>5220*T$24</f>
        <v>5220</v>
      </c>
      <c r="U83" s="4">
        <f>5220*U$24</f>
        <v>5220</v>
      </c>
      <c r="V83" s="4">
        <f t="shared" si="9"/>
        <v>1250</v>
      </c>
      <c r="W83" s="4">
        <f t="shared" si="9"/>
        <v>1250</v>
      </c>
    </row>
    <row r="84" spans="1:23" x14ac:dyDescent="0.2">
      <c r="A84">
        <v>34</v>
      </c>
      <c r="B84" s="1">
        <v>37591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f>9000*R$24</f>
        <v>9000</v>
      </c>
      <c r="S84" s="4">
        <f>9000*S$24</f>
        <v>9000</v>
      </c>
      <c r="T84" s="4">
        <f>5400*T$24</f>
        <v>5400</v>
      </c>
      <c r="U84" s="4">
        <f>5400*U$24</f>
        <v>5400</v>
      </c>
      <c r="V84" s="4">
        <f t="shared" si="9"/>
        <v>1250</v>
      </c>
      <c r="W84" s="4">
        <f t="shared" si="9"/>
        <v>1250</v>
      </c>
    </row>
    <row r="85" spans="1:23" x14ac:dyDescent="0.2">
      <c r="A85">
        <v>35</v>
      </c>
      <c r="B85" s="1">
        <v>37622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8">
        <f>1800*R$24</f>
        <v>1800</v>
      </c>
      <c r="S85" s="8">
        <f>1800*S$24</f>
        <v>1800</v>
      </c>
      <c r="T85" s="8">
        <f>900*T$24</f>
        <v>900</v>
      </c>
      <c r="U85" s="8">
        <f>900*U$24</f>
        <v>900</v>
      </c>
      <c r="V85" s="4">
        <f t="shared" si="9"/>
        <v>1250</v>
      </c>
      <c r="W85" s="4">
        <f t="shared" si="9"/>
        <v>1250</v>
      </c>
    </row>
    <row r="86" spans="1:23" x14ac:dyDescent="0.2">
      <c r="A86">
        <v>36</v>
      </c>
      <c r="B86" s="1">
        <v>37653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f>1428*V$24</f>
        <v>1428</v>
      </c>
      <c r="W86" s="4">
        <f>1428*W$24</f>
        <v>1428</v>
      </c>
    </row>
    <row r="87" spans="1:23" x14ac:dyDescent="0.2">
      <c r="A87">
        <v>37</v>
      </c>
      <c r="B87" s="1">
        <v>37681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>8925*V$24</f>
        <v>8925</v>
      </c>
      <c r="W87" s="4">
        <f>8925*W$24</f>
        <v>8925</v>
      </c>
    </row>
    <row r="88" spans="1:23" x14ac:dyDescent="0.2">
      <c r="A88">
        <v>38</v>
      </c>
      <c r="B88" s="1">
        <v>37712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8">
        <f>1785*V$24</f>
        <v>1785</v>
      </c>
      <c r="W88" s="8">
        <f>1785*W$24</f>
        <v>1785</v>
      </c>
    </row>
    <row r="89" spans="1:23" x14ac:dyDescent="0.2">
      <c r="A89">
        <v>39</v>
      </c>
      <c r="B89" s="1">
        <v>37742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</row>
    <row r="90" spans="1:23" x14ac:dyDescent="0.2">
      <c r="A90">
        <v>40</v>
      </c>
      <c r="B90" s="1">
        <v>37773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</row>
    <row r="91" spans="1:23" x14ac:dyDescent="0.2">
      <c r="A91">
        <v>41</v>
      </c>
      <c r="B91" s="1">
        <v>37803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</row>
    <row r="92" spans="1:23" x14ac:dyDescent="0.2">
      <c r="A92">
        <v>42</v>
      </c>
      <c r="B92" s="1">
        <v>37834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</row>
    <row r="93" spans="1:23" x14ac:dyDescent="0.2">
      <c r="A93">
        <v>43</v>
      </c>
      <c r="B93" s="1">
        <v>37865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</row>
    <row r="94" spans="1:23" x14ac:dyDescent="0.2">
      <c r="A94">
        <v>44</v>
      </c>
      <c r="B94" s="1">
        <v>37895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</row>
    <row r="95" spans="1:23" x14ac:dyDescent="0.2">
      <c r="A95">
        <v>45</v>
      </c>
      <c r="B95" s="1">
        <v>37926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</row>
    <row r="96" spans="1:23" x14ac:dyDescent="0.2">
      <c r="A96">
        <v>46</v>
      </c>
      <c r="B96" s="1">
        <v>37956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</row>
    <row r="97" spans="1:23" x14ac:dyDescent="0.2">
      <c r="B97" s="9" t="s">
        <v>10</v>
      </c>
      <c r="C97" s="3"/>
      <c r="D97" s="5">
        <f>SUM(D51:D96)</f>
        <v>32243</v>
      </c>
      <c r="E97" s="5">
        <f t="shared" ref="E97:W97" si="11">SUM(E51:E96)</f>
        <v>28351</v>
      </c>
      <c r="F97" s="5">
        <f t="shared" si="11"/>
        <v>32127</v>
      </c>
      <c r="G97" s="5">
        <f t="shared" si="11"/>
        <v>32127</v>
      </c>
      <c r="H97" s="5">
        <f t="shared" si="11"/>
        <v>32127</v>
      </c>
      <c r="I97" s="5">
        <f t="shared" si="11"/>
        <v>32127</v>
      </c>
      <c r="J97" s="5">
        <f t="shared" si="11"/>
        <v>32136</v>
      </c>
      <c r="K97" s="5">
        <f t="shared" si="11"/>
        <v>32136</v>
      </c>
      <c r="L97" s="5">
        <f t="shared" si="11"/>
        <v>32136</v>
      </c>
      <c r="M97" s="5">
        <f t="shared" si="11"/>
        <v>32136</v>
      </c>
      <c r="N97" s="5">
        <f t="shared" si="11"/>
        <v>31921</v>
      </c>
      <c r="O97" s="5">
        <f t="shared" si="11"/>
        <v>31921</v>
      </c>
      <c r="P97" s="5">
        <f t="shared" si="11"/>
        <v>31921</v>
      </c>
      <c r="Q97" s="5">
        <f t="shared" si="11"/>
        <v>31921</v>
      </c>
      <c r="R97" s="5">
        <f t="shared" si="11"/>
        <v>34200</v>
      </c>
      <c r="S97" s="5">
        <f t="shared" si="11"/>
        <v>34200</v>
      </c>
      <c r="T97" s="5">
        <f t="shared" si="11"/>
        <v>34200</v>
      </c>
      <c r="U97" s="5">
        <f t="shared" si="11"/>
        <v>34200</v>
      </c>
      <c r="V97" s="5">
        <f t="shared" si="11"/>
        <v>33924</v>
      </c>
      <c r="W97" s="5">
        <f t="shared" si="11"/>
        <v>33924</v>
      </c>
    </row>
    <row r="99" spans="1:23" x14ac:dyDescent="0.2">
      <c r="B99" s="3" t="s">
        <v>9</v>
      </c>
      <c r="C99" s="3"/>
      <c r="D99" s="5">
        <f>D46+D97</f>
        <v>35619</v>
      </c>
      <c r="E99" s="5">
        <f t="shared" ref="E99:W99" si="12">E46+E97</f>
        <v>31727</v>
      </c>
      <c r="F99" s="5">
        <f t="shared" si="12"/>
        <v>33818</v>
      </c>
      <c r="G99" s="5">
        <f t="shared" si="12"/>
        <v>33818</v>
      </c>
      <c r="H99" s="5">
        <f t="shared" si="12"/>
        <v>33818</v>
      </c>
      <c r="I99" s="5">
        <f t="shared" si="12"/>
        <v>33818</v>
      </c>
      <c r="J99" s="5">
        <f t="shared" si="12"/>
        <v>34741</v>
      </c>
      <c r="K99" s="5">
        <f t="shared" si="12"/>
        <v>34741</v>
      </c>
      <c r="L99" s="5">
        <f t="shared" si="12"/>
        <v>34741</v>
      </c>
      <c r="M99" s="5">
        <f t="shared" si="12"/>
        <v>34741</v>
      </c>
      <c r="N99" s="5">
        <f t="shared" si="12"/>
        <v>34509</v>
      </c>
      <c r="O99" s="5">
        <f t="shared" si="12"/>
        <v>34509</v>
      </c>
      <c r="P99" s="5">
        <f t="shared" si="12"/>
        <v>34509</v>
      </c>
      <c r="Q99" s="5">
        <f t="shared" si="12"/>
        <v>34509</v>
      </c>
      <c r="R99" s="5">
        <f t="shared" si="12"/>
        <v>36000</v>
      </c>
      <c r="S99" s="5">
        <f t="shared" si="12"/>
        <v>36000</v>
      </c>
      <c r="T99" s="5">
        <f t="shared" si="12"/>
        <v>36000</v>
      </c>
      <c r="U99" s="5">
        <f t="shared" si="12"/>
        <v>36000</v>
      </c>
      <c r="V99" s="5">
        <f t="shared" si="12"/>
        <v>35709</v>
      </c>
      <c r="W99" s="5">
        <f t="shared" si="12"/>
        <v>35709</v>
      </c>
    </row>
    <row r="100" spans="1:23" x14ac:dyDescent="0.2">
      <c r="B100" s="21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x14ac:dyDescent="0.2">
      <c r="B101" s="21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2">
      <c r="B102" s="21"/>
      <c r="C102" s="7" t="s">
        <v>0</v>
      </c>
      <c r="D102" s="1">
        <v>36982</v>
      </c>
      <c r="E102" s="1">
        <v>36982</v>
      </c>
      <c r="F102" s="1">
        <v>37104</v>
      </c>
      <c r="G102" s="1">
        <v>37104</v>
      </c>
      <c r="H102" s="1">
        <v>37165</v>
      </c>
      <c r="I102" s="1">
        <v>37165</v>
      </c>
      <c r="J102" s="1">
        <v>37288</v>
      </c>
      <c r="K102" s="1">
        <v>37288</v>
      </c>
      <c r="L102" s="1">
        <v>37288</v>
      </c>
      <c r="M102" s="1">
        <v>37288</v>
      </c>
      <c r="N102" s="1">
        <v>37347</v>
      </c>
      <c r="O102" s="1">
        <v>37347</v>
      </c>
      <c r="P102" s="1">
        <v>37561</v>
      </c>
      <c r="Q102" s="1">
        <v>37561</v>
      </c>
      <c r="R102" s="1">
        <v>37622</v>
      </c>
      <c r="S102" s="1">
        <v>37622</v>
      </c>
      <c r="T102" s="1">
        <v>37653</v>
      </c>
      <c r="U102" s="1">
        <v>37653</v>
      </c>
      <c r="V102" s="1">
        <v>37712</v>
      </c>
      <c r="W102" s="1">
        <v>37712</v>
      </c>
    </row>
    <row r="103" spans="1:23" x14ac:dyDescent="0.2">
      <c r="B103" s="21"/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x14ac:dyDescent="0.2">
      <c r="B104" t="s">
        <v>31</v>
      </c>
      <c r="C104" s="21"/>
      <c r="D104" s="22">
        <f>D24</f>
        <v>1</v>
      </c>
      <c r="E104" s="22">
        <f t="shared" ref="E104:W104" si="13">E24</f>
        <v>1</v>
      </c>
      <c r="F104" s="22">
        <f t="shared" si="13"/>
        <v>1</v>
      </c>
      <c r="G104" s="22">
        <f t="shared" si="13"/>
        <v>1</v>
      </c>
      <c r="H104" s="22">
        <f t="shared" si="13"/>
        <v>1</v>
      </c>
      <c r="I104" s="22">
        <f t="shared" si="13"/>
        <v>1</v>
      </c>
      <c r="J104" s="22">
        <f t="shared" si="13"/>
        <v>1</v>
      </c>
      <c r="K104" s="22">
        <f t="shared" si="13"/>
        <v>1</v>
      </c>
      <c r="L104" s="22">
        <f t="shared" si="13"/>
        <v>1</v>
      </c>
      <c r="M104" s="22">
        <f t="shared" si="13"/>
        <v>1</v>
      </c>
      <c r="N104" s="22">
        <f t="shared" si="13"/>
        <v>1</v>
      </c>
      <c r="O104" s="22">
        <f t="shared" si="13"/>
        <v>1</v>
      </c>
      <c r="P104" s="22">
        <f t="shared" si="13"/>
        <v>1</v>
      </c>
      <c r="Q104" s="22">
        <f t="shared" si="13"/>
        <v>1</v>
      </c>
      <c r="R104" s="22">
        <f t="shared" si="13"/>
        <v>1</v>
      </c>
      <c r="S104" s="22">
        <f t="shared" si="13"/>
        <v>1</v>
      </c>
      <c r="T104" s="22">
        <f t="shared" si="13"/>
        <v>1</v>
      </c>
      <c r="U104" s="22">
        <f t="shared" si="13"/>
        <v>1</v>
      </c>
      <c r="V104" s="22">
        <f t="shared" si="13"/>
        <v>1</v>
      </c>
      <c r="W104" s="22">
        <f t="shared" si="13"/>
        <v>1</v>
      </c>
    </row>
    <row r="105" spans="1:23" x14ac:dyDescent="0.2">
      <c r="B105" s="21"/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x14ac:dyDescent="0.2">
      <c r="B106" s="21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x14ac:dyDescent="0.2">
      <c r="A107" t="s">
        <v>66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x14ac:dyDescent="0.2">
      <c r="A108">
        <v>1</v>
      </c>
      <c r="B108" s="1">
        <v>36586</v>
      </c>
      <c r="C108" s="21"/>
      <c r="D108" s="22">
        <f t="shared" ref="D108:W108" si="14">(D$46+D51)*(1+$G$14/12)</f>
        <v>5101.9905499999995</v>
      </c>
      <c r="E108" s="22">
        <f t="shared" si="14"/>
        <v>3401.327033333333</v>
      </c>
      <c r="F108" s="22">
        <f t="shared" si="14"/>
        <v>1703.6860229166666</v>
      </c>
      <c r="G108" s="22">
        <f t="shared" si="14"/>
        <v>1703.6860229166666</v>
      </c>
      <c r="H108" s="22">
        <f t="shared" si="14"/>
        <v>1703.6860229166666</v>
      </c>
      <c r="I108" s="22">
        <f t="shared" si="14"/>
        <v>1703.6860229166666</v>
      </c>
      <c r="J108" s="22">
        <f t="shared" si="14"/>
        <v>2624.5429270833329</v>
      </c>
      <c r="K108" s="22">
        <f t="shared" si="14"/>
        <v>2624.5429270833329</v>
      </c>
      <c r="L108" s="22">
        <f t="shared" si="14"/>
        <v>2624.5429270833329</v>
      </c>
      <c r="M108" s="22">
        <f t="shared" si="14"/>
        <v>2624.5429270833329</v>
      </c>
      <c r="N108" s="22">
        <f t="shared" si="14"/>
        <v>2607.4153916666664</v>
      </c>
      <c r="O108" s="22">
        <f t="shared" si="14"/>
        <v>2607.4153916666664</v>
      </c>
      <c r="P108" s="22">
        <f t="shared" si="14"/>
        <v>2607.4153916666664</v>
      </c>
      <c r="Q108" s="22">
        <f t="shared" si="14"/>
        <v>2607.4153916666664</v>
      </c>
      <c r="R108" s="22">
        <f t="shared" si="14"/>
        <v>1813.5037499999999</v>
      </c>
      <c r="S108" s="22">
        <f t="shared" si="14"/>
        <v>1813.5037499999999</v>
      </c>
      <c r="T108" s="22">
        <f t="shared" si="14"/>
        <v>1813.5037499999999</v>
      </c>
      <c r="U108" s="22">
        <f t="shared" si="14"/>
        <v>1813.5037499999999</v>
      </c>
      <c r="V108" s="22">
        <f t="shared" si="14"/>
        <v>1798.3912187499998</v>
      </c>
      <c r="W108" s="22">
        <f t="shared" si="14"/>
        <v>1798.3912187499998</v>
      </c>
    </row>
    <row r="109" spans="1:23" x14ac:dyDescent="0.2">
      <c r="A109">
        <v>2</v>
      </c>
      <c r="B109" s="1">
        <v>36617</v>
      </c>
      <c r="C109" s="21"/>
      <c r="D109" s="22">
        <f t="shared" ref="D109:D120" si="15">(D108+D52)*(1+$G$14/12)</f>
        <v>7011.1974770219776</v>
      </c>
      <c r="E109" s="22">
        <f t="shared" ref="E109:E120" si="16">(E108+E52)*(1+$G$14/12)</f>
        <v>4820.2194534313185</v>
      </c>
      <c r="F109" s="22">
        <f t="shared" ref="F109:F120" si="17">(F108+F52)*(1+$G$14/12)</f>
        <v>1716.4672174344225</v>
      </c>
      <c r="G109" s="22">
        <f t="shared" ref="G109:G120" si="18">(G108+G52)*(1+$G$14/12)</f>
        <v>1716.4672174344225</v>
      </c>
      <c r="H109" s="22">
        <f t="shared" ref="H109:H120" si="19">(H108+H52)*(1+$G$14/12)</f>
        <v>1716.4672174344225</v>
      </c>
      <c r="I109" s="22">
        <f t="shared" ref="I109:I120" si="20">(I108+I52)*(1+$G$14/12)</f>
        <v>1716.4672174344225</v>
      </c>
      <c r="J109" s="22">
        <f t="shared" ref="J109:J120" si="21">(J108+J52)*(1+$G$14/12)</f>
        <v>3518.7442751675558</v>
      </c>
      <c r="K109" s="22">
        <f t="shared" ref="K109:K120" si="22">(K108+K52)*(1+$G$14/12)</f>
        <v>3518.7442751675558</v>
      </c>
      <c r="L109" s="22">
        <f t="shared" ref="L109:L120" si="23">(L108+L52)*(1+$G$14/12)</f>
        <v>3518.7442751675558</v>
      </c>
      <c r="M109" s="22">
        <f t="shared" ref="M109:M120" si="24">(M108+M52)*(1+$G$14/12)</f>
        <v>3518.7442751675558</v>
      </c>
      <c r="N109" s="22">
        <f t="shared" ref="N109:N120" si="25">(N108+N52)*(1+$G$14/12)</f>
        <v>3496.450737136232</v>
      </c>
      <c r="O109" s="22">
        <f t="shared" ref="O109:O120" si="26">(O108+O52)*(1+$G$14/12)</f>
        <v>3496.450737136232</v>
      </c>
      <c r="P109" s="22">
        <f t="shared" ref="P109:P120" si="27">(P108+P52)*(1+$G$14/12)</f>
        <v>3496.450737136232</v>
      </c>
      <c r="Q109" s="22">
        <f t="shared" ref="Q109:Q120" si="28">(Q108+Q52)*(1+$G$14/12)</f>
        <v>3496.450737136232</v>
      </c>
      <c r="R109" s="22">
        <f t="shared" ref="R109:R120" si="29">(R108+R52)*(1+$G$14/12)</f>
        <v>1827.1088062578121</v>
      </c>
      <c r="S109" s="22">
        <f t="shared" ref="S109:S120" si="30">(S108+S52)*(1+$G$14/12)</f>
        <v>1827.1088062578121</v>
      </c>
      <c r="T109" s="22">
        <f t="shared" ref="T109:T120" si="31">(T108+T52)*(1+$G$14/12)</f>
        <v>1827.1088062578121</v>
      </c>
      <c r="U109" s="22">
        <f t="shared" ref="U109:U120" si="32">(U108+U52)*(1+$G$14/12)</f>
        <v>1827.1088062578121</v>
      </c>
      <c r="V109" s="22">
        <f t="shared" ref="V109:V120" si="33">(V108+V52)*(1+$G$14/12)</f>
        <v>1811.882899538997</v>
      </c>
      <c r="W109" s="22">
        <f t="shared" ref="W109:W120" si="34">(W108+W52)*(1+$G$14/12)</f>
        <v>1811.882899538997</v>
      </c>
    </row>
    <row r="110" spans="1:23" x14ac:dyDescent="0.2">
      <c r="A110">
        <v>3</v>
      </c>
      <c r="B110" s="1">
        <v>36647</v>
      </c>
      <c r="C110" s="21"/>
      <c r="D110" s="22">
        <f t="shared" si="15"/>
        <v>8934.7274335110524</v>
      </c>
      <c r="E110" s="22">
        <f t="shared" si="16"/>
        <v>6614.4722768725806</v>
      </c>
      <c r="F110" s="22">
        <f t="shared" si="17"/>
        <v>3433.0303204552165</v>
      </c>
      <c r="G110" s="22">
        <f t="shared" si="18"/>
        <v>3433.0303204552165</v>
      </c>
      <c r="H110" s="22">
        <f t="shared" si="19"/>
        <v>1729.3442975385501</v>
      </c>
      <c r="I110" s="22">
        <f t="shared" si="20"/>
        <v>1729.3442975385501</v>
      </c>
      <c r="J110" s="22">
        <f t="shared" si="21"/>
        <v>3545.142187948552</v>
      </c>
      <c r="K110" s="22">
        <f t="shared" si="22"/>
        <v>3545.142187948552</v>
      </c>
      <c r="L110" s="22">
        <f t="shared" si="23"/>
        <v>3545.142187948552</v>
      </c>
      <c r="M110" s="22">
        <f t="shared" si="24"/>
        <v>3545.142187948552</v>
      </c>
      <c r="N110" s="22">
        <f t="shared" si="25"/>
        <v>3522.6814019371222</v>
      </c>
      <c r="O110" s="22">
        <f t="shared" si="26"/>
        <v>3522.6814019371222</v>
      </c>
      <c r="P110" s="22">
        <f t="shared" si="27"/>
        <v>3522.6814019371222</v>
      </c>
      <c r="Q110" s="22">
        <f t="shared" si="28"/>
        <v>3522.6814019371222</v>
      </c>
      <c r="R110" s="22">
        <f t="shared" si="29"/>
        <v>2747.567803781425</v>
      </c>
      <c r="S110" s="22">
        <f t="shared" si="30"/>
        <v>2747.567803781425</v>
      </c>
      <c r="T110" s="22">
        <f t="shared" si="31"/>
        <v>2747.567803781425</v>
      </c>
      <c r="U110" s="22">
        <f t="shared" si="32"/>
        <v>2747.567803781425</v>
      </c>
      <c r="V110" s="22">
        <f t="shared" si="33"/>
        <v>2725.1751564582464</v>
      </c>
      <c r="W110" s="22">
        <f t="shared" si="34"/>
        <v>2725.1751564582464</v>
      </c>
    </row>
    <row r="111" spans="1:23" x14ac:dyDescent="0.2">
      <c r="A111">
        <v>4</v>
      </c>
      <c r="B111" s="1">
        <v>36678</v>
      </c>
      <c r="C111" s="21"/>
      <c r="D111" s="22">
        <f t="shared" si="15"/>
        <v>10872.687872027871</v>
      </c>
      <c r="E111" s="22">
        <f t="shared" si="16"/>
        <v>8422.185734516368</v>
      </c>
      <c r="F111" s="22">
        <f t="shared" si="17"/>
        <v>3458.7852000051312</v>
      </c>
      <c r="G111" s="22">
        <f t="shared" si="18"/>
        <v>3458.7852000051312</v>
      </c>
      <c r="H111" s="22">
        <f t="shared" si="19"/>
        <v>3446.0040054873753</v>
      </c>
      <c r="I111" s="22">
        <f t="shared" si="20"/>
        <v>3446.0040054873753</v>
      </c>
      <c r="J111" s="22">
        <f t="shared" si="21"/>
        <v>3571.7381400710574</v>
      </c>
      <c r="K111" s="22">
        <f t="shared" si="22"/>
        <v>3571.7381400710574</v>
      </c>
      <c r="L111" s="22">
        <f t="shared" si="23"/>
        <v>3571.7381400710574</v>
      </c>
      <c r="M111" s="22">
        <f t="shared" si="24"/>
        <v>3571.7381400710574</v>
      </c>
      <c r="N111" s="22">
        <f t="shared" si="25"/>
        <v>3549.1088513712375</v>
      </c>
      <c r="O111" s="22">
        <f t="shared" si="26"/>
        <v>3549.1088513712375</v>
      </c>
      <c r="P111" s="22">
        <f t="shared" si="27"/>
        <v>3549.1088513712375</v>
      </c>
      <c r="Q111" s="22">
        <f t="shared" si="28"/>
        <v>3549.1088513712375</v>
      </c>
      <c r="R111" s="22">
        <f t="shared" si="29"/>
        <v>2768.1802864093765</v>
      </c>
      <c r="S111" s="22">
        <f t="shared" si="30"/>
        <v>2768.1802864093765</v>
      </c>
      <c r="T111" s="22">
        <f t="shared" si="31"/>
        <v>2768.1802864093765</v>
      </c>
      <c r="U111" s="22">
        <f t="shared" si="32"/>
        <v>2768.1802864093765</v>
      </c>
      <c r="V111" s="22">
        <f t="shared" si="33"/>
        <v>2745.6196475799256</v>
      </c>
      <c r="W111" s="22">
        <f t="shared" si="34"/>
        <v>2745.6196475799256</v>
      </c>
    </row>
    <row r="112" spans="1:23" x14ac:dyDescent="0.2">
      <c r="A112">
        <v>5</v>
      </c>
      <c r="B112" s="1">
        <v>36708</v>
      </c>
      <c r="C112" s="21"/>
      <c r="D112" s="22">
        <f t="shared" si="15"/>
        <v>12825.187051251145</v>
      </c>
      <c r="E112" s="22">
        <f t="shared" si="16"/>
        <v>10243.460809162187</v>
      </c>
      <c r="F112" s="22">
        <f t="shared" si="17"/>
        <v>3484.7332948076692</v>
      </c>
      <c r="G112" s="22">
        <f t="shared" si="18"/>
        <v>3484.7332948076692</v>
      </c>
      <c r="H112" s="22">
        <f t="shared" si="19"/>
        <v>3471.8562147035418</v>
      </c>
      <c r="I112" s="22">
        <f t="shared" si="20"/>
        <v>3471.8562147035418</v>
      </c>
      <c r="J112" s="22">
        <f t="shared" si="21"/>
        <v>3598.5336172427151</v>
      </c>
      <c r="K112" s="22">
        <f t="shared" si="22"/>
        <v>3598.5336172427151</v>
      </c>
      <c r="L112" s="22">
        <f t="shared" si="23"/>
        <v>3598.5336172427151</v>
      </c>
      <c r="M112" s="22">
        <f t="shared" si="24"/>
        <v>3598.5336172427151</v>
      </c>
      <c r="N112" s="22">
        <f t="shared" si="25"/>
        <v>3575.7345617332953</v>
      </c>
      <c r="O112" s="22">
        <f t="shared" si="26"/>
        <v>3575.7345617332953</v>
      </c>
      <c r="P112" s="22">
        <f t="shared" si="27"/>
        <v>3575.7345617332953</v>
      </c>
      <c r="Q112" s="22">
        <f t="shared" si="28"/>
        <v>3575.7345617332953</v>
      </c>
      <c r="R112" s="22">
        <f t="shared" si="29"/>
        <v>2788.9474055997098</v>
      </c>
      <c r="S112" s="22">
        <f t="shared" si="30"/>
        <v>2788.9474055997098</v>
      </c>
      <c r="T112" s="22">
        <f t="shared" si="31"/>
        <v>2788.9474055997098</v>
      </c>
      <c r="U112" s="22">
        <f t="shared" si="32"/>
        <v>2788.9474055997098</v>
      </c>
      <c r="V112" s="22">
        <f t="shared" si="33"/>
        <v>2766.2175149777072</v>
      </c>
      <c r="W112" s="22">
        <f t="shared" si="34"/>
        <v>2766.2175149777072</v>
      </c>
    </row>
    <row r="113" spans="1:23" x14ac:dyDescent="0.2">
      <c r="A113">
        <v>6</v>
      </c>
      <c r="B113" s="1">
        <v>36739</v>
      </c>
      <c r="C113" s="21"/>
      <c r="D113" s="22">
        <f t="shared" si="15"/>
        <v>14792.334042025217</v>
      </c>
      <c r="E113" s="22">
        <f t="shared" si="16"/>
        <v>12078.39924119092</v>
      </c>
      <c r="F113" s="22">
        <f t="shared" si="17"/>
        <v>5214.5620772964239</v>
      </c>
      <c r="G113" s="22">
        <f t="shared" si="18"/>
        <v>5214.5620772964239</v>
      </c>
      <c r="H113" s="22">
        <f t="shared" si="19"/>
        <v>3497.9023693475988</v>
      </c>
      <c r="I113" s="22">
        <f t="shared" si="20"/>
        <v>3497.9023693475988</v>
      </c>
      <c r="J113" s="22">
        <f t="shared" si="21"/>
        <v>4850.6526496504039</v>
      </c>
      <c r="K113" s="22">
        <f t="shared" si="22"/>
        <v>4850.6526496504039</v>
      </c>
      <c r="L113" s="22">
        <f t="shared" si="23"/>
        <v>4850.6526496504039</v>
      </c>
      <c r="M113" s="22">
        <f t="shared" si="24"/>
        <v>4850.6526496504039</v>
      </c>
      <c r="N113" s="22">
        <f t="shared" si="25"/>
        <v>3602.5600203932981</v>
      </c>
      <c r="O113" s="22">
        <f t="shared" si="26"/>
        <v>3602.5600203932981</v>
      </c>
      <c r="P113" s="22">
        <f t="shared" si="27"/>
        <v>3602.5600203932981</v>
      </c>
      <c r="Q113" s="22">
        <f t="shared" si="28"/>
        <v>3602.5600203932981</v>
      </c>
      <c r="R113" s="22">
        <f t="shared" si="29"/>
        <v>2809.8703214488023</v>
      </c>
      <c r="S113" s="22">
        <f t="shared" si="30"/>
        <v>2809.8703214488023</v>
      </c>
      <c r="T113" s="22">
        <f t="shared" si="31"/>
        <v>2809.8703214488023</v>
      </c>
      <c r="U113" s="22">
        <f t="shared" si="32"/>
        <v>2809.8703214488023</v>
      </c>
      <c r="V113" s="22">
        <f t="shared" si="33"/>
        <v>2786.969909293196</v>
      </c>
      <c r="W113" s="22">
        <f t="shared" si="34"/>
        <v>2786.969909293196</v>
      </c>
    </row>
    <row r="114" spans="1:23" x14ac:dyDescent="0.2">
      <c r="A114">
        <v>7</v>
      </c>
      <c r="B114" s="1">
        <v>36770</v>
      </c>
      <c r="C114" s="21"/>
      <c r="D114" s="22">
        <f t="shared" si="15"/>
        <v>16774.238733452992</v>
      </c>
      <c r="E114" s="22">
        <f t="shared" si="16"/>
        <v>13927.10353424827</v>
      </c>
      <c r="F114" s="22">
        <f t="shared" si="17"/>
        <v>7127.6360315471411</v>
      </c>
      <c r="G114" s="22">
        <f t="shared" si="18"/>
        <v>7127.6360315471411</v>
      </c>
      <c r="H114" s="22">
        <f t="shared" si="19"/>
        <v>3524.1439244143085</v>
      </c>
      <c r="I114" s="22">
        <f t="shared" si="20"/>
        <v>3524.1439244143085</v>
      </c>
      <c r="J114" s="22">
        <f t="shared" si="21"/>
        <v>6112.1651833824681</v>
      </c>
      <c r="K114" s="22">
        <f t="shared" si="22"/>
        <v>6112.1651833824681</v>
      </c>
      <c r="L114" s="22">
        <f t="shared" si="23"/>
        <v>6112.1651833824681</v>
      </c>
      <c r="M114" s="22">
        <f t="shared" si="24"/>
        <v>6112.1651833824681</v>
      </c>
      <c r="N114" s="22">
        <f t="shared" si="25"/>
        <v>3629.5867258796234</v>
      </c>
      <c r="O114" s="22">
        <f t="shared" si="26"/>
        <v>3629.5867258796234</v>
      </c>
      <c r="P114" s="22">
        <f t="shared" si="27"/>
        <v>3629.5867258796234</v>
      </c>
      <c r="Q114" s="22">
        <f t="shared" si="28"/>
        <v>3629.5867258796234</v>
      </c>
      <c r="R114" s="22">
        <f t="shared" si="29"/>
        <v>3737.7020777561711</v>
      </c>
      <c r="S114" s="22">
        <f t="shared" si="30"/>
        <v>3737.7020777561711</v>
      </c>
      <c r="T114" s="22">
        <f t="shared" si="31"/>
        <v>3737.7020777561711</v>
      </c>
      <c r="U114" s="22">
        <f t="shared" si="32"/>
        <v>3737.7020777561711</v>
      </c>
      <c r="V114" s="22">
        <f t="shared" si="33"/>
        <v>3707.5773502168722</v>
      </c>
      <c r="W114" s="22">
        <f t="shared" si="34"/>
        <v>3707.5773502168722</v>
      </c>
    </row>
    <row r="115" spans="1:23" x14ac:dyDescent="0.2">
      <c r="A115">
        <v>8</v>
      </c>
      <c r="B115" s="1">
        <v>36800</v>
      </c>
      <c r="C115" s="21"/>
      <c r="D115" s="22">
        <f t="shared" si="15"/>
        <v>18771.011839034581</v>
      </c>
      <c r="E115" s="22">
        <f t="shared" si="16"/>
        <v>15789.676960970826</v>
      </c>
      <c r="F115" s="22">
        <f t="shared" si="17"/>
        <v>9055.0620260254764</v>
      </c>
      <c r="G115" s="22">
        <f t="shared" si="18"/>
        <v>9055.0620260254764</v>
      </c>
      <c r="H115" s="22">
        <f t="shared" si="19"/>
        <v>5254.2683687305907</v>
      </c>
      <c r="I115" s="22">
        <f t="shared" si="20"/>
        <v>5254.2683687305907</v>
      </c>
      <c r="J115" s="22">
        <f t="shared" si="21"/>
        <v>7383.1416892686348</v>
      </c>
      <c r="K115" s="22">
        <f t="shared" si="22"/>
        <v>7383.1416892686348</v>
      </c>
      <c r="L115" s="22">
        <f t="shared" si="23"/>
        <v>7383.1416892686348</v>
      </c>
      <c r="M115" s="22">
        <f t="shared" si="24"/>
        <v>7383.1416892686348</v>
      </c>
      <c r="N115" s="22">
        <f t="shared" si="25"/>
        <v>4873.8787046293992</v>
      </c>
      <c r="O115" s="22">
        <f t="shared" si="26"/>
        <v>4873.8787046293992</v>
      </c>
      <c r="P115" s="22">
        <f t="shared" si="27"/>
        <v>3656.8161879627323</v>
      </c>
      <c r="Q115" s="22">
        <f t="shared" si="28"/>
        <v>3656.8161879627323</v>
      </c>
      <c r="R115" s="22">
        <f t="shared" si="29"/>
        <v>3765.7426302186709</v>
      </c>
      <c r="S115" s="22">
        <f t="shared" si="30"/>
        <v>3765.7426302186709</v>
      </c>
      <c r="T115" s="22">
        <f t="shared" si="31"/>
        <v>3765.7426302186709</v>
      </c>
      <c r="U115" s="22">
        <f t="shared" si="32"/>
        <v>3765.7426302186709</v>
      </c>
      <c r="V115" s="22">
        <f t="shared" si="33"/>
        <v>3735.3919044629779</v>
      </c>
      <c r="W115" s="22">
        <f t="shared" si="34"/>
        <v>3735.3919044629779</v>
      </c>
    </row>
    <row r="116" spans="1:23" x14ac:dyDescent="0.2">
      <c r="A116">
        <v>9</v>
      </c>
      <c r="B116" s="1">
        <v>36831</v>
      </c>
      <c r="C116" s="21"/>
      <c r="D116" s="22">
        <f t="shared" si="15"/>
        <v>20782.764902852003</v>
      </c>
      <c r="E116" s="22">
        <f t="shared" si="16"/>
        <v>17666.223568755111</v>
      </c>
      <c r="F116" s="22">
        <f t="shared" si="17"/>
        <v>10996.947730933221</v>
      </c>
      <c r="G116" s="22">
        <f t="shared" si="18"/>
        <v>10996.947730933221</v>
      </c>
      <c r="H116" s="22">
        <f t="shared" si="19"/>
        <v>7167.6402028885041</v>
      </c>
      <c r="I116" s="22">
        <f t="shared" si="20"/>
        <v>7167.6402028885041</v>
      </c>
      <c r="J116" s="22">
        <f t="shared" si="21"/>
        <v>8663.6531668166681</v>
      </c>
      <c r="K116" s="22">
        <f t="shared" si="22"/>
        <v>8663.6531668166681</v>
      </c>
      <c r="L116" s="22">
        <f t="shared" si="23"/>
        <v>8663.6531668166681</v>
      </c>
      <c r="M116" s="22">
        <f t="shared" si="24"/>
        <v>8663.6531668166681</v>
      </c>
      <c r="N116" s="22">
        <f t="shared" si="25"/>
        <v>6127.5054654947535</v>
      </c>
      <c r="O116" s="22">
        <f t="shared" si="26"/>
        <v>6127.5054654947535</v>
      </c>
      <c r="P116" s="22">
        <f t="shared" si="27"/>
        <v>3684.2499277395109</v>
      </c>
      <c r="Q116" s="22">
        <f t="shared" si="28"/>
        <v>3684.2499277395109</v>
      </c>
      <c r="R116" s="22">
        <f t="shared" si="29"/>
        <v>3793.993545242457</v>
      </c>
      <c r="S116" s="22">
        <f t="shared" si="30"/>
        <v>3793.993545242457</v>
      </c>
      <c r="T116" s="22">
        <f t="shared" si="31"/>
        <v>3793.993545242457</v>
      </c>
      <c r="U116" s="22">
        <f t="shared" si="32"/>
        <v>3793.993545242457</v>
      </c>
      <c r="V116" s="22">
        <f t="shared" si="33"/>
        <v>3763.4151258129177</v>
      </c>
      <c r="W116" s="22">
        <f t="shared" si="34"/>
        <v>3763.4151258129177</v>
      </c>
    </row>
    <row r="117" spans="1:23" x14ac:dyDescent="0.2">
      <c r="A117">
        <v>10</v>
      </c>
      <c r="B117" s="1">
        <v>36861</v>
      </c>
      <c r="C117" s="21"/>
      <c r="D117" s="22">
        <f t="shared" si="15"/>
        <v>22809.61030580027</v>
      </c>
      <c r="E117" s="22">
        <f t="shared" si="16"/>
        <v>19556.848185569874</v>
      </c>
      <c r="F117" s="22">
        <f t="shared" si="17"/>
        <v>12953.401624222992</v>
      </c>
      <c r="G117" s="22">
        <f t="shared" si="18"/>
        <v>12953.401624222992</v>
      </c>
      <c r="H117" s="22">
        <f t="shared" si="19"/>
        <v>9095.3663119939229</v>
      </c>
      <c r="I117" s="22">
        <f t="shared" si="20"/>
        <v>9095.3663119939229</v>
      </c>
      <c r="J117" s="22">
        <f t="shared" si="21"/>
        <v>9953.7711481785573</v>
      </c>
      <c r="K117" s="22">
        <f t="shared" si="22"/>
        <v>9953.7711481785573</v>
      </c>
      <c r="L117" s="22">
        <f t="shared" si="23"/>
        <v>9953.7711481785573</v>
      </c>
      <c r="M117" s="22">
        <f t="shared" si="24"/>
        <v>9953.7711481785573</v>
      </c>
      <c r="N117" s="22">
        <f t="shared" si="25"/>
        <v>7390.5370387890162</v>
      </c>
      <c r="O117" s="22">
        <f t="shared" si="26"/>
        <v>7390.5370387890162</v>
      </c>
      <c r="P117" s="22">
        <f t="shared" si="27"/>
        <v>3711.8894777182395</v>
      </c>
      <c r="Q117" s="22">
        <f t="shared" si="28"/>
        <v>3711.8894777182395</v>
      </c>
      <c r="R117" s="22">
        <f t="shared" si="29"/>
        <v>3822.4564009849942</v>
      </c>
      <c r="S117" s="22">
        <f t="shared" si="30"/>
        <v>3822.4564009849942</v>
      </c>
      <c r="T117" s="22">
        <f t="shared" si="31"/>
        <v>3822.4564009849942</v>
      </c>
      <c r="U117" s="22">
        <f t="shared" si="32"/>
        <v>3822.4564009849942</v>
      </c>
      <c r="V117" s="22">
        <f t="shared" si="33"/>
        <v>3791.648579704693</v>
      </c>
      <c r="W117" s="22">
        <f t="shared" si="34"/>
        <v>3791.648579704693</v>
      </c>
    </row>
    <row r="118" spans="1:23" x14ac:dyDescent="0.2">
      <c r="A118">
        <v>11</v>
      </c>
      <c r="B118" s="1">
        <v>36892</v>
      </c>
      <c r="C118" s="21"/>
      <c r="D118" s="22">
        <f t="shared" si="15"/>
        <v>24851.66127186524</v>
      </c>
      <c r="E118" s="22">
        <f t="shared" si="16"/>
        <v>21461.656425812034</v>
      </c>
      <c r="F118" s="22">
        <f t="shared" si="17"/>
        <v>14924.532997658047</v>
      </c>
      <c r="G118" s="22">
        <f t="shared" si="18"/>
        <v>14924.532997658047</v>
      </c>
      <c r="H118" s="22">
        <f t="shared" si="19"/>
        <v>11037.554383013692</v>
      </c>
      <c r="I118" s="22">
        <f t="shared" si="20"/>
        <v>11037.554383013692</v>
      </c>
      <c r="J118" s="22">
        <f t="shared" si="21"/>
        <v>11253.567702146454</v>
      </c>
      <c r="K118" s="22">
        <f t="shared" si="22"/>
        <v>11253.567702146454</v>
      </c>
      <c r="L118" s="22">
        <f t="shared" si="23"/>
        <v>11253.567702146454</v>
      </c>
      <c r="M118" s="22">
        <f t="shared" si="24"/>
        <v>11253.567702146454</v>
      </c>
      <c r="N118" s="22">
        <f t="shared" si="25"/>
        <v>8663.0439801987632</v>
      </c>
      <c r="O118" s="22">
        <f t="shared" si="26"/>
        <v>8663.0439801987632</v>
      </c>
      <c r="P118" s="22">
        <f t="shared" si="27"/>
        <v>3739.7363819042043</v>
      </c>
      <c r="Q118" s="22">
        <f t="shared" si="28"/>
        <v>3739.7363819042043</v>
      </c>
      <c r="R118" s="22">
        <f t="shared" si="29"/>
        <v>3851.1327874432168</v>
      </c>
      <c r="S118" s="22">
        <f t="shared" si="30"/>
        <v>3851.1327874432168</v>
      </c>
      <c r="T118" s="22">
        <f t="shared" si="31"/>
        <v>3851.1327874432168</v>
      </c>
      <c r="U118" s="22">
        <f t="shared" si="32"/>
        <v>3851.1327874432168</v>
      </c>
      <c r="V118" s="22">
        <f t="shared" si="33"/>
        <v>3820.0938433203523</v>
      </c>
      <c r="W118" s="22">
        <f t="shared" si="34"/>
        <v>3820.0938433203523</v>
      </c>
    </row>
    <row r="119" spans="1:23" x14ac:dyDescent="0.2">
      <c r="A119">
        <v>12</v>
      </c>
      <c r="B119" s="1">
        <v>36923</v>
      </c>
      <c r="C119" s="21"/>
      <c r="D119" s="22">
        <f t="shared" si="15"/>
        <v>26909.031874448541</v>
      </c>
      <c r="E119" s="22">
        <f t="shared" si="16"/>
        <v>23380.75469620651</v>
      </c>
      <c r="F119" s="22">
        <f t="shared" si="17"/>
        <v>16910.451962917559</v>
      </c>
      <c r="G119" s="22">
        <f t="shared" si="18"/>
        <v>16910.451962917559</v>
      </c>
      <c r="H119" s="22">
        <f t="shared" si="19"/>
        <v>12994.312910791259</v>
      </c>
      <c r="I119" s="22">
        <f t="shared" si="20"/>
        <v>12994.312910791259</v>
      </c>
      <c r="J119" s="22">
        <f t="shared" si="21"/>
        <v>12563.115438178598</v>
      </c>
      <c r="K119" s="22">
        <f t="shared" si="22"/>
        <v>12563.115438178598</v>
      </c>
      <c r="L119" s="22">
        <f t="shared" si="23"/>
        <v>12563.115438178598</v>
      </c>
      <c r="M119" s="22">
        <f t="shared" si="24"/>
        <v>12563.115438178598</v>
      </c>
      <c r="N119" s="22">
        <f t="shared" si="25"/>
        <v>9945.0973747252119</v>
      </c>
      <c r="O119" s="22">
        <f t="shared" si="26"/>
        <v>9945.0973747252119</v>
      </c>
      <c r="P119" s="22">
        <f t="shared" si="27"/>
        <v>3767.7921958859479</v>
      </c>
      <c r="Q119" s="22">
        <f t="shared" si="28"/>
        <v>3767.7921958859479</v>
      </c>
      <c r="R119" s="22">
        <f t="shared" si="29"/>
        <v>3880.0243065423479</v>
      </c>
      <c r="S119" s="22">
        <f t="shared" si="30"/>
        <v>3880.0243065423479</v>
      </c>
      <c r="T119" s="22">
        <f t="shared" si="31"/>
        <v>3880.0243065423479</v>
      </c>
      <c r="U119" s="22">
        <f t="shared" si="32"/>
        <v>3880.0243065423479</v>
      </c>
      <c r="V119" s="22">
        <f t="shared" si="33"/>
        <v>3848.7525056740947</v>
      </c>
      <c r="W119" s="22">
        <f t="shared" si="34"/>
        <v>3848.7525056740947</v>
      </c>
    </row>
    <row r="120" spans="1:23" x14ac:dyDescent="0.2">
      <c r="A120">
        <v>13</v>
      </c>
      <c r="B120" s="1">
        <v>36951</v>
      </c>
      <c r="C120" s="21"/>
      <c r="D120" s="22">
        <f t="shared" si="15"/>
        <v>35614.223257323305</v>
      </c>
      <c r="E120" s="22">
        <f t="shared" si="16"/>
        <v>31547.665591333673</v>
      </c>
      <c r="F120" s="22">
        <f t="shared" si="17"/>
        <v>18911.269457747694</v>
      </c>
      <c r="G120" s="22">
        <f t="shared" si="18"/>
        <v>18911.269457747694</v>
      </c>
      <c r="H120" s="22">
        <f t="shared" si="19"/>
        <v>14965.751204107422</v>
      </c>
      <c r="I120" s="22">
        <f t="shared" si="20"/>
        <v>14965.751204107422</v>
      </c>
      <c r="J120" s="22">
        <f t="shared" si="21"/>
        <v>13882.487510455432</v>
      </c>
      <c r="K120" s="22">
        <f t="shared" si="22"/>
        <v>13882.487510455432</v>
      </c>
      <c r="L120" s="22">
        <f t="shared" si="23"/>
        <v>13882.487510455432</v>
      </c>
      <c r="M120" s="22">
        <f t="shared" si="24"/>
        <v>13882.487510455432</v>
      </c>
      <c r="N120" s="22">
        <f t="shared" si="25"/>
        <v>11236.768840655181</v>
      </c>
      <c r="O120" s="22">
        <f t="shared" si="26"/>
        <v>11236.768840655181</v>
      </c>
      <c r="P120" s="22">
        <f t="shared" si="27"/>
        <v>3796.058486922167</v>
      </c>
      <c r="Q120" s="22">
        <f t="shared" si="28"/>
        <v>3796.058486922167</v>
      </c>
      <c r="R120" s="22">
        <f t="shared" si="29"/>
        <v>3909.1325722253869</v>
      </c>
      <c r="S120" s="22">
        <f t="shared" si="30"/>
        <v>3909.1325722253869</v>
      </c>
      <c r="T120" s="22">
        <f t="shared" si="31"/>
        <v>3909.1325722253869</v>
      </c>
      <c r="U120" s="22">
        <f t="shared" si="32"/>
        <v>3909.1325722253869</v>
      </c>
      <c r="V120" s="22">
        <f t="shared" si="33"/>
        <v>3877.626167701037</v>
      </c>
      <c r="W120" s="22">
        <f t="shared" si="34"/>
        <v>3877.626167701037</v>
      </c>
    </row>
    <row r="121" spans="1:23" x14ac:dyDescent="0.2">
      <c r="A121">
        <v>14</v>
      </c>
      <c r="B121" s="1">
        <v>36982</v>
      </c>
      <c r="C121" s="21"/>
      <c r="D121" s="22">
        <f>(D120)*(1+$G$14/12)</f>
        <v>35881.404128051676</v>
      </c>
      <c r="E121" s="22">
        <f>(E120)*(1+$G$14/12)</f>
        <v>31784.338807571989</v>
      </c>
      <c r="F121" s="22">
        <f t="shared" ref="F121:O124" si="35">(F120+F64)*(1+$G$14/12)</f>
        <v>20927.097252158837</v>
      </c>
      <c r="G121" s="22">
        <f t="shared" si="35"/>
        <v>20927.097252158837</v>
      </c>
      <c r="H121" s="22">
        <f t="shared" si="35"/>
        <v>16951.979391786568</v>
      </c>
      <c r="I121" s="22">
        <f t="shared" si="35"/>
        <v>16951.979391786568</v>
      </c>
      <c r="J121" s="22">
        <f t="shared" si="35"/>
        <v>15211.757621966161</v>
      </c>
      <c r="K121" s="22">
        <f t="shared" si="35"/>
        <v>15211.757621966161</v>
      </c>
      <c r="L121" s="22">
        <f t="shared" si="35"/>
        <v>15211.757621966161</v>
      </c>
      <c r="M121" s="22">
        <f t="shared" si="35"/>
        <v>15211.757621966161</v>
      </c>
      <c r="N121" s="22">
        <f t="shared" si="35"/>
        <v>12538.130533561845</v>
      </c>
      <c r="O121" s="22">
        <f t="shared" si="35"/>
        <v>12538.130533561845</v>
      </c>
      <c r="P121" s="22">
        <f t="shared" ref="P121:W124" si="36">(P120+P64)*(1+$G$14/12)</f>
        <v>3824.5368340292639</v>
      </c>
      <c r="Q121" s="22">
        <f t="shared" si="36"/>
        <v>3824.5368340292639</v>
      </c>
      <c r="R121" s="22">
        <f t="shared" si="36"/>
        <v>3938.4592105432689</v>
      </c>
      <c r="S121" s="22">
        <f t="shared" si="36"/>
        <v>3938.4592105432689</v>
      </c>
      <c r="T121" s="22">
        <f t="shared" si="36"/>
        <v>3938.4592105432689</v>
      </c>
      <c r="U121" s="22">
        <f t="shared" si="36"/>
        <v>3938.4592105432689</v>
      </c>
      <c r="V121" s="22">
        <f t="shared" si="36"/>
        <v>3906.7164423466438</v>
      </c>
      <c r="W121" s="22">
        <f t="shared" si="36"/>
        <v>3906.7164423466438</v>
      </c>
    </row>
    <row r="122" spans="1:23" x14ac:dyDescent="0.2">
      <c r="A122">
        <v>15</v>
      </c>
      <c r="B122" s="1">
        <v>37012</v>
      </c>
      <c r="C122" s="21"/>
      <c r="E122" s="22"/>
      <c r="F122" s="22">
        <f t="shared" si="35"/>
        <v>22958.047954669302</v>
      </c>
      <c r="G122" s="22">
        <f t="shared" si="35"/>
        <v>22958.047954669302</v>
      </c>
      <c r="H122" s="22">
        <f t="shared" si="35"/>
        <v>18953.1084288487</v>
      </c>
      <c r="I122" s="22">
        <f t="shared" si="35"/>
        <v>18953.1084288487</v>
      </c>
      <c r="J122" s="22">
        <f t="shared" si="35"/>
        <v>16551.000028625949</v>
      </c>
      <c r="K122" s="22">
        <f t="shared" si="35"/>
        <v>16551.000028625949</v>
      </c>
      <c r="L122" s="22">
        <f t="shared" si="35"/>
        <v>16551.000028625949</v>
      </c>
      <c r="M122" s="22">
        <f t="shared" si="35"/>
        <v>16551.000028625949</v>
      </c>
      <c r="N122" s="22">
        <f t="shared" si="35"/>
        <v>13849.255150335503</v>
      </c>
      <c r="O122" s="22">
        <f t="shared" si="35"/>
        <v>13849.255150335503</v>
      </c>
      <c r="P122" s="22">
        <f t="shared" si="36"/>
        <v>5070.2913447362207</v>
      </c>
      <c r="Q122" s="22">
        <f t="shared" si="36"/>
        <v>5070.2913447362207</v>
      </c>
      <c r="R122" s="22">
        <f t="shared" si="36"/>
        <v>3968.0058597456982</v>
      </c>
      <c r="S122" s="22">
        <f t="shared" si="36"/>
        <v>3968.0058597456982</v>
      </c>
      <c r="T122" s="22">
        <f t="shared" si="36"/>
        <v>3968.0058597456982</v>
      </c>
      <c r="U122" s="22">
        <f t="shared" si="36"/>
        <v>3968.0058597456982</v>
      </c>
      <c r="V122" s="22">
        <f t="shared" si="36"/>
        <v>3936.0249546568316</v>
      </c>
      <c r="W122" s="22">
        <f t="shared" si="36"/>
        <v>3936.0249546568316</v>
      </c>
    </row>
    <row r="123" spans="1:23" x14ac:dyDescent="0.2">
      <c r="A123">
        <v>16</v>
      </c>
      <c r="B123" s="1">
        <v>37043</v>
      </c>
      <c r="C123" s="21"/>
      <c r="E123" s="22"/>
      <c r="F123" s="22">
        <f t="shared" si="35"/>
        <v>25004.235018595893</v>
      </c>
      <c r="G123" s="22">
        <f t="shared" si="35"/>
        <v>25004.235018595893</v>
      </c>
      <c r="H123" s="22">
        <f t="shared" si="35"/>
        <v>20969.250102707625</v>
      </c>
      <c r="I123" s="22">
        <f t="shared" si="35"/>
        <v>20969.250102707625</v>
      </c>
      <c r="J123" s="22">
        <f t="shared" si="35"/>
        <v>17900.289543424034</v>
      </c>
      <c r="K123" s="22">
        <f t="shared" si="35"/>
        <v>17900.289543424034</v>
      </c>
      <c r="L123" s="22">
        <f t="shared" si="35"/>
        <v>17900.289543424034</v>
      </c>
      <c r="M123" s="22">
        <f t="shared" si="35"/>
        <v>17900.289543424034</v>
      </c>
      <c r="N123" s="22">
        <f t="shared" si="35"/>
        <v>15170.215933244581</v>
      </c>
      <c r="O123" s="22">
        <f t="shared" si="35"/>
        <v>15170.215933244581</v>
      </c>
      <c r="P123" s="22">
        <f t="shared" si="36"/>
        <v>6325.3916095953764</v>
      </c>
      <c r="Q123" s="22">
        <f t="shared" si="36"/>
        <v>6325.3916095953764</v>
      </c>
      <c r="R123" s="22">
        <f t="shared" si="36"/>
        <v>3997.7741703726651</v>
      </c>
      <c r="S123" s="22">
        <f t="shared" si="36"/>
        <v>3997.7741703726651</v>
      </c>
      <c r="T123" s="22">
        <f t="shared" si="36"/>
        <v>4632.5004828726651</v>
      </c>
      <c r="U123" s="22">
        <f t="shared" si="36"/>
        <v>4632.5004828726651</v>
      </c>
      <c r="V123" s="22">
        <f t="shared" si="36"/>
        <v>3965.5533418687464</v>
      </c>
      <c r="W123" s="22">
        <f t="shared" si="36"/>
        <v>3965.5533418687464</v>
      </c>
    </row>
    <row r="124" spans="1:23" x14ac:dyDescent="0.2">
      <c r="A124">
        <v>17</v>
      </c>
      <c r="B124" s="1">
        <v>37073</v>
      </c>
      <c r="C124" s="21"/>
      <c r="E124" s="22"/>
      <c r="F124" s="22">
        <f t="shared" si="35"/>
        <v>33709.241485891645</v>
      </c>
      <c r="G124" s="22">
        <f t="shared" si="35"/>
        <v>33709.241485891645</v>
      </c>
      <c r="H124" s="22">
        <f t="shared" si="35"/>
        <v>23000.517039415645</v>
      </c>
      <c r="I124" s="22">
        <f t="shared" si="35"/>
        <v>23000.517039415645</v>
      </c>
      <c r="J124" s="22">
        <f t="shared" si="35"/>
        <v>19259.701540602928</v>
      </c>
      <c r="K124" s="22">
        <f t="shared" si="35"/>
        <v>19259.701540602928</v>
      </c>
      <c r="L124" s="22">
        <f t="shared" si="35"/>
        <v>19259.701540602928</v>
      </c>
      <c r="M124" s="22">
        <f t="shared" si="35"/>
        <v>19259.701540602928</v>
      </c>
      <c r="N124" s="22">
        <f t="shared" si="35"/>
        <v>16501.086674027109</v>
      </c>
      <c r="O124" s="22">
        <f t="shared" si="35"/>
        <v>16501.086674027109</v>
      </c>
      <c r="P124" s="22">
        <f t="shared" si="36"/>
        <v>7589.9077412331944</v>
      </c>
      <c r="Q124" s="22">
        <f t="shared" si="36"/>
        <v>7589.9077412331944</v>
      </c>
      <c r="R124" s="22">
        <f t="shared" si="36"/>
        <v>5297.2184303466483</v>
      </c>
      <c r="S124" s="22">
        <f t="shared" si="36"/>
        <v>5297.2184303466483</v>
      </c>
      <c r="T124" s="22">
        <f t="shared" si="36"/>
        <v>5936.7065125368817</v>
      </c>
      <c r="U124" s="22">
        <f t="shared" si="36"/>
        <v>5936.7065125368817</v>
      </c>
      <c r="V124" s="22">
        <f t="shared" si="36"/>
        <v>3995.3032535022239</v>
      </c>
      <c r="W124" s="22">
        <f t="shared" si="36"/>
        <v>3995.3032535022239</v>
      </c>
    </row>
    <row r="125" spans="1:23" x14ac:dyDescent="0.2">
      <c r="A125">
        <v>18</v>
      </c>
      <c r="B125" s="1">
        <v>37104</v>
      </c>
      <c r="C125" s="21"/>
      <c r="E125" s="22"/>
      <c r="F125" s="22">
        <f>(F124)*(1+$G$14/12)</f>
        <v>33962.131024622257</v>
      </c>
      <c r="G125" s="22">
        <f>(G124)*(1+$G$14/12)</f>
        <v>33962.131024622257</v>
      </c>
      <c r="H125" s="22">
        <f t="shared" ref="H125:W126" si="37">(H124+H68)*(1+$G$14/12)</f>
        <v>25047.02270995509</v>
      </c>
      <c r="I125" s="22">
        <f t="shared" si="37"/>
        <v>25047.02270995509</v>
      </c>
      <c r="J125" s="22">
        <f t="shared" si="37"/>
        <v>20629.311959868992</v>
      </c>
      <c r="K125" s="22">
        <f t="shared" si="37"/>
        <v>20629.311959868992</v>
      </c>
      <c r="L125" s="22">
        <f t="shared" si="37"/>
        <v>20629.311959868992</v>
      </c>
      <c r="M125" s="22">
        <f t="shared" si="37"/>
        <v>20629.311959868992</v>
      </c>
      <c r="N125" s="22">
        <f t="shared" si="37"/>
        <v>17841.94171801288</v>
      </c>
      <c r="O125" s="22">
        <f t="shared" si="37"/>
        <v>17841.94171801288</v>
      </c>
      <c r="P125" s="22">
        <f t="shared" si="37"/>
        <v>8863.9103782669026</v>
      </c>
      <c r="Q125" s="22">
        <f t="shared" si="37"/>
        <v>8863.9103782669026</v>
      </c>
      <c r="R125" s="22">
        <f t="shared" si="37"/>
        <v>6606.4112294459774</v>
      </c>
      <c r="S125" s="22">
        <f t="shared" si="37"/>
        <v>6606.4112294459774</v>
      </c>
      <c r="T125" s="22">
        <f t="shared" si="37"/>
        <v>7250.6968045194753</v>
      </c>
      <c r="U125" s="22">
        <f t="shared" si="37"/>
        <v>7250.6968045194753</v>
      </c>
      <c r="V125" s="22">
        <f t="shared" si="37"/>
        <v>4025.2763514519352</v>
      </c>
      <c r="W125" s="22">
        <f t="shared" si="37"/>
        <v>4025.2763514519352</v>
      </c>
    </row>
    <row r="126" spans="1:23" x14ac:dyDescent="0.2">
      <c r="A126">
        <v>19</v>
      </c>
      <c r="B126" s="1">
        <v>37135</v>
      </c>
      <c r="C126" s="21"/>
      <c r="E126" s="22"/>
      <c r="H126" s="22">
        <f t="shared" si="37"/>
        <v>33752.350174077066</v>
      </c>
      <c r="I126" s="22">
        <f t="shared" si="37"/>
        <v>33752.350174077066</v>
      </c>
      <c r="J126" s="22">
        <f t="shared" si="37"/>
        <v>22009.19731063459</v>
      </c>
      <c r="K126" s="22">
        <f t="shared" si="37"/>
        <v>22009.19731063459</v>
      </c>
      <c r="L126" s="22">
        <f t="shared" si="37"/>
        <v>22009.19731063459</v>
      </c>
      <c r="M126" s="22">
        <f t="shared" si="37"/>
        <v>22009.19731063459</v>
      </c>
      <c r="N126" s="22">
        <f t="shared" si="37"/>
        <v>19192.855968276555</v>
      </c>
      <c r="O126" s="22">
        <f t="shared" si="37"/>
        <v>19192.855968276555</v>
      </c>
      <c r="P126" s="22">
        <f t="shared" si="37"/>
        <v>10147.470689250526</v>
      </c>
      <c r="Q126" s="22">
        <f t="shared" si="37"/>
        <v>10147.470689250526</v>
      </c>
      <c r="R126" s="22">
        <f t="shared" si="37"/>
        <v>7925.4257020235491</v>
      </c>
      <c r="S126" s="22">
        <f t="shared" si="37"/>
        <v>7925.4257020235491</v>
      </c>
      <c r="T126" s="22">
        <f t="shared" si="37"/>
        <v>8574.5447611717136</v>
      </c>
      <c r="U126" s="22">
        <f t="shared" si="37"/>
        <v>8574.5447611717136</v>
      </c>
      <c r="V126" s="22">
        <f t="shared" si="37"/>
        <v>4055.4743100802234</v>
      </c>
      <c r="W126" s="22">
        <f t="shared" si="37"/>
        <v>4055.4743100802234</v>
      </c>
    </row>
    <row r="127" spans="1:23" x14ac:dyDescent="0.2">
      <c r="A127">
        <v>20</v>
      </c>
      <c r="B127" s="1">
        <v>37165</v>
      </c>
      <c r="C127" s="21"/>
      <c r="E127" s="22"/>
      <c r="H127" s="22">
        <f>(H126)*(1+$G$14/12)</f>
        <v>34005.563117778838</v>
      </c>
      <c r="I127" s="22">
        <f>(I126)*(1+$G$14/12)</f>
        <v>34005.563117778838</v>
      </c>
      <c r="J127" s="22">
        <f t="shared" ref="J127:W130" si="38">(J126+J70)*(1+$G$14/12)</f>
        <v>23399.43467629208</v>
      </c>
      <c r="K127" s="22">
        <f t="shared" si="38"/>
        <v>23399.43467629208</v>
      </c>
      <c r="L127" s="22">
        <f t="shared" si="38"/>
        <v>23399.43467629208</v>
      </c>
      <c r="M127" s="22">
        <f t="shared" si="38"/>
        <v>23399.43467629208</v>
      </c>
      <c r="N127" s="22">
        <f t="shared" si="38"/>
        <v>20553.904889821893</v>
      </c>
      <c r="O127" s="22">
        <f t="shared" si="38"/>
        <v>20553.904889821893</v>
      </c>
      <c r="P127" s="22">
        <f t="shared" si="38"/>
        <v>11440.660376650507</v>
      </c>
      <c r="Q127" s="22">
        <f t="shared" si="38"/>
        <v>11440.660376650507</v>
      </c>
      <c r="R127" s="22">
        <f t="shared" si="38"/>
        <v>9254.3355310922707</v>
      </c>
      <c r="S127" s="22">
        <f t="shared" si="38"/>
        <v>9254.3355310922707</v>
      </c>
      <c r="T127" s="22">
        <f t="shared" si="38"/>
        <v>9908.3243355154191</v>
      </c>
      <c r="U127" s="22">
        <f t="shared" si="38"/>
        <v>9908.3243355154191</v>
      </c>
      <c r="V127" s="22">
        <f t="shared" si="38"/>
        <v>5345.2764204773039</v>
      </c>
      <c r="W127" s="22">
        <f t="shared" si="38"/>
        <v>5345.2764204773039</v>
      </c>
    </row>
    <row r="128" spans="1:23" x14ac:dyDescent="0.2">
      <c r="A128">
        <v>21</v>
      </c>
      <c r="B128" s="1">
        <v>37196</v>
      </c>
      <c r="C128" s="21"/>
      <c r="E128" s="22"/>
      <c r="J128" s="22">
        <f t="shared" si="38"/>
        <v>24800.101718519843</v>
      </c>
      <c r="K128" s="22">
        <f t="shared" si="38"/>
        <v>24800.101718519843</v>
      </c>
      <c r="L128" s="22">
        <f t="shared" si="38"/>
        <v>24800.101718519843</v>
      </c>
      <c r="M128" s="22">
        <f t="shared" si="38"/>
        <v>24800.101718519843</v>
      </c>
      <c r="N128" s="22">
        <f t="shared" si="38"/>
        <v>21925.164513797408</v>
      </c>
      <c r="O128" s="22">
        <f t="shared" si="38"/>
        <v>21925.164513797408</v>
      </c>
      <c r="P128" s="22">
        <f t="shared" si="38"/>
        <v>12743.551680851169</v>
      </c>
      <c r="Q128" s="22">
        <f t="shared" si="38"/>
        <v>12743.551680851169</v>
      </c>
      <c r="R128" s="22">
        <f t="shared" si="38"/>
        <v>10593.214952441151</v>
      </c>
      <c r="S128" s="22">
        <f t="shared" si="38"/>
        <v>10593.214952441151</v>
      </c>
      <c r="T128" s="22">
        <f t="shared" si="38"/>
        <v>11252.110035374149</v>
      </c>
      <c r="U128" s="22">
        <f t="shared" si="38"/>
        <v>11252.110035374149</v>
      </c>
      <c r="V128" s="22">
        <f t="shared" si="38"/>
        <v>6644.7547337900924</v>
      </c>
      <c r="W128" s="22">
        <f t="shared" si="38"/>
        <v>6644.7547337900924</v>
      </c>
    </row>
    <row r="129" spans="1:23" x14ac:dyDescent="0.2">
      <c r="A129">
        <v>22</v>
      </c>
      <c r="B129" s="1">
        <v>37226</v>
      </c>
      <c r="C129" s="21"/>
      <c r="E129" s="22"/>
      <c r="F129" s="22"/>
      <c r="G129" s="22"/>
      <c r="J129" s="22">
        <f t="shared" si="38"/>
        <v>26386.582044120652</v>
      </c>
      <c r="K129" s="22">
        <f t="shared" si="38"/>
        <v>26386.582044120652</v>
      </c>
      <c r="L129" s="22">
        <f t="shared" si="38"/>
        <v>26386.582044120652</v>
      </c>
      <c r="M129" s="22">
        <f t="shared" si="38"/>
        <v>26386.582044120652</v>
      </c>
      <c r="N129" s="22">
        <f t="shared" si="38"/>
        <v>23306.711441743624</v>
      </c>
      <c r="O129" s="22">
        <f t="shared" si="38"/>
        <v>23306.711441743624</v>
      </c>
      <c r="P129" s="22">
        <f t="shared" si="38"/>
        <v>14056.21738419022</v>
      </c>
      <c r="Q129" s="22">
        <f t="shared" si="38"/>
        <v>14056.21738419022</v>
      </c>
      <c r="R129" s="22">
        <f t="shared" si="38"/>
        <v>11942.138758782276</v>
      </c>
      <c r="S129" s="22">
        <f t="shared" si="38"/>
        <v>11942.138758782276</v>
      </c>
      <c r="T129" s="22">
        <f t="shared" si="38"/>
        <v>12605.976927535361</v>
      </c>
      <c r="U129" s="22">
        <f t="shared" si="38"/>
        <v>12605.976927535361</v>
      </c>
      <c r="V129" s="22">
        <f t="shared" si="38"/>
        <v>7953.981841699213</v>
      </c>
      <c r="W129" s="22">
        <f t="shared" si="38"/>
        <v>7953.981841699213</v>
      </c>
    </row>
    <row r="130" spans="1:23" x14ac:dyDescent="0.2">
      <c r="A130">
        <v>23</v>
      </c>
      <c r="B130" s="1">
        <v>37257</v>
      </c>
      <c r="C130" s="21"/>
      <c r="E130" s="22"/>
      <c r="F130" s="22"/>
      <c r="G130" s="22"/>
      <c r="J130" s="22">
        <f t="shared" si="38"/>
        <v>35334.691975247479</v>
      </c>
      <c r="K130" s="22">
        <f t="shared" si="38"/>
        <v>35334.691975247479</v>
      </c>
      <c r="L130" s="22">
        <f t="shared" si="38"/>
        <v>35334.691975247479</v>
      </c>
      <c r="M130" s="22">
        <f t="shared" si="38"/>
        <v>35334.691975247479</v>
      </c>
      <c r="N130" s="22">
        <f t="shared" si="38"/>
        <v>24698.622849872201</v>
      </c>
      <c r="O130" s="22">
        <f t="shared" si="38"/>
        <v>24698.622849872201</v>
      </c>
      <c r="P130" s="22">
        <f t="shared" si="38"/>
        <v>15378.73081502453</v>
      </c>
      <c r="Q130" s="22">
        <f t="shared" si="38"/>
        <v>15378.73081502453</v>
      </c>
      <c r="R130" s="22">
        <f t="shared" si="38"/>
        <v>13301.182303928888</v>
      </c>
      <c r="S130" s="22">
        <f t="shared" si="38"/>
        <v>13301.182303928888</v>
      </c>
      <c r="T130" s="22">
        <f t="shared" si="38"/>
        <v>13970.000641943807</v>
      </c>
      <c r="U130" s="22">
        <f t="shared" si="38"/>
        <v>13970.000641943807</v>
      </c>
      <c r="V130" s="22">
        <f t="shared" si="38"/>
        <v>9273.0308804741271</v>
      </c>
      <c r="W130" s="22">
        <f t="shared" si="38"/>
        <v>9273.0308804741271</v>
      </c>
    </row>
    <row r="131" spans="1:23" x14ac:dyDescent="0.2">
      <c r="A131">
        <v>24</v>
      </c>
      <c r="B131" s="1">
        <v>37288</v>
      </c>
      <c r="C131" s="21"/>
      <c r="E131" s="22"/>
      <c r="F131" s="22"/>
      <c r="G131" s="22"/>
      <c r="J131" s="22">
        <f>(J130)*(1+$G$14/12)</f>
        <v>35599.775779003445</v>
      </c>
      <c r="K131" s="22">
        <f>(K130)*(1+$G$14/12)</f>
        <v>35599.775779003445</v>
      </c>
      <c r="L131" s="22">
        <f>(L130)*(1+$G$14/12)</f>
        <v>35599.775779003445</v>
      </c>
      <c r="M131" s="22">
        <f>(M130)*(1+$G$14/12)</f>
        <v>35599.775779003445</v>
      </c>
      <c r="N131" s="22">
        <f t="shared" ref="N131:W132" si="39">(N130+N74)*(1+$G$14/12)</f>
        <v>26274.266851710512</v>
      </c>
      <c r="O131" s="22">
        <f t="shared" si="39"/>
        <v>26274.266851710512</v>
      </c>
      <c r="P131" s="22">
        <f t="shared" si="39"/>
        <v>16711.165851826412</v>
      </c>
      <c r="Q131" s="22">
        <f t="shared" si="39"/>
        <v>16711.165851826412</v>
      </c>
      <c r="R131" s="22">
        <f t="shared" si="39"/>
        <v>14670.421507004819</v>
      </c>
      <c r="S131" s="22">
        <f t="shared" si="39"/>
        <v>14670.421507004819</v>
      </c>
      <c r="T131" s="22">
        <f t="shared" si="39"/>
        <v>15344.257375926389</v>
      </c>
      <c r="U131" s="22">
        <f t="shared" si="39"/>
        <v>15344.257375926389</v>
      </c>
      <c r="V131" s="22">
        <f t="shared" si="39"/>
        <v>10601.975535058684</v>
      </c>
      <c r="W131" s="22">
        <f t="shared" si="39"/>
        <v>10601.975535058684</v>
      </c>
    </row>
    <row r="132" spans="1:23" x14ac:dyDescent="0.2">
      <c r="A132">
        <v>25</v>
      </c>
      <c r="B132" s="1">
        <v>37316</v>
      </c>
      <c r="C132" s="21"/>
      <c r="E132" s="22"/>
      <c r="F132" s="22"/>
      <c r="G132" s="22"/>
      <c r="H132" s="22"/>
      <c r="I132" s="22"/>
      <c r="N132" s="22">
        <f t="shared" si="39"/>
        <v>35161.084059904279</v>
      </c>
      <c r="O132" s="22">
        <f t="shared" si="39"/>
        <v>35161.084059904279</v>
      </c>
      <c r="P132" s="22">
        <f t="shared" si="39"/>
        <v>18053.596927310635</v>
      </c>
      <c r="Q132" s="22">
        <f t="shared" si="39"/>
        <v>18053.596927310635</v>
      </c>
      <c r="R132" s="22">
        <f t="shared" si="39"/>
        <v>16049.932856685493</v>
      </c>
      <c r="S132" s="22">
        <f t="shared" si="39"/>
        <v>16049.932856685493</v>
      </c>
      <c r="T132" s="22">
        <f t="shared" si="39"/>
        <v>16728.823898448703</v>
      </c>
      <c r="U132" s="22">
        <f t="shared" si="39"/>
        <v>16728.823898448703</v>
      </c>
      <c r="V132" s="22">
        <f t="shared" si="39"/>
        <v>11940.890043187321</v>
      </c>
      <c r="W132" s="22">
        <f t="shared" si="39"/>
        <v>11940.890043187321</v>
      </c>
    </row>
    <row r="133" spans="1:23" x14ac:dyDescent="0.2">
      <c r="A133">
        <v>26</v>
      </c>
      <c r="B133" s="1">
        <v>37347</v>
      </c>
      <c r="C133" s="21"/>
      <c r="E133" s="22"/>
      <c r="F133" s="22"/>
      <c r="G133" s="22"/>
      <c r="H133" s="22"/>
      <c r="I133" s="22"/>
      <c r="N133" s="22">
        <f>(N132)*(1+$G$14/12)</f>
        <v>35424.865442612012</v>
      </c>
      <c r="O133" s="22">
        <f>(O132)*(1+$G$14/12)</f>
        <v>35424.865442612012</v>
      </c>
      <c r="P133" s="22">
        <f t="shared" ref="P133:W139" si="40">(P132+P76)*(1+$G$14/12)</f>
        <v>19406.099032592396</v>
      </c>
      <c r="Q133" s="22">
        <f t="shared" si="40"/>
        <v>19406.099032592396</v>
      </c>
      <c r="R133" s="22">
        <f t="shared" si="40"/>
        <v>17439.793415470751</v>
      </c>
      <c r="S133" s="22">
        <f t="shared" si="40"/>
        <v>17439.793415470751</v>
      </c>
      <c r="T133" s="22">
        <f t="shared" si="40"/>
        <v>18123.777554403521</v>
      </c>
      <c r="U133" s="22">
        <f t="shared" si="40"/>
        <v>18123.777554403521</v>
      </c>
      <c r="V133" s="22">
        <f t="shared" si="40"/>
        <v>13289.849199532147</v>
      </c>
      <c r="W133" s="22">
        <f t="shared" si="40"/>
        <v>13289.849199532147</v>
      </c>
    </row>
    <row r="134" spans="1:23" x14ac:dyDescent="0.2">
      <c r="A134">
        <v>27</v>
      </c>
      <c r="B134" s="1">
        <v>37377</v>
      </c>
      <c r="C134" s="21"/>
      <c r="E134" s="22"/>
      <c r="F134" s="22"/>
      <c r="G134" s="22"/>
      <c r="H134" s="22"/>
      <c r="I134" s="22"/>
      <c r="P134" s="22">
        <f t="shared" si="40"/>
        <v>20768.747721376487</v>
      </c>
      <c r="Q134" s="22">
        <f t="shared" si="40"/>
        <v>20768.747721376487</v>
      </c>
      <c r="R134" s="22">
        <f t="shared" si="40"/>
        <v>18840.080823989731</v>
      </c>
      <c r="S134" s="22">
        <f t="shared" si="40"/>
        <v>18840.080823989731</v>
      </c>
      <c r="T134" s="22">
        <f t="shared" si="40"/>
        <v>19529.19626893145</v>
      </c>
      <c r="U134" s="22">
        <f t="shared" si="40"/>
        <v>19529.19626893145</v>
      </c>
      <c r="V134" s="22">
        <f t="shared" si="40"/>
        <v>14648.928359881136</v>
      </c>
      <c r="W134" s="22">
        <f t="shared" si="40"/>
        <v>14648.928359881136</v>
      </c>
    </row>
    <row r="135" spans="1:23" x14ac:dyDescent="0.2">
      <c r="A135">
        <v>28</v>
      </c>
      <c r="B135" s="1">
        <v>37408</v>
      </c>
      <c r="C135" s="21"/>
      <c r="E135" s="22"/>
      <c r="F135" s="22"/>
      <c r="G135" s="22"/>
      <c r="H135" s="22"/>
      <c r="I135" s="22"/>
      <c r="P135" s="22">
        <f t="shared" si="40"/>
        <v>22141.619114177895</v>
      </c>
      <c r="Q135" s="22">
        <f t="shared" si="40"/>
        <v>22141.619114177895</v>
      </c>
      <c r="R135" s="22">
        <f t="shared" si="40"/>
        <v>20250.873305338035</v>
      </c>
      <c r="S135" s="22">
        <f t="shared" si="40"/>
        <v>20250.873305338035</v>
      </c>
      <c r="T135" s="22">
        <f t="shared" si="40"/>
        <v>20945.158551773995</v>
      </c>
      <c r="U135" s="22">
        <f t="shared" si="40"/>
        <v>20945.158551773995</v>
      </c>
      <c r="V135" s="22">
        <f t="shared" si="40"/>
        <v>16018.203445347659</v>
      </c>
      <c r="W135" s="22">
        <f t="shared" si="40"/>
        <v>16018.203445347659</v>
      </c>
    </row>
    <row r="136" spans="1:23" x14ac:dyDescent="0.2">
      <c r="A136">
        <v>29</v>
      </c>
      <c r="B136" s="1">
        <v>37438</v>
      </c>
      <c r="C136" s="21"/>
      <c r="E136" s="22"/>
      <c r="F136" s="22"/>
      <c r="G136" s="22"/>
      <c r="H136" s="22"/>
      <c r="I136" s="22"/>
      <c r="P136" s="22">
        <f t="shared" si="40"/>
        <v>23524.789902574048</v>
      </c>
      <c r="Q136" s="22">
        <f t="shared" si="40"/>
        <v>23524.789902574048</v>
      </c>
      <c r="R136" s="22">
        <f t="shared" si="40"/>
        <v>21672.249669447454</v>
      </c>
      <c r="S136" s="22">
        <f t="shared" si="40"/>
        <v>21672.249669447454</v>
      </c>
      <c r="T136" s="22">
        <f t="shared" si="40"/>
        <v>22371.743501659279</v>
      </c>
      <c r="U136" s="22">
        <f t="shared" si="40"/>
        <v>22371.743501659279</v>
      </c>
      <c r="V136" s="22">
        <f t="shared" si="40"/>
        <v>17397.75094661161</v>
      </c>
      <c r="W136" s="22">
        <f t="shared" si="40"/>
        <v>17397.75094661161</v>
      </c>
    </row>
    <row r="137" spans="1:23" x14ac:dyDescent="0.2">
      <c r="A137">
        <v>30</v>
      </c>
      <c r="B137" s="1">
        <v>37469</v>
      </c>
      <c r="C137" s="21"/>
      <c r="E137" s="22"/>
      <c r="F137" s="22"/>
      <c r="G137" s="22"/>
      <c r="H137" s="22"/>
      <c r="I137" s="22"/>
      <c r="P137" s="22">
        <f t="shared" si="40"/>
        <v>24918.33735348898</v>
      </c>
      <c r="Q137" s="22">
        <f t="shared" si="40"/>
        <v>24918.33735348898</v>
      </c>
      <c r="R137" s="22">
        <f t="shared" si="40"/>
        <v>23104.289317488452</v>
      </c>
      <c r="S137" s="22">
        <f t="shared" si="40"/>
        <v>23104.289317488452</v>
      </c>
      <c r="T137" s="22">
        <f t="shared" si="40"/>
        <v>23809.030810720684</v>
      </c>
      <c r="U137" s="22">
        <f t="shared" si="40"/>
        <v>23809.030810720684</v>
      </c>
      <c r="V137" s="22">
        <f t="shared" si="40"/>
        <v>18787.647928192335</v>
      </c>
      <c r="W137" s="22">
        <f t="shared" si="40"/>
        <v>18787.647928192335</v>
      </c>
    </row>
    <row r="138" spans="1:23" x14ac:dyDescent="0.2">
      <c r="A138">
        <v>31</v>
      </c>
      <c r="B138" s="1">
        <v>37500</v>
      </c>
      <c r="C138" s="21"/>
      <c r="E138" s="22"/>
      <c r="F138" s="22"/>
      <c r="G138" s="22"/>
      <c r="H138" s="22"/>
      <c r="I138" s="22"/>
      <c r="J138" s="22"/>
      <c r="K138" s="22"/>
      <c r="L138" s="22"/>
      <c r="M138" s="22"/>
      <c r="P138" s="22">
        <f t="shared" si="40"/>
        <v>26495.629671842966</v>
      </c>
      <c r="Q138" s="22">
        <f t="shared" si="40"/>
        <v>26495.629671842966</v>
      </c>
      <c r="R138" s="22">
        <f t="shared" si="40"/>
        <v>24547.072246305692</v>
      </c>
      <c r="S138" s="22">
        <f t="shared" si="40"/>
        <v>24547.072246305692</v>
      </c>
      <c r="T138" s="22">
        <f t="shared" si="40"/>
        <v>25257.10076894861</v>
      </c>
      <c r="U138" s="22">
        <f t="shared" si="40"/>
        <v>25257.10076894861</v>
      </c>
      <c r="V138" s="22">
        <f t="shared" si="40"/>
        <v>20187.972032753627</v>
      </c>
      <c r="W138" s="22">
        <f t="shared" si="40"/>
        <v>20187.972032753627</v>
      </c>
    </row>
    <row r="139" spans="1:23" x14ac:dyDescent="0.2">
      <c r="A139">
        <v>32</v>
      </c>
      <c r="B139" s="1">
        <v>37530</v>
      </c>
      <c r="C139" s="21"/>
      <c r="E139" s="22"/>
      <c r="F139" s="22"/>
      <c r="G139" s="22"/>
      <c r="H139" s="22"/>
      <c r="I139" s="22"/>
      <c r="J139" s="22"/>
      <c r="K139" s="22"/>
      <c r="L139" s="22"/>
      <c r="M139" s="22"/>
      <c r="P139" s="22">
        <f t="shared" si="40"/>
        <v>35384.107562360266</v>
      </c>
      <c r="Q139" s="22">
        <f t="shared" si="40"/>
        <v>35384.107562360266</v>
      </c>
      <c r="R139" s="22">
        <f t="shared" si="40"/>
        <v>26000.67905288683</v>
      </c>
      <c r="S139" s="22">
        <f t="shared" si="40"/>
        <v>26000.67905288683</v>
      </c>
      <c r="T139" s="22">
        <f t="shared" si="40"/>
        <v>26806.709456175657</v>
      </c>
      <c r="U139" s="22">
        <f t="shared" si="40"/>
        <v>26806.709456175657</v>
      </c>
      <c r="V139" s="22">
        <f t="shared" si="40"/>
        <v>21598.801485441014</v>
      </c>
      <c r="W139" s="22">
        <f t="shared" si="40"/>
        <v>21598.801485441014</v>
      </c>
    </row>
    <row r="140" spans="1:23" x14ac:dyDescent="0.2">
      <c r="A140">
        <v>33</v>
      </c>
      <c r="B140" s="1">
        <v>37561</v>
      </c>
      <c r="C140" s="21"/>
      <c r="E140" s="22"/>
      <c r="F140" s="22"/>
      <c r="G140" s="22"/>
      <c r="H140" s="22"/>
      <c r="I140" s="22"/>
      <c r="J140" s="22"/>
      <c r="K140" s="22"/>
      <c r="L140" s="22"/>
      <c r="M140" s="22"/>
      <c r="P140" s="22">
        <f>(P139)*(1+$G$14/12)</f>
        <v>35649.562085968719</v>
      </c>
      <c r="Q140" s="22">
        <f>(Q139)*(1+$G$14/12)</f>
        <v>35649.562085968719</v>
      </c>
      <c r="R140" s="22">
        <f t="shared" ref="R140:W141" si="41">(R139+R83)*(1+$G$14/12)</f>
        <v>27646.54131386484</v>
      </c>
      <c r="S140" s="22">
        <f t="shared" si="41"/>
        <v>27646.54131386484</v>
      </c>
      <c r="T140" s="22">
        <f t="shared" si="41"/>
        <v>32266.976499408338</v>
      </c>
      <c r="U140" s="22">
        <f t="shared" si="41"/>
        <v>32266.976499408338</v>
      </c>
      <c r="V140" s="22">
        <f t="shared" si="41"/>
        <v>23020.215098251581</v>
      </c>
      <c r="W140" s="22">
        <f t="shared" si="41"/>
        <v>23020.215098251581</v>
      </c>
    </row>
    <row r="141" spans="1:23" x14ac:dyDescent="0.2">
      <c r="A141">
        <v>34</v>
      </c>
      <c r="B141" s="1">
        <v>37591</v>
      </c>
      <c r="C141" s="21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R141" s="22">
        <f t="shared" si="41"/>
        <v>36921.466720679899</v>
      </c>
      <c r="S141" s="22">
        <f t="shared" si="41"/>
        <v>36921.466720679899</v>
      </c>
      <c r="T141" s="22">
        <f t="shared" si="41"/>
        <v>37949.557296021601</v>
      </c>
      <c r="U141" s="22">
        <f t="shared" si="41"/>
        <v>37949.557296021601</v>
      </c>
      <c r="V141" s="22">
        <f t="shared" si="41"/>
        <v>24452.292274436586</v>
      </c>
      <c r="W141" s="22">
        <f t="shared" si="41"/>
        <v>24452.292274436586</v>
      </c>
    </row>
    <row r="142" spans="1:23" x14ac:dyDescent="0.2">
      <c r="A142">
        <v>35</v>
      </c>
      <c r="B142" s="1">
        <v>37622</v>
      </c>
      <c r="C142" s="21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R142" s="22">
        <f>(R141)*(1+$G$14/12)</f>
        <v>37198.454640807329</v>
      </c>
      <c r="S142" s="22">
        <f>(S141)*(1+$G$14/12)</f>
        <v>37198.454640807329</v>
      </c>
      <c r="T142" s="22">
        <f>(T141)*(1+$G$14/12)</f>
        <v>38234.258037319458</v>
      </c>
      <c r="U142" s="22">
        <f>(U141)*(1+$G$14/12)</f>
        <v>38234.258037319458</v>
      </c>
      <c r="V142" s="22">
        <f t="shared" ref="V142:W144" si="42">(V141+V85)*(1+$G$14/12)</f>
        <v>25895.113012937098</v>
      </c>
      <c r="W142" s="22">
        <f t="shared" si="42"/>
        <v>25895.113012937098</v>
      </c>
    </row>
    <row r="143" spans="1:23" x14ac:dyDescent="0.2">
      <c r="A143">
        <v>36</v>
      </c>
      <c r="B143" s="1">
        <v>37653</v>
      </c>
      <c r="C143" s="21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V143" s="22">
        <f t="shared" si="42"/>
        <v>27528.093283686234</v>
      </c>
      <c r="W143" s="22">
        <f t="shared" si="42"/>
        <v>27528.093283686234</v>
      </c>
    </row>
    <row r="144" spans="1:23" x14ac:dyDescent="0.2">
      <c r="A144">
        <v>37</v>
      </c>
      <c r="B144" s="1">
        <v>37681</v>
      </c>
      <c r="C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V144" s="22">
        <f t="shared" si="42"/>
        <v>36726.567427258218</v>
      </c>
      <c r="W144" s="22">
        <f t="shared" si="42"/>
        <v>36726.567427258218</v>
      </c>
    </row>
    <row r="145" spans="1:23" x14ac:dyDescent="0.2">
      <c r="A145">
        <v>38</v>
      </c>
      <c r="B145" s="1">
        <v>37712</v>
      </c>
      <c r="C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V145" s="22">
        <f>(V144)*(1+$G$14/12)</f>
        <v>37002.09319664479</v>
      </c>
      <c r="W145" s="22">
        <f>(W144)*(1+$G$14/12)</f>
        <v>37002.09319664479</v>
      </c>
    </row>
    <row r="146" spans="1:23" x14ac:dyDescent="0.2">
      <c r="C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23" x14ac:dyDescent="0.2">
      <c r="C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23" x14ac:dyDescent="0.2">
      <c r="C148" s="21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23" x14ac:dyDescent="0.2">
      <c r="C149" s="21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V149" s="22"/>
      <c r="W149" s="22"/>
    </row>
    <row r="150" spans="1:23" x14ac:dyDescent="0.2">
      <c r="A150" s="23" t="s">
        <v>47</v>
      </c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3" x14ac:dyDescent="0.2">
      <c r="A151" s="23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3" x14ac:dyDescent="0.2">
      <c r="A152" s="21" t="s">
        <v>44</v>
      </c>
      <c r="B152" s="21"/>
      <c r="C152" s="21"/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</row>
    <row r="153" spans="1:23" x14ac:dyDescent="0.2">
      <c r="A153" s="21"/>
      <c r="B153" s="21"/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x14ac:dyDescent="0.2">
      <c r="A154" s="21" t="s">
        <v>43</v>
      </c>
      <c r="B154" s="21"/>
      <c r="C154" s="21"/>
      <c r="D154" s="22">
        <v>35619</v>
      </c>
      <c r="E154" s="22">
        <v>31727</v>
      </c>
      <c r="F154" s="22">
        <v>33818</v>
      </c>
      <c r="G154" s="22">
        <v>33818</v>
      </c>
      <c r="H154" s="22">
        <v>33818</v>
      </c>
      <c r="I154" s="22">
        <v>33818</v>
      </c>
      <c r="J154" s="22">
        <v>34741</v>
      </c>
      <c r="K154" s="22">
        <v>34741</v>
      </c>
      <c r="L154" s="22">
        <v>34741</v>
      </c>
      <c r="M154" s="22">
        <v>34741</v>
      </c>
      <c r="N154" s="22">
        <v>34509</v>
      </c>
      <c r="O154" s="22">
        <v>34509</v>
      </c>
      <c r="P154" s="22">
        <v>34509</v>
      </c>
      <c r="Q154" s="22">
        <v>34509</v>
      </c>
      <c r="R154" s="22">
        <v>36000</v>
      </c>
      <c r="S154" s="22">
        <v>36000</v>
      </c>
      <c r="T154" s="22">
        <v>36000</v>
      </c>
      <c r="U154" s="22">
        <v>36000</v>
      </c>
      <c r="V154" s="22">
        <v>35709</v>
      </c>
      <c r="W154" s="22">
        <v>35709</v>
      </c>
    </row>
    <row r="156" spans="1:23" x14ac:dyDescent="0.2">
      <c r="A156" t="s">
        <v>39</v>
      </c>
      <c r="D156" s="11">
        <v>42000</v>
      </c>
      <c r="E156" s="11">
        <v>42000</v>
      </c>
      <c r="F156" s="11">
        <v>40000</v>
      </c>
      <c r="G156" s="11">
        <v>40000</v>
      </c>
      <c r="H156" s="11">
        <v>40000</v>
      </c>
      <c r="I156" s="11">
        <v>40000</v>
      </c>
      <c r="J156" s="11">
        <v>40000</v>
      </c>
      <c r="K156" s="11">
        <v>40000</v>
      </c>
      <c r="L156" s="11">
        <v>40000</v>
      </c>
      <c r="M156" s="11">
        <v>40000</v>
      </c>
      <c r="N156" s="11">
        <v>37000</v>
      </c>
      <c r="O156" s="11">
        <v>37000</v>
      </c>
      <c r="P156" s="11">
        <v>37000</v>
      </c>
      <c r="Q156" s="11">
        <v>37000</v>
      </c>
      <c r="R156" s="11">
        <v>37000</v>
      </c>
      <c r="S156" s="11">
        <v>37000</v>
      </c>
      <c r="T156" s="11">
        <v>37000</v>
      </c>
      <c r="U156" s="11">
        <v>37000</v>
      </c>
      <c r="V156" s="11">
        <v>37000</v>
      </c>
      <c r="W156" s="11">
        <v>37000</v>
      </c>
    </row>
    <row r="158" spans="1:23" x14ac:dyDescent="0.2">
      <c r="A158" t="s">
        <v>48</v>
      </c>
      <c r="D158" s="6">
        <f t="shared" ref="D158:W158" si="43">IF(D152=1,D156-D99,0)</f>
        <v>0</v>
      </c>
      <c r="E158" s="6">
        <f t="shared" si="43"/>
        <v>0</v>
      </c>
      <c r="F158" s="6">
        <f t="shared" si="43"/>
        <v>0</v>
      </c>
      <c r="G158" s="6">
        <f t="shared" si="43"/>
        <v>0</v>
      </c>
      <c r="H158" s="6">
        <f t="shared" si="43"/>
        <v>0</v>
      </c>
      <c r="I158" s="6">
        <f t="shared" si="43"/>
        <v>0</v>
      </c>
      <c r="J158" s="6">
        <f t="shared" si="43"/>
        <v>0</v>
      </c>
      <c r="K158" s="6">
        <f t="shared" si="43"/>
        <v>0</v>
      </c>
      <c r="L158" s="6">
        <f t="shared" si="43"/>
        <v>0</v>
      </c>
      <c r="M158" s="6">
        <f t="shared" si="43"/>
        <v>0</v>
      </c>
      <c r="N158" s="6">
        <f t="shared" si="43"/>
        <v>0</v>
      </c>
      <c r="O158" s="6">
        <f t="shared" si="43"/>
        <v>0</v>
      </c>
      <c r="P158" s="6">
        <f t="shared" si="43"/>
        <v>0</v>
      </c>
      <c r="Q158" s="6">
        <f t="shared" si="43"/>
        <v>0</v>
      </c>
      <c r="R158" s="6">
        <f t="shared" si="43"/>
        <v>0</v>
      </c>
      <c r="S158" s="6">
        <f t="shared" si="43"/>
        <v>0</v>
      </c>
      <c r="T158" s="6">
        <f t="shared" si="43"/>
        <v>0</v>
      </c>
      <c r="U158" s="6">
        <f t="shared" si="43"/>
        <v>0</v>
      </c>
      <c r="V158" s="6">
        <f t="shared" si="43"/>
        <v>0</v>
      </c>
      <c r="W158" s="6">
        <f t="shared" si="43"/>
        <v>0</v>
      </c>
    </row>
    <row r="159" spans="1:23" x14ac:dyDescent="0.2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2">
      <c r="A160" t="s">
        <v>45</v>
      </c>
      <c r="D160" s="25">
        <f t="shared" ref="D160:W160" ca="1" si="44">(1+$M$16)^YEARFRAC($A$3,D23)</f>
        <v>1.1161283478351551</v>
      </c>
      <c r="E160" s="25">
        <f t="shared" ca="1" si="44"/>
        <v>1.1161283478351551</v>
      </c>
      <c r="F160" s="25">
        <f t="shared" ca="1" si="44"/>
        <v>1.1590979726085722</v>
      </c>
      <c r="G160" s="25">
        <f t="shared" ca="1" si="44"/>
        <v>1.1590979726085722</v>
      </c>
      <c r="H160" s="25">
        <f t="shared" ca="1" si="44"/>
        <v>1.1811992158404869</v>
      </c>
      <c r="I160" s="25">
        <f t="shared" ca="1" si="44"/>
        <v>1.1811992158404869</v>
      </c>
      <c r="J160" s="25">
        <f t="shared" ca="1" si="44"/>
        <v>1.2151437448915459</v>
      </c>
      <c r="K160" s="25">
        <f t="shared" ca="1" si="44"/>
        <v>1.2151437448915459</v>
      </c>
      <c r="L160" s="25">
        <f t="shared" ca="1" si="44"/>
        <v>1.2151437448915459</v>
      </c>
      <c r="M160" s="25">
        <f t="shared" ca="1" si="44"/>
        <v>1.2151437448915459</v>
      </c>
      <c r="N160" s="25">
        <f t="shared" ca="1" si="44"/>
        <v>1.2500637495753739</v>
      </c>
      <c r="O160" s="25">
        <f t="shared" ca="1" si="44"/>
        <v>1.2500637495753739</v>
      </c>
      <c r="P160" s="25">
        <f t="shared" ca="1" si="44"/>
        <v>1.3354962550877798</v>
      </c>
      <c r="Q160" s="25">
        <f t="shared" ca="1" si="44"/>
        <v>1.3354962550877798</v>
      </c>
      <c r="R160" s="25">
        <f t="shared" ca="1" si="44"/>
        <v>1.3609609942785315</v>
      </c>
      <c r="S160" s="25">
        <f t="shared" ca="1" si="44"/>
        <v>1.3609609942785315</v>
      </c>
      <c r="T160" s="25">
        <f t="shared" ca="1" si="44"/>
        <v>1.3738748713452846</v>
      </c>
      <c r="U160" s="25">
        <f t="shared" ca="1" si="44"/>
        <v>1.3738748713452846</v>
      </c>
      <c r="V160" s="25">
        <f t="shared" ca="1" si="44"/>
        <v>1.4000713995244187</v>
      </c>
      <c r="W160" s="25">
        <f t="shared" ca="1" si="44"/>
        <v>1.4000713995244187</v>
      </c>
    </row>
    <row r="161" spans="1:24" x14ac:dyDescent="0.2">
      <c r="C161" s="25"/>
    </row>
    <row r="162" spans="1:24" x14ac:dyDescent="0.2">
      <c r="A162" t="s">
        <v>49</v>
      </c>
      <c r="C162" s="4">
        <f ca="1">SUMPRODUCT(D158:W158,1/D160:W160)</f>
        <v>0</v>
      </c>
    </row>
    <row r="163" spans="1:24" x14ac:dyDescent="0.2">
      <c r="C163" s="4"/>
    </row>
    <row r="164" spans="1:24" x14ac:dyDescent="0.2">
      <c r="C164" s="4"/>
    </row>
    <row r="165" spans="1:24" x14ac:dyDescent="0.2">
      <c r="A165" s="31" t="s">
        <v>72</v>
      </c>
      <c r="C165" s="4"/>
    </row>
    <row r="166" spans="1:24" x14ac:dyDescent="0.2">
      <c r="A166" s="31"/>
      <c r="C166" s="4"/>
    </row>
    <row r="167" spans="1:24" x14ac:dyDescent="0.2">
      <c r="A167" s="31"/>
      <c r="C167" s="4"/>
    </row>
    <row r="168" spans="1:24" x14ac:dyDescent="0.2">
      <c r="C168" s="4"/>
      <c r="D168" t="s">
        <v>61</v>
      </c>
    </row>
    <row r="169" spans="1:24" x14ac:dyDescent="0.2">
      <c r="B169" s="58" t="s">
        <v>88</v>
      </c>
      <c r="C169" s="40">
        <f>Sheet2!AD43</f>
        <v>72901.886266092159</v>
      </c>
      <c r="D169" s="39">
        <v>0.15</v>
      </c>
      <c r="E169" s="39">
        <f>+D169+0.01</f>
        <v>0.16</v>
      </c>
      <c r="F169" s="39">
        <f t="shared" ref="F169:X169" si="45">+E169+0.01</f>
        <v>0.17</v>
      </c>
      <c r="G169" s="39">
        <f t="shared" si="45"/>
        <v>0.18000000000000002</v>
      </c>
      <c r="H169" s="39">
        <f t="shared" si="45"/>
        <v>0.19000000000000003</v>
      </c>
      <c r="I169" s="39">
        <f t="shared" si="45"/>
        <v>0.20000000000000004</v>
      </c>
      <c r="J169" s="39">
        <f t="shared" si="45"/>
        <v>0.21000000000000005</v>
      </c>
      <c r="K169" s="39">
        <f t="shared" si="45"/>
        <v>0.22000000000000006</v>
      </c>
      <c r="L169" s="39">
        <f t="shared" si="45"/>
        <v>0.23000000000000007</v>
      </c>
      <c r="M169" s="39">
        <f t="shared" si="45"/>
        <v>0.24000000000000007</v>
      </c>
      <c r="N169" s="39">
        <f t="shared" si="45"/>
        <v>0.25000000000000006</v>
      </c>
      <c r="O169" s="39">
        <f t="shared" si="45"/>
        <v>0.26000000000000006</v>
      </c>
      <c r="P169" s="39">
        <f t="shared" si="45"/>
        <v>0.27000000000000007</v>
      </c>
      <c r="Q169" s="39">
        <f t="shared" si="45"/>
        <v>0.28000000000000008</v>
      </c>
      <c r="R169" s="39">
        <f t="shared" si="45"/>
        <v>0.29000000000000009</v>
      </c>
      <c r="S169" s="39">
        <f t="shared" si="45"/>
        <v>0.3000000000000001</v>
      </c>
      <c r="T169" s="39">
        <f t="shared" si="45"/>
        <v>0.31000000000000011</v>
      </c>
      <c r="U169" s="39">
        <f t="shared" si="45"/>
        <v>0.32000000000000012</v>
      </c>
      <c r="V169" s="39">
        <f t="shared" si="45"/>
        <v>0.33000000000000013</v>
      </c>
      <c r="W169" s="39">
        <f t="shared" si="45"/>
        <v>0.34000000000000014</v>
      </c>
      <c r="X169" s="39">
        <f t="shared" si="45"/>
        <v>0.35000000000000014</v>
      </c>
    </row>
    <row r="170" spans="1:24" x14ac:dyDescent="0.2">
      <c r="C170" s="56">
        <v>200</v>
      </c>
      <c r="D170" s="4">
        <f t="dataTable" ref="D170:X190" dt2D="1" dtr="0" r1="M18" r2="G11" ca="1"/>
        <v>63928.915585903502</v>
      </c>
      <c r="E170" s="4">
        <v>65354.111398838599</v>
      </c>
      <c r="F170" s="4">
        <v>66794.726974135468</v>
      </c>
      <c r="G170" s="4">
        <v>68250.974804733836</v>
      </c>
      <c r="H170" s="4">
        <v>69723.070878121987</v>
      </c>
      <c r="I170" s="4">
        <v>71211.234741943379</v>
      </c>
      <c r="J170" s="4">
        <v>72715.68957094058</v>
      </c>
      <c r="K170" s="4">
        <v>74236.66223525301</v>
      </c>
      <c r="L170" s="4">
        <v>75774.383370111173</v>
      </c>
      <c r="M170" s="4">
        <v>77329.087446944177</v>
      </c>
      <c r="N170" s="4">
        <v>78901.012845940117</v>
      </c>
      <c r="O170" s="4">
        <v>80490.40193008323</v>
      </c>
      <c r="P170" s="4">
        <v>82097.501120699584</v>
      </c>
      <c r="Q170" s="4">
        <v>83722.560974550172</v>
      </c>
      <c r="R170" s="4">
        <v>85365.836262490251</v>
      </c>
      <c r="S170" s="4">
        <v>87027.58604974355</v>
      </c>
      <c r="T170" s="4">
        <v>88708.073777812358</v>
      </c>
      <c r="U170" s="4">
        <v>90407.567348063443</v>
      </c>
      <c r="V170" s="4">
        <v>92126.339207028868</v>
      </c>
      <c r="W170" s="4">
        <v>93864.666433446138</v>
      </c>
      <c r="X170" s="4">
        <v>95622.830827089463</v>
      </c>
    </row>
    <row r="171" spans="1:24" x14ac:dyDescent="0.2">
      <c r="C171" s="57">
        <f>+C170+25</f>
        <v>225</v>
      </c>
      <c r="D171" s="4">
        <v>64772.779647328149</v>
      </c>
      <c r="E171" s="4">
        <v>66197.975460263231</v>
      </c>
      <c r="F171" s="4">
        <v>67638.591035560181</v>
      </c>
      <c r="G171" s="4">
        <v>69094.838866158461</v>
      </c>
      <c r="H171" s="4">
        <v>70566.934939546627</v>
      </c>
      <c r="I171" s="4">
        <v>72055.098803368077</v>
      </c>
      <c r="J171" s="4">
        <v>73559.553632365234</v>
      </c>
      <c r="K171" s="4">
        <v>75080.526296677679</v>
      </c>
      <c r="L171" s="4">
        <v>76618.247431535841</v>
      </c>
      <c r="M171" s="4">
        <v>78172.951508368875</v>
      </c>
      <c r="N171" s="4">
        <v>79744.876907364771</v>
      </c>
      <c r="O171" s="4">
        <v>81334.265991507898</v>
      </c>
      <c r="P171" s="4">
        <v>82941.365182124253</v>
      </c>
      <c r="Q171" s="4">
        <v>84566.425035974826</v>
      </c>
      <c r="R171" s="4">
        <v>86209.700323914876</v>
      </c>
      <c r="S171" s="4">
        <v>87871.450111168204</v>
      </c>
      <c r="T171" s="4">
        <v>89551.937839236998</v>
      </c>
      <c r="U171" s="4">
        <v>91251.431409488112</v>
      </c>
      <c r="V171" s="4">
        <v>92970.203268453479</v>
      </c>
      <c r="W171" s="4">
        <v>94708.530494870822</v>
      </c>
      <c r="X171" s="4">
        <v>96466.694888514146</v>
      </c>
    </row>
    <row r="172" spans="1:24" x14ac:dyDescent="0.2">
      <c r="C172" s="57">
        <f t="shared" ref="C172:C190" si="46">+C171+25</f>
        <v>250</v>
      </c>
      <c r="D172" s="4">
        <v>65619.567110052303</v>
      </c>
      <c r="E172" s="4">
        <v>67044.762922987356</v>
      </c>
      <c r="F172" s="4">
        <v>68485.378498284248</v>
      </c>
      <c r="G172" s="4">
        <v>69941.626328882601</v>
      </c>
      <c r="H172" s="4">
        <v>71413.722402270767</v>
      </c>
      <c r="I172" s="4">
        <v>72901.886266092159</v>
      </c>
      <c r="J172" s="4">
        <v>74406.341095089374</v>
      </c>
      <c r="K172" s="4">
        <v>75927.313759401819</v>
      </c>
      <c r="L172" s="4">
        <v>77465.034894259967</v>
      </c>
      <c r="M172" s="4">
        <v>79019.738971092971</v>
      </c>
      <c r="N172" s="4">
        <v>80591.664370088954</v>
      </c>
      <c r="O172" s="4">
        <v>82181.053454231995</v>
      </c>
      <c r="P172" s="4">
        <v>83788.152644848393</v>
      </c>
      <c r="Q172" s="4">
        <v>85413.212498698995</v>
      </c>
      <c r="R172" s="4">
        <v>87056.487786639074</v>
      </c>
      <c r="S172" s="4">
        <v>88718.237573892344</v>
      </c>
      <c r="T172" s="4">
        <v>90398.725301961153</v>
      </c>
      <c r="U172" s="4">
        <v>92098.218872212223</v>
      </c>
      <c r="V172" s="4">
        <v>93816.990731177619</v>
      </c>
      <c r="W172" s="4">
        <v>95555.317957594933</v>
      </c>
      <c r="X172" s="4">
        <v>97313.482351238257</v>
      </c>
    </row>
    <row r="173" spans="1:24" x14ac:dyDescent="0.2">
      <c r="C173" s="57">
        <f t="shared" si="46"/>
        <v>275</v>
      </c>
      <c r="D173" s="4">
        <v>66469.291052903034</v>
      </c>
      <c r="E173" s="4">
        <v>67894.486865838058</v>
      </c>
      <c r="F173" s="4">
        <v>69335.102441135037</v>
      </c>
      <c r="G173" s="4">
        <v>70791.350271733332</v>
      </c>
      <c r="H173" s="4">
        <v>72263.446345121527</v>
      </c>
      <c r="I173" s="4">
        <v>73751.610208942977</v>
      </c>
      <c r="J173" s="4">
        <v>75256.065037940134</v>
      </c>
      <c r="K173" s="4">
        <v>76777.037702252535</v>
      </c>
      <c r="L173" s="4">
        <v>78314.758837110727</v>
      </c>
      <c r="M173" s="4">
        <v>79869.462913943746</v>
      </c>
      <c r="N173" s="4">
        <v>81441.388312939656</v>
      </c>
      <c r="O173" s="4">
        <v>83030.777397082769</v>
      </c>
      <c r="P173" s="4">
        <v>84637.876587699109</v>
      </c>
      <c r="Q173" s="4">
        <v>86262.936441549697</v>
      </c>
      <c r="R173" s="4">
        <v>87906.21172948982</v>
      </c>
      <c r="S173" s="4">
        <v>89567.961516743089</v>
      </c>
      <c r="T173" s="4">
        <v>91248.449244811898</v>
      </c>
      <c r="U173" s="4">
        <v>92947.942815062997</v>
      </c>
      <c r="V173" s="4">
        <v>94666.714674028379</v>
      </c>
      <c r="W173" s="4">
        <v>96405.041900445722</v>
      </c>
      <c r="X173" s="4">
        <v>98163.206294089003</v>
      </c>
    </row>
    <row r="174" spans="1:24" x14ac:dyDescent="0.2">
      <c r="C174" s="57">
        <f t="shared" si="46"/>
        <v>300</v>
      </c>
      <c r="D174" s="4">
        <v>67321.96462218641</v>
      </c>
      <c r="E174" s="4">
        <v>68747.160435121448</v>
      </c>
      <c r="F174" s="4">
        <v>70187.776010418384</v>
      </c>
      <c r="G174" s="4">
        <v>71644.023841016708</v>
      </c>
      <c r="H174" s="4">
        <v>73116.119914404888</v>
      </c>
      <c r="I174" s="4">
        <v>74604.283778226309</v>
      </c>
      <c r="J174" s="4">
        <v>76108.738607223495</v>
      </c>
      <c r="K174" s="4">
        <v>77629.711271535911</v>
      </c>
      <c r="L174" s="4">
        <v>79167.432406394102</v>
      </c>
      <c r="M174" s="4">
        <v>80722.136483227092</v>
      </c>
      <c r="N174" s="4">
        <v>82294.061882223017</v>
      </c>
      <c r="O174" s="4">
        <v>83883.450966366159</v>
      </c>
      <c r="P174" s="4">
        <v>85490.550156982514</v>
      </c>
      <c r="Q174" s="4">
        <v>87115.610010833101</v>
      </c>
      <c r="R174" s="4">
        <v>88758.885298773152</v>
      </c>
      <c r="S174" s="4">
        <v>90420.63508602645</v>
      </c>
      <c r="T174" s="4">
        <v>92101.12281409523</v>
      </c>
      <c r="U174" s="4">
        <v>93800.616384346358</v>
      </c>
      <c r="V174" s="4">
        <v>95519.388243311711</v>
      </c>
      <c r="W174" s="4">
        <v>97257.715469729068</v>
      </c>
      <c r="X174" s="4">
        <v>99015.879863372364</v>
      </c>
    </row>
    <row r="175" spans="1:24" x14ac:dyDescent="0.2">
      <c r="C175" s="57">
        <f t="shared" si="46"/>
        <v>325</v>
      </c>
      <c r="D175" s="4">
        <v>68177.601032063903</v>
      </c>
      <c r="E175" s="4">
        <v>69602.796844998942</v>
      </c>
      <c r="F175" s="4">
        <v>71043.412420295877</v>
      </c>
      <c r="G175" s="4">
        <v>72499.660250894201</v>
      </c>
      <c r="H175" s="4">
        <v>73971.756324282353</v>
      </c>
      <c r="I175" s="4">
        <v>75459.920188103817</v>
      </c>
      <c r="J175" s="4">
        <v>76964.375017101003</v>
      </c>
      <c r="K175" s="4">
        <v>78485.347681413376</v>
      </c>
      <c r="L175" s="4">
        <v>80023.068816271581</v>
      </c>
      <c r="M175" s="4">
        <v>81577.7728931046</v>
      </c>
      <c r="N175" s="4">
        <v>83149.698292100511</v>
      </c>
      <c r="O175" s="4">
        <v>84739.087376243639</v>
      </c>
      <c r="P175" s="4">
        <v>86346.186566859978</v>
      </c>
      <c r="Q175" s="4">
        <v>87971.246420710551</v>
      </c>
      <c r="R175" s="4">
        <v>89614.52170865066</v>
      </c>
      <c r="S175" s="4">
        <v>91276.271495903959</v>
      </c>
      <c r="T175" s="4">
        <v>92956.759223972724</v>
      </c>
      <c r="U175" s="4">
        <v>94656.252794223867</v>
      </c>
      <c r="V175" s="4">
        <v>96375.024653189263</v>
      </c>
      <c r="W175" s="4">
        <v>98113.351879606562</v>
      </c>
      <c r="X175" s="4">
        <v>99871.516273249872</v>
      </c>
    </row>
    <row r="176" spans="1:24" x14ac:dyDescent="0.2">
      <c r="C176" s="57">
        <f t="shared" si="46"/>
        <v>350</v>
      </c>
      <c r="D176" s="4">
        <v>69036.213564931299</v>
      </c>
      <c r="E176" s="4">
        <v>70461.40937786641</v>
      </c>
      <c r="F176" s="4">
        <v>71902.024953163273</v>
      </c>
      <c r="G176" s="4">
        <v>73358.272783761669</v>
      </c>
      <c r="H176" s="4">
        <v>74830.368857149806</v>
      </c>
      <c r="I176" s="4">
        <v>76318.532720971198</v>
      </c>
      <c r="J176" s="4">
        <v>77822.987549968399</v>
      </c>
      <c r="K176" s="4">
        <v>79343.960214280829</v>
      </c>
      <c r="L176" s="4">
        <v>80881.681349139035</v>
      </c>
      <c r="M176" s="4">
        <v>82436.385425972039</v>
      </c>
      <c r="N176" s="4">
        <v>84008.310824967935</v>
      </c>
      <c r="O176" s="4">
        <v>85597.699909111092</v>
      </c>
      <c r="P176" s="4">
        <v>87204.799099727403</v>
      </c>
      <c r="Q176" s="4">
        <v>88829.858953578005</v>
      </c>
      <c r="R176" s="4">
        <v>90473.134241518055</v>
      </c>
      <c r="S176" s="4">
        <v>92134.884028771427</v>
      </c>
      <c r="T176" s="4">
        <v>93815.371756840177</v>
      </c>
      <c r="U176" s="4">
        <v>95514.865327091247</v>
      </c>
      <c r="V176" s="4">
        <v>97233.637186056643</v>
      </c>
      <c r="W176" s="4">
        <v>98971.964412473957</v>
      </c>
      <c r="X176" s="4">
        <v>100730.12880611731</v>
      </c>
    </row>
    <row r="177" spans="3:24" x14ac:dyDescent="0.2">
      <c r="C177" s="57">
        <f t="shared" si="46"/>
        <v>375</v>
      </c>
      <c r="D177" s="4">
        <v>69897.815571797473</v>
      </c>
      <c r="E177" s="4">
        <v>71323.011384732497</v>
      </c>
      <c r="F177" s="4">
        <v>72763.626960029433</v>
      </c>
      <c r="G177" s="4">
        <v>74219.874790627742</v>
      </c>
      <c r="H177" s="4">
        <v>75691.970864015981</v>
      </c>
      <c r="I177" s="4">
        <v>77180.134727837358</v>
      </c>
      <c r="J177" s="4">
        <v>78684.589556834544</v>
      </c>
      <c r="K177" s="4">
        <v>80205.562221146974</v>
      </c>
      <c r="L177" s="4">
        <v>81743.283356005151</v>
      </c>
      <c r="M177" s="4">
        <v>83297.987432838185</v>
      </c>
      <c r="N177" s="4">
        <v>84869.912831834052</v>
      </c>
      <c r="O177" s="4">
        <v>86459.301915977238</v>
      </c>
      <c r="P177" s="4">
        <v>88066.401106593534</v>
      </c>
      <c r="Q177" s="4">
        <v>89691.46096044415</v>
      </c>
      <c r="R177" s="4">
        <v>91334.736248384215</v>
      </c>
      <c r="S177" s="4">
        <v>92996.486035637558</v>
      </c>
      <c r="T177" s="4">
        <v>94676.973763706337</v>
      </c>
      <c r="U177" s="4">
        <v>96376.467333957436</v>
      </c>
      <c r="V177" s="4">
        <v>98095.239192922803</v>
      </c>
      <c r="W177" s="4">
        <v>99833.566419340161</v>
      </c>
      <c r="X177" s="4">
        <v>101591.73081298347</v>
      </c>
    </row>
    <row r="178" spans="3:24" x14ac:dyDescent="0.2">
      <c r="C178" s="57">
        <f t="shared" si="46"/>
        <v>400</v>
      </c>
      <c r="D178" s="4">
        <v>70762.420472664322</v>
      </c>
      <c r="E178" s="4">
        <v>72187.616285599419</v>
      </c>
      <c r="F178" s="4">
        <v>73628.231860896325</v>
      </c>
      <c r="G178" s="4">
        <v>75084.479691494693</v>
      </c>
      <c r="H178" s="4">
        <v>76556.5757648828</v>
      </c>
      <c r="I178" s="4">
        <v>78044.73962870425</v>
      </c>
      <c r="J178" s="4">
        <v>79549.194457701466</v>
      </c>
      <c r="K178" s="4">
        <v>81070.167122013867</v>
      </c>
      <c r="L178" s="4">
        <v>82607.888256872015</v>
      </c>
      <c r="M178" s="4">
        <v>84162.592333705092</v>
      </c>
      <c r="N178" s="4">
        <v>85734.517732701002</v>
      </c>
      <c r="O178" s="4">
        <v>87323.906816844086</v>
      </c>
      <c r="P178" s="4">
        <v>88931.006007460441</v>
      </c>
      <c r="Q178" s="4">
        <v>90556.065861311043</v>
      </c>
      <c r="R178" s="4">
        <v>92199.341149251122</v>
      </c>
      <c r="S178" s="4">
        <v>93861.090936504421</v>
      </c>
      <c r="T178" s="4">
        <v>95541.578664573244</v>
      </c>
      <c r="U178" s="4">
        <v>97241.072234824329</v>
      </c>
      <c r="V178" s="4">
        <v>98959.844093789725</v>
      </c>
      <c r="W178" s="4">
        <v>100698.17132020698</v>
      </c>
      <c r="X178" s="4">
        <v>102456.33571385031</v>
      </c>
    </row>
    <row r="179" spans="3:24" x14ac:dyDescent="0.2">
      <c r="C179" s="57">
        <f t="shared" si="46"/>
        <v>425</v>
      </c>
      <c r="D179" s="4">
        <v>71630.041756913764</v>
      </c>
      <c r="E179" s="4">
        <v>73055.237569848832</v>
      </c>
      <c r="F179" s="4">
        <v>74495.853145145753</v>
      </c>
      <c r="G179" s="4">
        <v>75952.100975744092</v>
      </c>
      <c r="H179" s="4">
        <v>77424.197049132257</v>
      </c>
      <c r="I179" s="4">
        <v>78912.360912953634</v>
      </c>
      <c r="J179" s="4">
        <v>80416.81574195085</v>
      </c>
      <c r="K179" s="4">
        <v>81937.788406263266</v>
      </c>
      <c r="L179" s="4">
        <v>83475.509541121486</v>
      </c>
      <c r="M179" s="4">
        <v>85030.213617954461</v>
      </c>
      <c r="N179" s="4">
        <v>86602.139016950445</v>
      </c>
      <c r="O179" s="4">
        <v>88191.5281010935</v>
      </c>
      <c r="P179" s="4">
        <v>89798.627291709825</v>
      </c>
      <c r="Q179" s="4">
        <v>91423.687145560456</v>
      </c>
      <c r="R179" s="4">
        <v>93066.962433500521</v>
      </c>
      <c r="S179" s="4">
        <v>94728.712220753834</v>
      </c>
      <c r="T179" s="4">
        <v>96409.199948822614</v>
      </c>
      <c r="U179" s="4">
        <v>98108.693519073713</v>
      </c>
      <c r="V179" s="4">
        <v>99827.465378039095</v>
      </c>
      <c r="W179" s="4">
        <v>101565.79260445642</v>
      </c>
      <c r="X179" s="4">
        <v>103323.95699809978</v>
      </c>
    </row>
    <row r="180" spans="3:24" x14ac:dyDescent="0.2">
      <c r="C180" s="57">
        <f t="shared" si="46"/>
        <v>450</v>
      </c>
      <c r="D180" s="4">
        <v>72500.692983693851</v>
      </c>
      <c r="E180" s="4">
        <v>73925.888796628918</v>
      </c>
      <c r="F180" s="4">
        <v>75366.50437192581</v>
      </c>
      <c r="G180" s="4">
        <v>76822.752202524207</v>
      </c>
      <c r="H180" s="4">
        <v>78294.848275912344</v>
      </c>
      <c r="I180" s="4">
        <v>79783.012139733764</v>
      </c>
      <c r="J180" s="4">
        <v>81287.466968730951</v>
      </c>
      <c r="K180" s="4">
        <v>82808.439633043352</v>
      </c>
      <c r="L180" s="4">
        <v>84346.160767901572</v>
      </c>
      <c r="M180" s="4">
        <v>85900.864844734577</v>
      </c>
      <c r="N180" s="4">
        <v>87472.790243730487</v>
      </c>
      <c r="O180" s="4">
        <v>89062.179327873542</v>
      </c>
      <c r="P180" s="4">
        <v>90669.27851848994</v>
      </c>
      <c r="Q180" s="4">
        <v>92294.338372340557</v>
      </c>
      <c r="R180" s="4">
        <v>93937.613660280593</v>
      </c>
      <c r="S180" s="4">
        <v>95599.36344753392</v>
      </c>
      <c r="T180" s="4">
        <v>97279.8511756027</v>
      </c>
      <c r="U180" s="4">
        <v>98979.344745853814</v>
      </c>
      <c r="V180" s="4">
        <v>100698.1166048192</v>
      </c>
      <c r="W180" s="4">
        <v>102436.44383123649</v>
      </c>
      <c r="X180" s="4">
        <v>104194.60822487986</v>
      </c>
    </row>
    <row r="181" spans="3:24" x14ac:dyDescent="0.2">
      <c r="C181" s="57">
        <f t="shared" si="46"/>
        <v>475</v>
      </c>
      <c r="D181" s="4">
        <v>73374.387782305363</v>
      </c>
      <c r="E181" s="4">
        <v>74799.583595240445</v>
      </c>
      <c r="F181" s="4">
        <v>76240.199170537366</v>
      </c>
      <c r="G181" s="4">
        <v>77696.447001135733</v>
      </c>
      <c r="H181" s="4">
        <v>79168.54307452387</v>
      </c>
      <c r="I181" s="4">
        <v>80656.706938345276</v>
      </c>
      <c r="J181" s="4">
        <v>82161.161767342506</v>
      </c>
      <c r="K181" s="4">
        <v>83682.134431654922</v>
      </c>
      <c r="L181" s="4">
        <v>85219.855566513128</v>
      </c>
      <c r="M181" s="4">
        <v>86774.559643346132</v>
      </c>
      <c r="N181" s="4">
        <v>88346.485042342101</v>
      </c>
      <c r="O181" s="4">
        <v>89935.874126485171</v>
      </c>
      <c r="P181" s="4">
        <v>91542.973317101525</v>
      </c>
      <c r="Q181" s="4">
        <v>93168.033170952098</v>
      </c>
      <c r="R181" s="4">
        <v>94811.308458892163</v>
      </c>
      <c r="S181" s="4">
        <v>96473.058246145461</v>
      </c>
      <c r="T181" s="4">
        <v>98153.54597421427</v>
      </c>
      <c r="U181" s="4">
        <v>99853.039544465413</v>
      </c>
      <c r="V181" s="4">
        <v>101571.81140343078</v>
      </c>
      <c r="W181" s="4">
        <v>103310.13862984806</v>
      </c>
      <c r="X181" s="4">
        <v>105068.3030234914</v>
      </c>
    </row>
    <row r="182" spans="3:24" x14ac:dyDescent="0.2">
      <c r="C182" s="57">
        <f t="shared" si="46"/>
        <v>500</v>
      </c>
      <c r="D182" s="4">
        <v>74251.139852591572</v>
      </c>
      <c r="E182" s="4">
        <v>75676.335665526654</v>
      </c>
      <c r="F182" s="4">
        <v>77116.951240823546</v>
      </c>
      <c r="G182" s="4">
        <v>78573.199071421928</v>
      </c>
      <c r="H182" s="4">
        <v>80045.295144810094</v>
      </c>
      <c r="I182" s="4">
        <v>81533.459008631471</v>
      </c>
      <c r="J182" s="4">
        <v>83037.913837628672</v>
      </c>
      <c r="K182" s="4">
        <v>84558.886501941073</v>
      </c>
      <c r="L182" s="4">
        <v>86096.607636799279</v>
      </c>
      <c r="M182" s="4">
        <v>87651.311713632254</v>
      </c>
      <c r="N182" s="4">
        <v>89223.237112628238</v>
      </c>
      <c r="O182" s="4">
        <v>90812.626196771336</v>
      </c>
      <c r="P182" s="4">
        <v>92419.725387387647</v>
      </c>
      <c r="Q182" s="4">
        <v>94044.785241238249</v>
      </c>
      <c r="R182" s="4">
        <v>95688.060529178343</v>
      </c>
      <c r="S182" s="4">
        <v>97349.810316431656</v>
      </c>
      <c r="T182" s="4">
        <v>99030.29804450048</v>
      </c>
      <c r="U182" s="4">
        <v>100729.79161475156</v>
      </c>
      <c r="V182" s="4">
        <v>102448.56347371693</v>
      </c>
      <c r="W182" s="4">
        <v>104186.89070013422</v>
      </c>
      <c r="X182" s="4">
        <v>105945.05509377753</v>
      </c>
    </row>
    <row r="183" spans="3:24" x14ac:dyDescent="0.2">
      <c r="C183" s="57">
        <f t="shared" si="46"/>
        <v>525</v>
      </c>
      <c r="D183" s="4">
        <v>75130.962965334649</v>
      </c>
      <c r="E183" s="4">
        <v>76556.158778269717</v>
      </c>
      <c r="F183" s="4">
        <v>77996.774353566609</v>
      </c>
      <c r="G183" s="4">
        <v>79453.022184164976</v>
      </c>
      <c r="H183" s="4">
        <v>80925.118257553171</v>
      </c>
      <c r="I183" s="4">
        <v>82413.282121374563</v>
      </c>
      <c r="J183" s="4">
        <v>83917.736950371764</v>
      </c>
      <c r="K183" s="4">
        <v>85438.70961468415</v>
      </c>
      <c r="L183" s="4">
        <v>86976.430749542356</v>
      </c>
      <c r="M183" s="4">
        <v>88531.134826375375</v>
      </c>
      <c r="N183" s="4">
        <v>90103.060225371286</v>
      </c>
      <c r="O183" s="4">
        <v>91692.449309514399</v>
      </c>
      <c r="P183" s="4">
        <v>93299.548500130739</v>
      </c>
      <c r="Q183" s="4">
        <v>94924.608353981326</v>
      </c>
      <c r="R183" s="4">
        <v>96567.883641921391</v>
      </c>
      <c r="S183" s="4">
        <v>98229.63342917469</v>
      </c>
      <c r="T183" s="4">
        <v>99910.121157243528</v>
      </c>
      <c r="U183" s="4">
        <v>101609.61472749461</v>
      </c>
      <c r="V183" s="4">
        <v>103328.38658646002</v>
      </c>
      <c r="W183" s="4">
        <v>105066.71381287729</v>
      </c>
      <c r="X183" s="4">
        <v>106824.8782065206</v>
      </c>
    </row>
    <row r="184" spans="3:24" x14ac:dyDescent="0.2">
      <c r="C184" s="57">
        <f t="shared" si="46"/>
        <v>550</v>
      </c>
      <c r="D184" s="4">
        <v>76013.870962648856</v>
      </c>
      <c r="E184" s="4">
        <v>77439.066775583924</v>
      </c>
      <c r="F184" s="4">
        <v>78879.682350880888</v>
      </c>
      <c r="G184" s="4">
        <v>80335.930181479198</v>
      </c>
      <c r="H184" s="4">
        <v>81808.026254867364</v>
      </c>
      <c r="I184" s="4">
        <v>83296.190118688784</v>
      </c>
      <c r="J184" s="4">
        <v>84800.644947685985</v>
      </c>
      <c r="K184" s="4">
        <v>86321.617611998372</v>
      </c>
      <c r="L184" s="4">
        <v>87859.338746856578</v>
      </c>
      <c r="M184" s="4">
        <v>89414.042823689582</v>
      </c>
      <c r="N184" s="4">
        <v>90985.968222685507</v>
      </c>
      <c r="O184" s="4">
        <v>92575.357306828635</v>
      </c>
      <c r="P184" s="4">
        <v>94182.45649744499</v>
      </c>
      <c r="Q184" s="4">
        <v>95807.516351295577</v>
      </c>
      <c r="R184" s="4">
        <v>97450.791639235613</v>
      </c>
      <c r="S184" s="4">
        <v>99112.541426488926</v>
      </c>
      <c r="T184" s="4">
        <v>100793.02915455773</v>
      </c>
      <c r="U184" s="4">
        <v>102492.52272480886</v>
      </c>
      <c r="V184" s="4">
        <v>104211.29458377423</v>
      </c>
      <c r="W184" s="4">
        <v>105949.62181019154</v>
      </c>
      <c r="X184" s="4">
        <v>107707.78620383487</v>
      </c>
    </row>
    <row r="185" spans="3:24" x14ac:dyDescent="0.2">
      <c r="C185" s="57">
        <f t="shared" si="46"/>
        <v>575</v>
      </c>
      <c r="D185" s="4">
        <v>76899.877758378425</v>
      </c>
      <c r="E185" s="4">
        <v>78325.073571313493</v>
      </c>
      <c r="F185" s="4">
        <v>79765.689146610413</v>
      </c>
      <c r="G185" s="4">
        <v>81221.936977208781</v>
      </c>
      <c r="H185" s="4">
        <v>82694.033050596918</v>
      </c>
      <c r="I185" s="4">
        <v>84182.19691441828</v>
      </c>
      <c r="J185" s="4">
        <v>85686.65174341551</v>
      </c>
      <c r="K185" s="4">
        <v>87207.624407727926</v>
      </c>
      <c r="L185" s="4">
        <v>88745.345542586103</v>
      </c>
      <c r="M185" s="4">
        <v>90300.049619419136</v>
      </c>
      <c r="N185" s="4">
        <v>91871.975018415062</v>
      </c>
      <c r="O185" s="4">
        <v>93461.36410255816</v>
      </c>
      <c r="P185" s="4">
        <v>95068.463293174544</v>
      </c>
      <c r="Q185" s="4">
        <v>96693.523147025116</v>
      </c>
      <c r="R185" s="4">
        <v>98336.798434965138</v>
      </c>
      <c r="S185" s="4">
        <v>99998.54822221848</v>
      </c>
      <c r="T185" s="4">
        <v>101679.03595028725</v>
      </c>
      <c r="U185" s="4">
        <v>103378.5295205384</v>
      </c>
      <c r="V185" s="4">
        <v>105097.30137950373</v>
      </c>
      <c r="W185" s="4">
        <v>106835.62860592108</v>
      </c>
      <c r="X185" s="4">
        <v>108593.79299956435</v>
      </c>
    </row>
    <row r="186" spans="3:24" x14ac:dyDescent="0.2">
      <c r="C186" s="57">
        <f t="shared" si="46"/>
        <v>600</v>
      </c>
      <c r="D186" s="4">
        <v>77788.997338495668</v>
      </c>
      <c r="E186" s="4">
        <v>79214.193151430751</v>
      </c>
      <c r="F186" s="4">
        <v>80654.808726727701</v>
      </c>
      <c r="G186" s="4">
        <v>82111.056557326054</v>
      </c>
      <c r="H186" s="4">
        <v>83583.152630714161</v>
      </c>
      <c r="I186" s="4">
        <v>85071.316494535582</v>
      </c>
      <c r="J186" s="4">
        <v>86575.771323532797</v>
      </c>
      <c r="K186" s="4">
        <v>88096.743987845199</v>
      </c>
      <c r="L186" s="4">
        <v>89634.465122703405</v>
      </c>
      <c r="M186" s="4">
        <v>91189.169199536409</v>
      </c>
      <c r="N186" s="4">
        <v>92761.094598532334</v>
      </c>
      <c r="O186" s="4">
        <v>94350.483682675462</v>
      </c>
      <c r="P186" s="4">
        <v>95957.582873291802</v>
      </c>
      <c r="Q186" s="4">
        <v>97582.642727142374</v>
      </c>
      <c r="R186" s="4">
        <v>99225.918015082454</v>
      </c>
      <c r="S186" s="4">
        <v>100887.66780233577</v>
      </c>
      <c r="T186" s="4">
        <v>102568.15553040458</v>
      </c>
      <c r="U186" s="4">
        <v>104267.64910065565</v>
      </c>
      <c r="V186" s="4">
        <v>105986.42095962103</v>
      </c>
      <c r="W186" s="4">
        <v>107724.74818603837</v>
      </c>
      <c r="X186" s="4">
        <v>109482.91257968165</v>
      </c>
    </row>
    <row r="187" spans="3:24" x14ac:dyDescent="0.2">
      <c r="C187" s="57">
        <f t="shared" si="46"/>
        <v>625</v>
      </c>
      <c r="D187" s="4">
        <v>78681.243761506747</v>
      </c>
      <c r="E187" s="4">
        <v>80106.439574441814</v>
      </c>
      <c r="F187" s="4">
        <v>81547.055149738764</v>
      </c>
      <c r="G187" s="4">
        <v>83003.302980337074</v>
      </c>
      <c r="H187" s="4">
        <v>84475.399053725268</v>
      </c>
      <c r="I187" s="4">
        <v>85963.562917546689</v>
      </c>
      <c r="J187" s="4">
        <v>87468.017746543934</v>
      </c>
      <c r="K187" s="4">
        <v>88988.990410856248</v>
      </c>
      <c r="L187" s="4">
        <v>90526.711545714497</v>
      </c>
      <c r="M187" s="4">
        <v>92081.415622547502</v>
      </c>
      <c r="N187" s="4">
        <v>93653.341021543456</v>
      </c>
      <c r="O187" s="4">
        <v>95242.730105686554</v>
      </c>
      <c r="P187" s="4">
        <v>96849.829296302851</v>
      </c>
      <c r="Q187" s="4">
        <v>98474.889150153467</v>
      </c>
      <c r="R187" s="4">
        <v>100118.16443809352</v>
      </c>
      <c r="S187" s="4">
        <v>101779.91422534685</v>
      </c>
      <c r="T187" s="4">
        <v>103460.40195341567</v>
      </c>
      <c r="U187" s="4">
        <v>105159.89552366678</v>
      </c>
      <c r="V187" s="4">
        <v>106878.66738263212</v>
      </c>
      <c r="W187" s="4">
        <v>108616.99460904946</v>
      </c>
      <c r="X187" s="4">
        <v>110375.15900269277</v>
      </c>
    </row>
    <row r="188" spans="3:24" x14ac:dyDescent="0.2">
      <c r="C188" s="57">
        <f t="shared" si="46"/>
        <v>650</v>
      </c>
      <c r="D188" s="4">
        <v>79576.631158852484</v>
      </c>
      <c r="E188" s="4">
        <v>81001.826971787581</v>
      </c>
      <c r="F188" s="4">
        <v>82442.442547084502</v>
      </c>
      <c r="G188" s="4">
        <v>83898.690377682826</v>
      </c>
      <c r="H188" s="4">
        <v>85370.786451070948</v>
      </c>
      <c r="I188" s="4">
        <v>86858.950314892383</v>
      </c>
      <c r="J188" s="4">
        <v>88363.405143889584</v>
      </c>
      <c r="K188" s="4">
        <v>89884.377808202</v>
      </c>
      <c r="L188" s="4">
        <v>91422.098943060206</v>
      </c>
      <c r="M188" s="4">
        <v>92976.80301989321</v>
      </c>
      <c r="N188" s="4">
        <v>94548.728418889164</v>
      </c>
      <c r="O188" s="4">
        <v>96138.117503032248</v>
      </c>
      <c r="P188" s="4">
        <v>97745.216693648574</v>
      </c>
      <c r="Q188" s="4">
        <v>99370.276547499176</v>
      </c>
      <c r="R188" s="4">
        <v>101013.55183543926</v>
      </c>
      <c r="S188" s="4">
        <v>102675.30162269255</v>
      </c>
      <c r="T188" s="4">
        <v>104355.78935076139</v>
      </c>
      <c r="U188" s="4">
        <v>106055.28292101243</v>
      </c>
      <c r="V188" s="4">
        <v>107774.05477997786</v>
      </c>
      <c r="W188" s="4">
        <v>109512.38200639514</v>
      </c>
      <c r="X188" s="4">
        <v>111270.54640003847</v>
      </c>
    </row>
    <row r="189" spans="3:24" x14ac:dyDescent="0.2">
      <c r="C189" s="57">
        <f t="shared" si="46"/>
        <v>675</v>
      </c>
      <c r="D189" s="4">
        <v>80475.173735315606</v>
      </c>
      <c r="E189" s="4">
        <v>81900.369548250659</v>
      </c>
      <c r="F189" s="4">
        <v>83340.985123547609</v>
      </c>
      <c r="G189" s="4">
        <v>84797.232954145933</v>
      </c>
      <c r="H189" s="4">
        <v>86269.329027534128</v>
      </c>
      <c r="I189" s="4">
        <v>87757.492891355476</v>
      </c>
      <c r="J189" s="4">
        <v>89261.947720352706</v>
      </c>
      <c r="K189" s="4">
        <v>90782.920384665107</v>
      </c>
      <c r="L189" s="4">
        <v>92320.641519523342</v>
      </c>
      <c r="M189" s="4">
        <v>93875.345596356347</v>
      </c>
      <c r="N189" s="4">
        <v>95447.270995352272</v>
      </c>
      <c r="O189" s="4">
        <v>97036.66007949537</v>
      </c>
      <c r="P189" s="4">
        <v>98643.75927011171</v>
      </c>
      <c r="Q189" s="4">
        <v>100268.81912396228</v>
      </c>
      <c r="R189" s="4">
        <v>101912.09441190236</v>
      </c>
      <c r="S189" s="4">
        <v>103573.84419915566</v>
      </c>
      <c r="T189" s="4">
        <v>105254.33192722447</v>
      </c>
      <c r="U189" s="4">
        <v>106953.82549747557</v>
      </c>
      <c r="V189" s="4">
        <v>108672.59735644097</v>
      </c>
      <c r="W189" s="4">
        <v>110410.92458285828</v>
      </c>
      <c r="X189" s="4">
        <v>112169.08897650156</v>
      </c>
    </row>
    <row r="190" spans="3:24" x14ac:dyDescent="0.2">
      <c r="C190" s="57">
        <f t="shared" si="46"/>
        <v>700</v>
      </c>
      <c r="D190" s="4">
        <v>81376.885769431348</v>
      </c>
      <c r="E190" s="4">
        <v>82802.081582366402</v>
      </c>
      <c r="F190" s="4">
        <v>84242.697157663337</v>
      </c>
      <c r="G190" s="4">
        <v>85698.944988261675</v>
      </c>
      <c r="H190" s="4">
        <v>87171.041061649841</v>
      </c>
      <c r="I190" s="4">
        <v>88659.204925471218</v>
      </c>
      <c r="J190" s="4">
        <v>90163.659754468448</v>
      </c>
      <c r="K190" s="4">
        <v>91684.63241878085</v>
      </c>
      <c r="L190" s="4">
        <v>93222.353553639055</v>
      </c>
      <c r="M190" s="4">
        <v>94777.057630472031</v>
      </c>
      <c r="N190" s="4">
        <v>96348.983029467985</v>
      </c>
      <c r="O190" s="4">
        <v>97938.372113611083</v>
      </c>
      <c r="P190" s="4">
        <v>99545.471304227467</v>
      </c>
      <c r="Q190" s="4">
        <v>101170.53115807808</v>
      </c>
      <c r="R190" s="4">
        <v>102813.80644601808</v>
      </c>
      <c r="S190" s="4">
        <v>104475.55623327142</v>
      </c>
      <c r="T190" s="4">
        <v>106156.04396134018</v>
      </c>
      <c r="U190" s="4">
        <v>107855.53753159134</v>
      </c>
      <c r="V190" s="4">
        <v>109574.30939055668</v>
      </c>
      <c r="W190" s="4">
        <v>111312.63661697401</v>
      </c>
      <c r="X190" s="4">
        <v>113070.80101061729</v>
      </c>
    </row>
    <row r="191" spans="3:24" x14ac:dyDescent="0.2">
      <c r="C191" s="5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3:24" x14ac:dyDescent="0.2">
      <c r="C192" s="5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40" x14ac:dyDescent="0.2">
      <c r="C193" s="4"/>
      <c r="D193" t="s">
        <v>13</v>
      </c>
    </row>
    <row r="194" spans="2:40" x14ac:dyDescent="0.2">
      <c r="B194" s="58" t="s">
        <v>88</v>
      </c>
      <c r="C194" s="40">
        <f>Sheet2!AD43</f>
        <v>72901.886266092159</v>
      </c>
      <c r="D194" s="60">
        <v>50</v>
      </c>
      <c r="E194" s="61">
        <f>+D194+25</f>
        <v>75</v>
      </c>
      <c r="F194" s="61">
        <f t="shared" ref="F194:AN194" si="47">+E194+25</f>
        <v>100</v>
      </c>
      <c r="G194" s="61">
        <f t="shared" si="47"/>
        <v>125</v>
      </c>
      <c r="H194" s="61">
        <f t="shared" si="47"/>
        <v>150</v>
      </c>
      <c r="I194" s="61">
        <f t="shared" si="47"/>
        <v>175</v>
      </c>
      <c r="J194" s="61">
        <f t="shared" si="47"/>
        <v>200</v>
      </c>
      <c r="K194" s="61">
        <f t="shared" si="47"/>
        <v>225</v>
      </c>
      <c r="L194" s="61">
        <f t="shared" si="47"/>
        <v>250</v>
      </c>
      <c r="M194" s="61">
        <f t="shared" si="47"/>
        <v>275</v>
      </c>
      <c r="N194" s="61">
        <f t="shared" si="47"/>
        <v>300</v>
      </c>
      <c r="O194" s="61">
        <f t="shared" si="47"/>
        <v>325</v>
      </c>
      <c r="P194" s="61">
        <f t="shared" si="47"/>
        <v>350</v>
      </c>
      <c r="Q194" s="61">
        <f t="shared" si="47"/>
        <v>375</v>
      </c>
      <c r="R194" s="61">
        <f t="shared" si="47"/>
        <v>400</v>
      </c>
      <c r="S194" s="61">
        <f t="shared" si="47"/>
        <v>425</v>
      </c>
      <c r="T194" s="61">
        <f t="shared" si="47"/>
        <v>450</v>
      </c>
      <c r="U194" s="61">
        <f t="shared" si="47"/>
        <v>475</v>
      </c>
      <c r="V194" s="61">
        <f t="shared" si="47"/>
        <v>500</v>
      </c>
      <c r="W194" s="61">
        <f t="shared" si="47"/>
        <v>525</v>
      </c>
      <c r="X194" s="61">
        <f t="shared" si="47"/>
        <v>550</v>
      </c>
      <c r="Y194" s="61">
        <f t="shared" si="47"/>
        <v>575</v>
      </c>
      <c r="Z194" s="61">
        <f t="shared" si="47"/>
        <v>600</v>
      </c>
      <c r="AA194" s="61">
        <f t="shared" si="47"/>
        <v>625</v>
      </c>
      <c r="AB194" s="61">
        <f t="shared" si="47"/>
        <v>650</v>
      </c>
      <c r="AC194" s="61">
        <f t="shared" si="47"/>
        <v>675</v>
      </c>
      <c r="AD194" s="61">
        <f t="shared" si="47"/>
        <v>700</v>
      </c>
      <c r="AE194" s="61">
        <f t="shared" si="47"/>
        <v>725</v>
      </c>
      <c r="AF194" s="61">
        <f t="shared" si="47"/>
        <v>750</v>
      </c>
      <c r="AG194" s="61">
        <f t="shared" si="47"/>
        <v>775</v>
      </c>
      <c r="AH194" s="61">
        <f t="shared" si="47"/>
        <v>800</v>
      </c>
      <c r="AI194" s="61">
        <f t="shared" si="47"/>
        <v>825</v>
      </c>
      <c r="AJ194" s="61">
        <f t="shared" si="47"/>
        <v>850</v>
      </c>
      <c r="AK194" s="61">
        <f t="shared" si="47"/>
        <v>875</v>
      </c>
      <c r="AL194" s="61">
        <f t="shared" si="47"/>
        <v>900</v>
      </c>
      <c r="AM194" s="61">
        <f t="shared" si="47"/>
        <v>925</v>
      </c>
      <c r="AN194" s="61">
        <f t="shared" si="47"/>
        <v>950</v>
      </c>
    </row>
    <row r="195" spans="2:40" x14ac:dyDescent="0.2">
      <c r="C195" s="56">
        <v>200</v>
      </c>
      <c r="D195" s="4">
        <f t="dataTable" ref="D195:AN215" dt2D="1" dtr="0" r1="G9" r2="G11" ca="1"/>
        <v>63897.185155166524</v>
      </c>
      <c r="E195" s="4">
        <v>64628.590113844206</v>
      </c>
      <c r="F195" s="4">
        <v>65359.995072521917</v>
      </c>
      <c r="G195" s="4">
        <v>66091.400031199606</v>
      </c>
      <c r="H195" s="4">
        <v>66822.804989877288</v>
      </c>
      <c r="I195" s="4">
        <v>67554.20994855497</v>
      </c>
      <c r="J195" s="4">
        <v>68285.614907232652</v>
      </c>
      <c r="K195" s="4">
        <v>69017.019865910333</v>
      </c>
      <c r="L195" s="4">
        <v>69748.424824588015</v>
      </c>
      <c r="M195" s="4">
        <v>70479.829783265668</v>
      </c>
      <c r="N195" s="4">
        <v>71211.234741943379</v>
      </c>
      <c r="O195" s="4">
        <v>71942.63970062109</v>
      </c>
      <c r="P195" s="4">
        <v>72674.044659298757</v>
      </c>
      <c r="Q195" s="4">
        <v>73405.449617976468</v>
      </c>
      <c r="R195" s="4">
        <v>74136.854576654121</v>
      </c>
      <c r="S195" s="4">
        <v>74868.259535331832</v>
      </c>
      <c r="T195" s="4">
        <v>75599.664494009456</v>
      </c>
      <c r="U195" s="4">
        <v>76331.069452687167</v>
      </c>
      <c r="V195" s="4">
        <v>77062.474411364878</v>
      </c>
      <c r="W195" s="4">
        <v>77793.87937004253</v>
      </c>
      <c r="X195" s="4">
        <v>78525.284328720241</v>
      </c>
      <c r="Y195" s="4">
        <v>79256.689287397894</v>
      </c>
      <c r="Z195" s="4">
        <v>79988.094246075605</v>
      </c>
      <c r="AA195" s="4">
        <v>80719.499204753258</v>
      </c>
      <c r="AB195" s="4">
        <v>81450.904163430969</v>
      </c>
      <c r="AC195" s="4">
        <v>82182.30912210868</v>
      </c>
      <c r="AD195" s="4">
        <v>82913.714080786332</v>
      </c>
      <c r="AE195" s="4">
        <v>83645.119039464043</v>
      </c>
      <c r="AF195" s="4">
        <v>84376.523998141696</v>
      </c>
      <c r="AG195" s="4">
        <v>85107.928956819407</v>
      </c>
      <c r="AH195" s="4">
        <v>85839.33391549706</v>
      </c>
      <c r="AI195" s="4">
        <v>86570.738874174771</v>
      </c>
      <c r="AJ195" s="4">
        <v>87302.143832852424</v>
      </c>
      <c r="AK195" s="4">
        <v>88033.548791530135</v>
      </c>
      <c r="AL195" s="4">
        <v>88764.953750207787</v>
      </c>
      <c r="AM195" s="4">
        <v>89496.358708885498</v>
      </c>
      <c r="AN195" s="4">
        <v>90227.763667563151</v>
      </c>
    </row>
    <row r="196" spans="2:40" x14ac:dyDescent="0.2">
      <c r="C196" s="57">
        <f>+C195+25</f>
        <v>225</v>
      </c>
      <c r="D196" s="4">
        <v>64741.049216591171</v>
      </c>
      <c r="E196" s="4">
        <v>65472.454175268882</v>
      </c>
      <c r="F196" s="4">
        <v>66203.859133946593</v>
      </c>
      <c r="G196" s="4">
        <v>66935.264092624246</v>
      </c>
      <c r="H196" s="4">
        <v>67666.669051301957</v>
      </c>
      <c r="I196" s="4">
        <v>68398.074009979609</v>
      </c>
      <c r="J196" s="4">
        <v>69129.47896865732</v>
      </c>
      <c r="K196" s="4">
        <v>69860.883927334973</v>
      </c>
      <c r="L196" s="4">
        <v>70592.288886012684</v>
      </c>
      <c r="M196" s="4">
        <v>71323.693844690424</v>
      </c>
      <c r="N196" s="4">
        <v>72055.098803368077</v>
      </c>
      <c r="O196" s="4">
        <v>72786.503762045788</v>
      </c>
      <c r="P196" s="4">
        <v>73517.908720723441</v>
      </c>
      <c r="Q196" s="4">
        <v>74249.313679401122</v>
      </c>
      <c r="R196" s="4">
        <v>74980.718638078775</v>
      </c>
      <c r="S196" s="4">
        <v>75712.123596756486</v>
      </c>
      <c r="T196" s="4">
        <v>76443.528555434168</v>
      </c>
      <c r="U196" s="4">
        <v>77174.93351411185</v>
      </c>
      <c r="V196" s="4">
        <v>77906.338472789532</v>
      </c>
      <c r="W196" s="4">
        <v>78637.743431467214</v>
      </c>
      <c r="X196" s="4">
        <v>79369.148390144896</v>
      </c>
      <c r="Y196" s="4">
        <v>80100.553348822577</v>
      </c>
      <c r="Z196" s="4">
        <v>80831.958307500259</v>
      </c>
      <c r="AA196" s="4">
        <v>81563.36326617797</v>
      </c>
      <c r="AB196" s="4">
        <v>82294.768224855652</v>
      </c>
      <c r="AC196" s="4">
        <v>83026.173183533334</v>
      </c>
      <c r="AD196" s="4">
        <v>83757.578142211016</v>
      </c>
      <c r="AE196" s="4">
        <v>84488.983100888698</v>
      </c>
      <c r="AF196" s="4">
        <v>85220.38805956638</v>
      </c>
      <c r="AG196" s="4">
        <v>85951.793018244032</v>
      </c>
      <c r="AH196" s="4">
        <v>86683.197976921743</v>
      </c>
      <c r="AI196" s="4">
        <v>87414.602935599454</v>
      </c>
      <c r="AJ196" s="4">
        <v>88146.007894277107</v>
      </c>
      <c r="AK196" s="4">
        <v>88877.412852954818</v>
      </c>
      <c r="AL196" s="4">
        <v>89608.817811632471</v>
      </c>
      <c r="AM196" s="4">
        <v>90340.222770310196</v>
      </c>
      <c r="AN196" s="4">
        <v>91071.627728987849</v>
      </c>
    </row>
    <row r="197" spans="2:40" x14ac:dyDescent="0.2">
      <c r="C197" s="57">
        <f t="shared" ref="C197:C215" si="48">+C196+25</f>
        <v>250</v>
      </c>
      <c r="D197" s="4">
        <v>65587.83667931534</v>
      </c>
      <c r="E197" s="4">
        <v>66319.241637992993</v>
      </c>
      <c r="F197" s="4">
        <v>67050.646596670704</v>
      </c>
      <c r="G197" s="4">
        <v>67782.051555348356</v>
      </c>
      <c r="H197" s="4">
        <v>68513.456514026067</v>
      </c>
      <c r="I197" s="4">
        <v>69244.861472703778</v>
      </c>
      <c r="J197" s="4">
        <v>69976.266431381431</v>
      </c>
      <c r="K197" s="4">
        <v>70707.671390059142</v>
      </c>
      <c r="L197" s="4">
        <v>71439.076348736795</v>
      </c>
      <c r="M197" s="4">
        <v>72170.481307414506</v>
      </c>
      <c r="N197" s="4">
        <v>72901.886266092159</v>
      </c>
      <c r="O197" s="4">
        <v>73633.29122476987</v>
      </c>
      <c r="P197" s="4">
        <v>74364.696183447581</v>
      </c>
      <c r="Q197" s="4">
        <v>75096.101142125233</v>
      </c>
      <c r="R197" s="4">
        <v>75827.506100802944</v>
      </c>
      <c r="S197" s="4">
        <v>76558.911059480597</v>
      </c>
      <c r="T197" s="4">
        <v>77290.316018158308</v>
      </c>
      <c r="U197" s="4">
        <v>78021.720976835961</v>
      </c>
      <c r="V197" s="4">
        <v>78753.125935513672</v>
      </c>
      <c r="W197" s="4">
        <v>79484.530894191324</v>
      </c>
      <c r="X197" s="4">
        <v>80215.935852869035</v>
      </c>
      <c r="Y197" s="4">
        <v>80947.340811546746</v>
      </c>
      <c r="Z197" s="4">
        <v>81678.745770224399</v>
      </c>
      <c r="AA197" s="4">
        <v>82410.15072890211</v>
      </c>
      <c r="AB197" s="4">
        <v>83141.555687579763</v>
      </c>
      <c r="AC197" s="4">
        <v>83872.960646257474</v>
      </c>
      <c r="AD197" s="4">
        <v>84604.365604935127</v>
      </c>
      <c r="AE197" s="4">
        <v>85335.770563612838</v>
      </c>
      <c r="AF197" s="4">
        <v>86067.175522290549</v>
      </c>
      <c r="AG197" s="4">
        <v>86798.580480968201</v>
      </c>
      <c r="AH197" s="4">
        <v>87529.985439645912</v>
      </c>
      <c r="AI197" s="4">
        <v>88261.390398323565</v>
      </c>
      <c r="AJ197" s="4">
        <v>88992.795357001276</v>
      </c>
      <c r="AK197" s="4">
        <v>89724.200315678929</v>
      </c>
      <c r="AL197" s="4">
        <v>90455.605274356654</v>
      </c>
      <c r="AM197" s="4">
        <v>91187.010233034365</v>
      </c>
      <c r="AN197" s="4">
        <v>91918.415191712018</v>
      </c>
    </row>
    <row r="198" spans="2:40" x14ac:dyDescent="0.2">
      <c r="C198" s="57">
        <f t="shared" si="48"/>
        <v>275</v>
      </c>
      <c r="D198" s="4">
        <v>66437.560622166115</v>
      </c>
      <c r="E198" s="4">
        <v>67168.965580843811</v>
      </c>
      <c r="F198" s="4">
        <v>67900.370539521493</v>
      </c>
      <c r="G198" s="4">
        <v>68631.775498199175</v>
      </c>
      <c r="H198" s="4">
        <v>69363.180456876857</v>
      </c>
      <c r="I198" s="4">
        <v>70094.585415554538</v>
      </c>
      <c r="J198" s="4">
        <v>70825.990374232249</v>
      </c>
      <c r="K198" s="4">
        <v>71557.395332909931</v>
      </c>
      <c r="L198" s="4">
        <v>72288.800291587613</v>
      </c>
      <c r="M198" s="4">
        <v>73020.205250265295</v>
      </c>
      <c r="N198" s="4">
        <v>73751.610208942977</v>
      </c>
      <c r="O198" s="4">
        <v>74483.015167620659</v>
      </c>
      <c r="P198" s="4">
        <v>75214.420126298341</v>
      </c>
      <c r="Q198" s="4">
        <v>75945.825084976022</v>
      </c>
      <c r="R198" s="4">
        <v>76677.230043653733</v>
      </c>
      <c r="S198" s="4">
        <v>77408.635002331415</v>
      </c>
      <c r="T198" s="4">
        <v>78140.039961009097</v>
      </c>
      <c r="U198" s="4">
        <v>78871.444919686779</v>
      </c>
      <c r="V198" s="4">
        <v>79602.849878364461</v>
      </c>
      <c r="W198" s="4">
        <v>80334.254837042143</v>
      </c>
      <c r="X198" s="4">
        <v>81065.659795719854</v>
      </c>
      <c r="Y198" s="4">
        <v>81797.064754397536</v>
      </c>
      <c r="Z198" s="4">
        <v>82528.469713075217</v>
      </c>
      <c r="AA198" s="4">
        <v>83259.874671752899</v>
      </c>
      <c r="AB198" s="4">
        <v>83991.279630430581</v>
      </c>
      <c r="AC198" s="4">
        <v>84722.684589108263</v>
      </c>
      <c r="AD198" s="4">
        <v>85454.089547785945</v>
      </c>
      <c r="AE198" s="4">
        <v>86185.494506463656</v>
      </c>
      <c r="AF198" s="4">
        <v>86916.899465141338</v>
      </c>
      <c r="AG198" s="4">
        <v>87648.30442381902</v>
      </c>
      <c r="AH198" s="4">
        <v>88379.709382496701</v>
      </c>
      <c r="AI198" s="4">
        <v>89111.114341174369</v>
      </c>
      <c r="AJ198" s="4">
        <v>89842.519299852051</v>
      </c>
      <c r="AK198" s="4">
        <v>90573.924258529732</v>
      </c>
      <c r="AL198" s="4">
        <v>91305.329217207443</v>
      </c>
      <c r="AM198" s="4">
        <v>92036.734175885125</v>
      </c>
      <c r="AN198" s="4">
        <v>92768.139134562807</v>
      </c>
    </row>
    <row r="199" spans="2:40" x14ac:dyDescent="0.2">
      <c r="C199" s="57">
        <f t="shared" si="48"/>
        <v>300</v>
      </c>
      <c r="D199" s="4">
        <v>67290.234191449446</v>
      </c>
      <c r="E199" s="4">
        <v>68021.639150127128</v>
      </c>
      <c r="F199" s="4">
        <v>68753.04410880481</v>
      </c>
      <c r="G199" s="4">
        <v>69484.449067482507</v>
      </c>
      <c r="H199" s="4">
        <v>70215.854026160217</v>
      </c>
      <c r="I199" s="4">
        <v>70947.258984837899</v>
      </c>
      <c r="J199" s="4">
        <v>71678.663943515581</v>
      </c>
      <c r="K199" s="4">
        <v>72410.068902193263</v>
      </c>
      <c r="L199" s="4">
        <v>73141.473860870945</v>
      </c>
      <c r="M199" s="4">
        <v>73872.878819548627</v>
      </c>
      <c r="N199" s="4">
        <v>74604.283778226309</v>
      </c>
      <c r="O199" s="4">
        <v>75335.68873690402</v>
      </c>
      <c r="P199" s="4">
        <v>76067.093695581687</v>
      </c>
      <c r="Q199" s="4">
        <v>76798.498654259369</v>
      </c>
      <c r="R199" s="4">
        <v>77529.903612937051</v>
      </c>
      <c r="S199" s="4">
        <v>78261.308571614733</v>
      </c>
      <c r="T199" s="4">
        <v>78992.713530292443</v>
      </c>
      <c r="U199" s="4">
        <v>79724.118488970096</v>
      </c>
      <c r="V199" s="4">
        <v>80455.523447647807</v>
      </c>
      <c r="W199" s="4">
        <v>81186.928406325518</v>
      </c>
      <c r="X199" s="4">
        <v>81918.333365003171</v>
      </c>
      <c r="Y199" s="4">
        <v>82649.738323680882</v>
      </c>
      <c r="Z199" s="4">
        <v>83381.143282358535</v>
      </c>
      <c r="AA199" s="4">
        <v>84112.548241036246</v>
      </c>
      <c r="AB199" s="4">
        <v>84843.953199713898</v>
      </c>
      <c r="AC199" s="4">
        <v>85575.358158391609</v>
      </c>
      <c r="AD199" s="4">
        <v>86306.76311706932</v>
      </c>
      <c r="AE199" s="4">
        <v>87038.168075746973</v>
      </c>
      <c r="AF199" s="4">
        <v>87769.573034424684</v>
      </c>
      <c r="AG199" s="4">
        <v>88500.977993102337</v>
      </c>
      <c r="AH199" s="4">
        <v>89232.382951780048</v>
      </c>
      <c r="AI199" s="4">
        <v>89963.787910457671</v>
      </c>
      <c r="AJ199" s="4">
        <v>90695.192869135382</v>
      </c>
      <c r="AK199" s="4">
        <v>91426.597827813093</v>
      </c>
      <c r="AL199" s="4">
        <v>92158.002786490746</v>
      </c>
      <c r="AM199" s="4">
        <v>92889.407745168457</v>
      </c>
      <c r="AN199" s="4">
        <v>93620.81270384611</v>
      </c>
    </row>
    <row r="200" spans="2:40" x14ac:dyDescent="0.2">
      <c r="C200" s="57">
        <f t="shared" si="48"/>
        <v>325</v>
      </c>
      <c r="D200" s="4">
        <v>68145.870601326926</v>
      </c>
      <c r="E200" s="4">
        <v>68877.275560004637</v>
      </c>
      <c r="F200" s="4">
        <v>69608.680518682304</v>
      </c>
      <c r="G200" s="4">
        <v>70340.085477360015</v>
      </c>
      <c r="H200" s="4">
        <v>71071.490436037668</v>
      </c>
      <c r="I200" s="4">
        <v>71802.895394715379</v>
      </c>
      <c r="J200" s="4">
        <v>72534.300353393031</v>
      </c>
      <c r="K200" s="4">
        <v>73265.705312070742</v>
      </c>
      <c r="L200" s="4">
        <v>73997.110270748453</v>
      </c>
      <c r="M200" s="4">
        <v>74728.515229426106</v>
      </c>
      <c r="N200" s="4">
        <v>75459.920188103817</v>
      </c>
      <c r="O200" s="4">
        <v>76191.32514678147</v>
      </c>
      <c r="P200" s="4">
        <v>76922.730105459152</v>
      </c>
      <c r="Q200" s="4">
        <v>77654.135064136863</v>
      </c>
      <c r="R200" s="4">
        <v>78385.540022814515</v>
      </c>
      <c r="S200" s="4">
        <v>79116.944981492226</v>
      </c>
      <c r="T200" s="4">
        <v>79848.349940169937</v>
      </c>
      <c r="U200" s="4">
        <v>80579.75489884759</v>
      </c>
      <c r="V200" s="4">
        <v>81311.159857525301</v>
      </c>
      <c r="W200" s="4">
        <v>82042.564816202954</v>
      </c>
      <c r="X200" s="4">
        <v>82773.969774880665</v>
      </c>
      <c r="Y200" s="4">
        <v>83505.374733558318</v>
      </c>
      <c r="Z200" s="4">
        <v>84236.779692236028</v>
      </c>
      <c r="AA200" s="4">
        <v>84968.184650913739</v>
      </c>
      <c r="AB200" s="4">
        <v>85699.589609591392</v>
      </c>
      <c r="AC200" s="4">
        <v>86430.994568269103</v>
      </c>
      <c r="AD200" s="4">
        <v>87162.399526946756</v>
      </c>
      <c r="AE200" s="4">
        <v>87893.804485624467</v>
      </c>
      <c r="AF200" s="4">
        <v>88625.20944430212</v>
      </c>
      <c r="AG200" s="4">
        <v>89356.614402979831</v>
      </c>
      <c r="AH200" s="4">
        <v>90088.019361657542</v>
      </c>
      <c r="AI200" s="4">
        <v>90819.424320335253</v>
      </c>
      <c r="AJ200" s="4">
        <v>91550.829279012905</v>
      </c>
      <c r="AK200" s="4">
        <v>92282.234237690616</v>
      </c>
      <c r="AL200" s="4">
        <v>93013.639196368269</v>
      </c>
      <c r="AM200" s="4">
        <v>93745.04415504598</v>
      </c>
      <c r="AN200" s="4">
        <v>94476.449113723676</v>
      </c>
    </row>
    <row r="201" spans="2:40" x14ac:dyDescent="0.2">
      <c r="C201" s="57">
        <f t="shared" si="48"/>
        <v>350</v>
      </c>
      <c r="D201" s="4">
        <v>69004.483134194379</v>
      </c>
      <c r="E201" s="4">
        <v>69735.888092872032</v>
      </c>
      <c r="F201" s="4">
        <v>70467.293051549743</v>
      </c>
      <c r="G201" s="4">
        <v>71198.698010227396</v>
      </c>
      <c r="H201" s="4">
        <v>71930.102968905107</v>
      </c>
      <c r="I201" s="4">
        <v>72661.507927582818</v>
      </c>
      <c r="J201" s="4">
        <v>73392.91288626047</v>
      </c>
      <c r="K201" s="4">
        <v>74124.317844938181</v>
      </c>
      <c r="L201" s="4">
        <v>74855.722803615834</v>
      </c>
      <c r="M201" s="4">
        <v>75587.127762293545</v>
      </c>
      <c r="N201" s="4">
        <v>76318.532720971198</v>
      </c>
      <c r="O201" s="4">
        <v>77049.937679648909</v>
      </c>
      <c r="P201" s="4">
        <v>77781.34263832662</v>
      </c>
      <c r="Q201" s="4">
        <v>78512.747597004272</v>
      </c>
      <c r="R201" s="4">
        <v>79244.152555681983</v>
      </c>
      <c r="S201" s="4">
        <v>79975.557514359636</v>
      </c>
      <c r="T201" s="4">
        <v>80706.962473037347</v>
      </c>
      <c r="U201" s="4">
        <v>81438.367431715058</v>
      </c>
      <c r="V201" s="4">
        <v>82169.772390392711</v>
      </c>
      <c r="W201" s="4">
        <v>82901.177349070422</v>
      </c>
      <c r="X201" s="4">
        <v>83632.582307748075</v>
      </c>
      <c r="Y201" s="4">
        <v>84363.987266425785</v>
      </c>
      <c r="Z201" s="4">
        <v>85095.392225103496</v>
      </c>
      <c r="AA201" s="4">
        <v>85826.797183781149</v>
      </c>
      <c r="AB201" s="4">
        <v>86558.20214245886</v>
      </c>
      <c r="AC201" s="4">
        <v>87289.607101136513</v>
      </c>
      <c r="AD201" s="4">
        <v>88021.012059814224</v>
      </c>
      <c r="AE201" s="4">
        <v>88752.417018491877</v>
      </c>
      <c r="AF201" s="4">
        <v>89483.821977169602</v>
      </c>
      <c r="AG201" s="4">
        <v>90215.226935847313</v>
      </c>
      <c r="AH201" s="4">
        <v>90946.631894524966</v>
      </c>
      <c r="AI201" s="4">
        <v>91678.036853202677</v>
      </c>
      <c r="AJ201" s="4">
        <v>92409.44181188033</v>
      </c>
      <c r="AK201" s="4">
        <v>93140.846770558041</v>
      </c>
      <c r="AL201" s="4">
        <v>93872.251729235693</v>
      </c>
      <c r="AM201" s="4">
        <v>94603.656687913404</v>
      </c>
      <c r="AN201" s="4">
        <v>95335.061646591115</v>
      </c>
    </row>
    <row r="202" spans="2:40" x14ac:dyDescent="0.2">
      <c r="C202" s="57">
        <f t="shared" si="48"/>
        <v>375</v>
      </c>
      <c r="D202" s="4">
        <v>69866.085141060481</v>
      </c>
      <c r="E202" s="4">
        <v>70597.490099738192</v>
      </c>
      <c r="F202" s="4">
        <v>71328.895058415845</v>
      </c>
      <c r="G202" s="4">
        <v>72060.300017093556</v>
      </c>
      <c r="H202" s="4">
        <v>72791.704975771267</v>
      </c>
      <c r="I202" s="4">
        <v>73523.109934448919</v>
      </c>
      <c r="J202" s="4">
        <v>74254.51489312663</v>
      </c>
      <c r="K202" s="4">
        <v>74985.919851804283</v>
      </c>
      <c r="L202" s="4">
        <v>75717.324810481994</v>
      </c>
      <c r="M202" s="4">
        <v>76448.729769159647</v>
      </c>
      <c r="N202" s="4">
        <v>77180.134727837358</v>
      </c>
      <c r="O202" s="4">
        <v>77911.539686515011</v>
      </c>
      <c r="P202" s="4">
        <v>78642.944645192722</v>
      </c>
      <c r="Q202" s="4">
        <v>79374.349603870432</v>
      </c>
      <c r="R202" s="4">
        <v>80105.754562548085</v>
      </c>
      <c r="S202" s="4">
        <v>80837.159521225796</v>
      </c>
      <c r="T202" s="4">
        <v>81568.564479903449</v>
      </c>
      <c r="U202" s="4">
        <v>82299.96943858116</v>
      </c>
      <c r="V202" s="4">
        <v>83031.374397258813</v>
      </c>
      <c r="W202" s="4">
        <v>83762.779355936524</v>
      </c>
      <c r="X202" s="4">
        <v>84494.184314614176</v>
      </c>
      <c r="Y202" s="4">
        <v>85225.589273291887</v>
      </c>
      <c r="Z202" s="4">
        <v>85956.994231969598</v>
      </c>
      <c r="AA202" s="4">
        <v>86688.399190647251</v>
      </c>
      <c r="AB202" s="4">
        <v>87419.804149324962</v>
      </c>
      <c r="AC202" s="4">
        <v>88151.209108002615</v>
      </c>
      <c r="AD202" s="4">
        <v>88882.614066680326</v>
      </c>
      <c r="AE202" s="4">
        <v>89614.019025357979</v>
      </c>
      <c r="AF202" s="4">
        <v>90345.42398403569</v>
      </c>
      <c r="AG202" s="4">
        <v>91076.8289427134</v>
      </c>
      <c r="AH202" s="4">
        <v>91808.233901391053</v>
      </c>
      <c r="AI202" s="4">
        <v>92539.638860068764</v>
      </c>
      <c r="AJ202" s="4">
        <v>93271.043818746417</v>
      </c>
      <c r="AK202" s="4">
        <v>94002.448777424128</v>
      </c>
      <c r="AL202" s="4">
        <v>94733.853736101781</v>
      </c>
      <c r="AM202" s="4">
        <v>95465.258694779492</v>
      </c>
      <c r="AN202" s="4">
        <v>96196.663653457203</v>
      </c>
    </row>
    <row r="203" spans="2:40" x14ac:dyDescent="0.2">
      <c r="C203" s="57">
        <f t="shared" si="48"/>
        <v>400</v>
      </c>
      <c r="D203" s="4">
        <v>70730.690041927373</v>
      </c>
      <c r="E203" s="4">
        <v>71462.095000605055</v>
      </c>
      <c r="F203" s="4">
        <v>72193.499959282737</v>
      </c>
      <c r="G203" s="4">
        <v>72924.904917960419</v>
      </c>
      <c r="H203" s="4">
        <v>73656.30987663813</v>
      </c>
      <c r="I203" s="4">
        <v>74387.714835315812</v>
      </c>
      <c r="J203" s="4">
        <v>75119.119793993494</v>
      </c>
      <c r="K203" s="4">
        <v>75850.524752671176</v>
      </c>
      <c r="L203" s="4">
        <v>76581.929711348886</v>
      </c>
      <c r="M203" s="4">
        <v>77313.334670026568</v>
      </c>
      <c r="N203" s="4">
        <v>78044.73962870425</v>
      </c>
      <c r="O203" s="4">
        <v>78776.144587381961</v>
      </c>
      <c r="P203" s="4">
        <v>79507.549546059643</v>
      </c>
      <c r="Q203" s="4">
        <v>80238.954504737325</v>
      </c>
      <c r="R203" s="4">
        <v>80970.359463415007</v>
      </c>
      <c r="S203" s="4">
        <v>81701.764422092689</v>
      </c>
      <c r="T203" s="4">
        <v>82433.16938077037</v>
      </c>
      <c r="U203" s="4">
        <v>83164.574339448052</v>
      </c>
      <c r="V203" s="4">
        <v>83895.979298125734</v>
      </c>
      <c r="W203" s="4">
        <v>84627.384256803445</v>
      </c>
      <c r="X203" s="4">
        <v>85358.789215481127</v>
      </c>
      <c r="Y203" s="4">
        <v>86090.194174158809</v>
      </c>
      <c r="Z203" s="4">
        <v>86821.599132836491</v>
      </c>
      <c r="AA203" s="4">
        <v>87553.004091514173</v>
      </c>
      <c r="AB203" s="4">
        <v>88284.409050191854</v>
      </c>
      <c r="AC203" s="4">
        <v>89015.814008869565</v>
      </c>
      <c r="AD203" s="4">
        <v>89747.218967547247</v>
      </c>
      <c r="AE203" s="4">
        <v>90478.623926224929</v>
      </c>
      <c r="AF203" s="4">
        <v>91210.028884902611</v>
      </c>
      <c r="AG203" s="4">
        <v>91941.433843580293</v>
      </c>
      <c r="AH203" s="4">
        <v>92672.838802257946</v>
      </c>
      <c r="AI203" s="4">
        <v>93404.243760935628</v>
      </c>
      <c r="AJ203" s="4">
        <v>94135.648719613338</v>
      </c>
      <c r="AK203" s="4">
        <v>94867.05367829102</v>
      </c>
      <c r="AL203" s="4">
        <v>95598.458636968702</v>
      </c>
      <c r="AM203" s="4">
        <v>96329.863595646384</v>
      </c>
      <c r="AN203" s="4">
        <v>97061.268554324066</v>
      </c>
    </row>
    <row r="204" spans="2:40" x14ac:dyDescent="0.2">
      <c r="C204" s="57">
        <f t="shared" si="48"/>
        <v>425</v>
      </c>
      <c r="D204" s="4">
        <v>71598.311326176816</v>
      </c>
      <c r="E204" s="4">
        <v>72329.716284854469</v>
      </c>
      <c r="F204" s="4">
        <v>73061.12124353218</v>
      </c>
      <c r="G204" s="4">
        <v>73792.526202209832</v>
      </c>
      <c r="H204" s="4">
        <v>74523.931160887543</v>
      </c>
      <c r="I204" s="4">
        <v>75255.336119565196</v>
      </c>
      <c r="J204" s="4">
        <v>75986.741078242907</v>
      </c>
      <c r="K204" s="4">
        <v>76718.146036920618</v>
      </c>
      <c r="L204" s="4">
        <v>77449.550995598271</v>
      </c>
      <c r="M204" s="4">
        <v>78180.955954275982</v>
      </c>
      <c r="N204" s="4">
        <v>78912.360912953634</v>
      </c>
      <c r="O204" s="4">
        <v>79643.765871631345</v>
      </c>
      <c r="P204" s="4">
        <v>80375.170830308998</v>
      </c>
      <c r="Q204" s="4">
        <v>81106.575788986709</v>
      </c>
      <c r="R204" s="4">
        <v>81837.98074766442</v>
      </c>
      <c r="S204" s="4">
        <v>82569.385706342073</v>
      </c>
      <c r="T204" s="4">
        <v>83300.790665019784</v>
      </c>
      <c r="U204" s="4">
        <v>84032.195623697437</v>
      </c>
      <c r="V204" s="4">
        <v>84763.600582375147</v>
      </c>
      <c r="W204" s="4">
        <v>85495.0055410528</v>
      </c>
      <c r="X204" s="4">
        <v>86226.410499730511</v>
      </c>
      <c r="Y204" s="4">
        <v>86957.815458408164</v>
      </c>
      <c r="Z204" s="4">
        <v>87689.220417085875</v>
      </c>
      <c r="AA204" s="4">
        <v>88420.625375763586</v>
      </c>
      <c r="AB204" s="4">
        <v>89152.030334441239</v>
      </c>
      <c r="AC204" s="4">
        <v>89883.43529311895</v>
      </c>
      <c r="AD204" s="4">
        <v>90614.840251796602</v>
      </c>
      <c r="AE204" s="4">
        <v>91346.245210474342</v>
      </c>
      <c r="AF204" s="4">
        <v>92077.650169151995</v>
      </c>
      <c r="AG204" s="4">
        <v>92809.055127829692</v>
      </c>
      <c r="AH204" s="4">
        <v>93540.460086507403</v>
      </c>
      <c r="AI204" s="4">
        <v>94271.86504518507</v>
      </c>
      <c r="AJ204" s="4">
        <v>95003.270003862781</v>
      </c>
      <c r="AK204" s="4">
        <v>95734.674962540434</v>
      </c>
      <c r="AL204" s="4">
        <v>96466.079921218145</v>
      </c>
      <c r="AM204" s="4">
        <v>97197.484879895797</v>
      </c>
      <c r="AN204" s="4">
        <v>97928.889838573508</v>
      </c>
    </row>
    <row r="205" spans="2:40" x14ac:dyDescent="0.2">
      <c r="C205" s="57">
        <f t="shared" si="48"/>
        <v>450</v>
      </c>
      <c r="D205" s="4">
        <v>72468.962552956888</v>
      </c>
      <c r="E205" s="4">
        <v>73200.367511634598</v>
      </c>
      <c r="F205" s="4">
        <v>73931.772470312251</v>
      </c>
      <c r="G205" s="4">
        <v>74663.177428989962</v>
      </c>
      <c r="H205" s="4">
        <v>75394.582387667673</v>
      </c>
      <c r="I205" s="4">
        <v>76125.987346345326</v>
      </c>
      <c r="J205" s="4">
        <v>76857.392305023037</v>
      </c>
      <c r="K205" s="4">
        <v>77588.79726370069</v>
      </c>
      <c r="L205" s="4">
        <v>78320.202222378401</v>
      </c>
      <c r="M205" s="4">
        <v>79051.607181056053</v>
      </c>
      <c r="N205" s="4">
        <v>79783.012139733764</v>
      </c>
      <c r="O205" s="4">
        <v>80514.417098411475</v>
      </c>
      <c r="P205" s="4">
        <v>81245.822057089128</v>
      </c>
      <c r="Q205" s="4">
        <v>81977.227015766839</v>
      </c>
      <c r="R205" s="4">
        <v>82708.631974444492</v>
      </c>
      <c r="S205" s="4">
        <v>83440.036933122203</v>
      </c>
      <c r="T205" s="4">
        <v>84171.441891799856</v>
      </c>
      <c r="U205" s="4">
        <v>84902.846850477566</v>
      </c>
      <c r="V205" s="4">
        <v>85634.251809155219</v>
      </c>
      <c r="W205" s="4">
        <v>86365.65676783293</v>
      </c>
      <c r="X205" s="4">
        <v>87097.061726510641</v>
      </c>
      <c r="Y205" s="4">
        <v>87828.466685188294</v>
      </c>
      <c r="Z205" s="4">
        <v>88559.871643866005</v>
      </c>
      <c r="AA205" s="4">
        <v>89291.276602543658</v>
      </c>
      <c r="AB205" s="4">
        <v>90022.681561221369</v>
      </c>
      <c r="AC205" s="4">
        <v>90754.08651989908</v>
      </c>
      <c r="AD205" s="4">
        <v>91485.491478576732</v>
      </c>
      <c r="AE205" s="4">
        <v>92216.896437254443</v>
      </c>
      <c r="AF205" s="4">
        <v>92948.301395932096</v>
      </c>
      <c r="AG205" s="4">
        <v>93679.706354609807</v>
      </c>
      <c r="AH205" s="4">
        <v>94411.11131328746</v>
      </c>
      <c r="AI205" s="4">
        <v>95142.516271965171</v>
      </c>
      <c r="AJ205" s="4">
        <v>95873.921230642824</v>
      </c>
      <c r="AK205" s="4">
        <v>96605.326189320534</v>
      </c>
      <c r="AL205" s="4">
        <v>97336.731147998245</v>
      </c>
      <c r="AM205" s="4">
        <v>98068.136106675898</v>
      </c>
      <c r="AN205" s="4">
        <v>98799.541065353609</v>
      </c>
    </row>
    <row r="206" spans="2:40" x14ac:dyDescent="0.2">
      <c r="C206" s="57">
        <f t="shared" si="48"/>
        <v>475</v>
      </c>
      <c r="D206" s="4">
        <v>73342.657351568399</v>
      </c>
      <c r="E206" s="4">
        <v>74074.06231024611</v>
      </c>
      <c r="F206" s="4">
        <v>74805.467268923821</v>
      </c>
      <c r="G206" s="4">
        <v>75536.872227601474</v>
      </c>
      <c r="H206" s="4">
        <v>76268.277186279185</v>
      </c>
      <c r="I206" s="4">
        <v>76999.682144956838</v>
      </c>
      <c r="J206" s="4">
        <v>77731.087103634549</v>
      </c>
      <c r="K206" s="4">
        <v>78462.492062312202</v>
      </c>
      <c r="L206" s="4">
        <v>79193.897020989913</v>
      </c>
      <c r="M206" s="4">
        <v>79925.301979667624</v>
      </c>
      <c r="N206" s="4">
        <v>80656.706938345276</v>
      </c>
      <c r="O206" s="4">
        <v>81388.111897022987</v>
      </c>
      <c r="P206" s="4">
        <v>82119.51685570064</v>
      </c>
      <c r="Q206" s="4">
        <v>82850.921814378351</v>
      </c>
      <c r="R206" s="4">
        <v>83582.326773056004</v>
      </c>
      <c r="S206" s="4">
        <v>84313.731731733715</v>
      </c>
      <c r="T206" s="4">
        <v>85045.136690411426</v>
      </c>
      <c r="U206" s="4">
        <v>85776.541649089078</v>
      </c>
      <c r="V206" s="4">
        <v>86507.946607766789</v>
      </c>
      <c r="W206" s="4">
        <v>87239.351566444442</v>
      </c>
      <c r="X206" s="4">
        <v>87970.756525122153</v>
      </c>
      <c r="Y206" s="4">
        <v>88702.161483799806</v>
      </c>
      <c r="Z206" s="4">
        <v>89433.566442477517</v>
      </c>
      <c r="AA206" s="4">
        <v>90164.971401155228</v>
      </c>
      <c r="AB206" s="4">
        <v>90896.376359832881</v>
      </c>
      <c r="AC206" s="4">
        <v>91627.781318510592</v>
      </c>
      <c r="AD206" s="4">
        <v>92359.186277188244</v>
      </c>
      <c r="AE206" s="4">
        <v>93090.591235865955</v>
      </c>
      <c r="AF206" s="4">
        <v>93821.996194543608</v>
      </c>
      <c r="AG206" s="4">
        <v>94553.401153221319</v>
      </c>
      <c r="AH206" s="4">
        <v>95284.80611189903</v>
      </c>
      <c r="AI206" s="4">
        <v>96016.211070576683</v>
      </c>
      <c r="AJ206" s="4">
        <v>96747.616029254394</v>
      </c>
      <c r="AK206" s="4">
        <v>97479.020987932046</v>
      </c>
      <c r="AL206" s="4">
        <v>98210.425946609757</v>
      </c>
      <c r="AM206" s="4">
        <v>98941.83090528741</v>
      </c>
      <c r="AN206" s="4">
        <v>99673.235863965121</v>
      </c>
    </row>
    <row r="207" spans="2:40" x14ac:dyDescent="0.2">
      <c r="C207" s="57">
        <f t="shared" si="48"/>
        <v>500</v>
      </c>
      <c r="D207" s="4">
        <v>74219.409421854594</v>
      </c>
      <c r="E207" s="4">
        <v>74950.814380532305</v>
      </c>
      <c r="F207" s="4">
        <v>75682.219339209958</v>
      </c>
      <c r="G207" s="4">
        <v>76413.624297887669</v>
      </c>
      <c r="H207" s="4">
        <v>77145.02925656538</v>
      </c>
      <c r="I207" s="4">
        <v>77876.434215243033</v>
      </c>
      <c r="J207" s="4">
        <v>78607.839173920744</v>
      </c>
      <c r="K207" s="4">
        <v>79339.244132598396</v>
      </c>
      <c r="L207" s="4">
        <v>80070.649091276107</v>
      </c>
      <c r="M207" s="4">
        <v>80802.05404995376</v>
      </c>
      <c r="N207" s="4">
        <v>81533.459008631471</v>
      </c>
      <c r="O207" s="4">
        <v>82264.863967309182</v>
      </c>
      <c r="P207" s="4">
        <v>82996.268925986835</v>
      </c>
      <c r="Q207" s="4">
        <v>83727.673884664546</v>
      </c>
      <c r="R207" s="4">
        <v>84459.078843342199</v>
      </c>
      <c r="S207" s="4">
        <v>85190.483802019909</v>
      </c>
      <c r="T207" s="4">
        <v>85921.888760697562</v>
      </c>
      <c r="U207" s="4">
        <v>86653.293719375273</v>
      </c>
      <c r="V207" s="4">
        <v>87384.698678052926</v>
      </c>
      <c r="W207" s="4">
        <v>88116.103636730637</v>
      </c>
      <c r="X207" s="4">
        <v>88847.508595408348</v>
      </c>
      <c r="Y207" s="4">
        <v>89578.913554086001</v>
      </c>
      <c r="Z207" s="4">
        <v>90310.318512763712</v>
      </c>
      <c r="AA207" s="4">
        <v>91041.723471441364</v>
      </c>
      <c r="AB207" s="4">
        <v>91773.128430119075</v>
      </c>
      <c r="AC207" s="4">
        <v>92504.533388796728</v>
      </c>
      <c r="AD207" s="4">
        <v>93235.938347474439</v>
      </c>
      <c r="AE207" s="4">
        <v>93967.34330615215</v>
      </c>
      <c r="AF207" s="4">
        <v>94698.748264829803</v>
      </c>
      <c r="AG207" s="4">
        <v>95430.153223507528</v>
      </c>
      <c r="AH207" s="4">
        <v>96161.558182185181</v>
      </c>
      <c r="AI207" s="4">
        <v>96892.963140862892</v>
      </c>
      <c r="AJ207" s="4">
        <v>97624.368099540545</v>
      </c>
      <c r="AK207" s="4">
        <v>98355.773058218256</v>
      </c>
      <c r="AL207" s="4">
        <v>99087.178016895967</v>
      </c>
      <c r="AM207" s="4">
        <v>99818.582975573619</v>
      </c>
      <c r="AN207" s="4">
        <v>100549.98793425133</v>
      </c>
    </row>
    <row r="208" spans="2:40" x14ac:dyDescent="0.2">
      <c r="C208" s="57">
        <f t="shared" si="48"/>
        <v>525</v>
      </c>
      <c r="D208" s="4">
        <v>75099.232534597657</v>
      </c>
      <c r="E208" s="4">
        <v>75830.63749327531</v>
      </c>
      <c r="F208" s="4">
        <v>76562.042451953021</v>
      </c>
      <c r="G208" s="4">
        <v>77293.447410630732</v>
      </c>
      <c r="H208" s="4">
        <v>78024.852369308384</v>
      </c>
      <c r="I208" s="4">
        <v>78756.257327986095</v>
      </c>
      <c r="J208" s="4">
        <v>79487.662286663748</v>
      </c>
      <c r="K208" s="4">
        <v>80219.067245341488</v>
      </c>
      <c r="L208" s="4">
        <v>80950.472204019141</v>
      </c>
      <c r="M208" s="4">
        <v>81681.877162696852</v>
      </c>
      <c r="N208" s="4">
        <v>82413.282121374563</v>
      </c>
      <c r="O208" s="4">
        <v>83144.687080052216</v>
      </c>
      <c r="P208" s="4">
        <v>83876.092038729897</v>
      </c>
      <c r="Q208" s="4">
        <v>84607.496997407579</v>
      </c>
      <c r="R208" s="4">
        <v>85338.901956085261</v>
      </c>
      <c r="S208" s="4">
        <v>86070.306914762943</v>
      </c>
      <c r="T208" s="4">
        <v>86801.711873440654</v>
      </c>
      <c r="U208" s="4">
        <v>87533.116832118336</v>
      </c>
      <c r="V208" s="4">
        <v>88264.521790795989</v>
      </c>
      <c r="W208" s="4">
        <v>88995.92674947367</v>
      </c>
      <c r="X208" s="4">
        <v>89727.331708151352</v>
      </c>
      <c r="Y208" s="4">
        <v>90458.736666829034</v>
      </c>
      <c r="Z208" s="4">
        <v>91190.141625506716</v>
      </c>
      <c r="AA208" s="4">
        <v>91921.546584184427</v>
      </c>
      <c r="AB208" s="4">
        <v>92652.951542862109</v>
      </c>
      <c r="AC208" s="4">
        <v>93384.356501539791</v>
      </c>
      <c r="AD208" s="4">
        <v>94115.761460217473</v>
      </c>
      <c r="AE208" s="4">
        <v>94847.166418895154</v>
      </c>
      <c r="AF208" s="4">
        <v>95578.571377572836</v>
      </c>
      <c r="AG208" s="4">
        <v>96309.976336250547</v>
      </c>
      <c r="AH208" s="4">
        <v>97041.381294928229</v>
      </c>
      <c r="AI208" s="4">
        <v>97772.786253605911</v>
      </c>
      <c r="AJ208" s="4">
        <v>98504.191212283593</v>
      </c>
      <c r="AK208" s="4">
        <v>99235.596170961275</v>
      </c>
      <c r="AL208" s="4">
        <v>99967.001129638957</v>
      </c>
      <c r="AM208" s="4">
        <v>100698.40608831664</v>
      </c>
      <c r="AN208" s="4">
        <v>101429.81104699435</v>
      </c>
    </row>
    <row r="209" spans="3:40" x14ac:dyDescent="0.2">
      <c r="C209" s="57">
        <f t="shared" si="48"/>
        <v>550</v>
      </c>
      <c r="D209" s="4">
        <v>75982.140531911966</v>
      </c>
      <c r="E209" s="4">
        <v>76713.545490589619</v>
      </c>
      <c r="F209" s="4">
        <v>77444.95044926733</v>
      </c>
      <c r="G209" s="4">
        <v>78176.355407944982</v>
      </c>
      <c r="H209" s="4">
        <v>78907.760366622693</v>
      </c>
      <c r="I209" s="4">
        <v>79639.165325300404</v>
      </c>
      <c r="J209" s="4">
        <v>80370.570283978057</v>
      </c>
      <c r="K209" s="4">
        <v>81101.975242655768</v>
      </c>
      <c r="L209" s="4">
        <v>81833.380201333421</v>
      </c>
      <c r="M209" s="4">
        <v>82564.785160011132</v>
      </c>
      <c r="N209" s="4">
        <v>83296.190118688784</v>
      </c>
      <c r="O209" s="4">
        <v>84027.595077366495</v>
      </c>
      <c r="P209" s="4">
        <v>84759.000036044148</v>
      </c>
      <c r="Q209" s="4">
        <v>85490.404994721859</v>
      </c>
      <c r="R209" s="4">
        <v>86221.80995339957</v>
      </c>
      <c r="S209" s="4">
        <v>86953.214912077223</v>
      </c>
      <c r="T209" s="4">
        <v>87684.619870754934</v>
      </c>
      <c r="U209" s="4">
        <v>88416.024829432587</v>
      </c>
      <c r="V209" s="4">
        <v>89147.429788110298</v>
      </c>
      <c r="W209" s="4">
        <v>89878.83474678795</v>
      </c>
      <c r="X209" s="4">
        <v>90610.239705465661</v>
      </c>
      <c r="Y209" s="4">
        <v>91341.644664143372</v>
      </c>
      <c r="Z209" s="4">
        <v>92073.049622821025</v>
      </c>
      <c r="AA209" s="4">
        <v>92804.454581498736</v>
      </c>
      <c r="AB209" s="4">
        <v>93535.859540176389</v>
      </c>
      <c r="AC209" s="4">
        <v>94267.2644988541</v>
      </c>
      <c r="AD209" s="4">
        <v>94998.669457531782</v>
      </c>
      <c r="AE209" s="4">
        <v>95730.074416209463</v>
      </c>
      <c r="AF209" s="4">
        <v>96461.479374887174</v>
      </c>
      <c r="AG209" s="4">
        <v>97192.884333564827</v>
      </c>
      <c r="AH209" s="4">
        <v>97924.289292242538</v>
      </c>
      <c r="AI209" s="4">
        <v>98655.694250920191</v>
      </c>
      <c r="AJ209" s="4">
        <v>99387.099209597902</v>
      </c>
      <c r="AK209" s="4">
        <v>100118.50416827555</v>
      </c>
      <c r="AL209" s="4">
        <v>100849.90912695327</v>
      </c>
      <c r="AM209" s="4">
        <v>101581.31408563098</v>
      </c>
      <c r="AN209" s="4">
        <v>102312.71904430863</v>
      </c>
    </row>
    <row r="210" spans="3:40" x14ac:dyDescent="0.2">
      <c r="C210" s="57">
        <f t="shared" si="48"/>
        <v>575</v>
      </c>
      <c r="D210" s="4">
        <v>76868.147327641433</v>
      </c>
      <c r="E210" s="4">
        <v>77599.552286319085</v>
      </c>
      <c r="F210" s="4">
        <v>78330.957244996796</v>
      </c>
      <c r="G210" s="4">
        <v>79062.362203674449</v>
      </c>
      <c r="H210" s="4">
        <v>79793.76716235216</v>
      </c>
      <c r="I210" s="4">
        <v>80525.172121029871</v>
      </c>
      <c r="J210" s="4">
        <v>81256.577079707524</v>
      </c>
      <c r="K210" s="4">
        <v>81987.982038385235</v>
      </c>
      <c r="L210" s="4">
        <v>82719.386997062888</v>
      </c>
      <c r="M210" s="4">
        <v>83450.791955740598</v>
      </c>
      <c r="N210" s="4">
        <v>84182.19691441828</v>
      </c>
      <c r="O210" s="4">
        <v>84913.601873095991</v>
      </c>
      <c r="P210" s="4">
        <v>85645.006831773702</v>
      </c>
      <c r="Q210" s="4">
        <v>86376.411790451355</v>
      </c>
      <c r="R210" s="4">
        <v>87107.816749129066</v>
      </c>
      <c r="S210" s="4">
        <v>87839.221707806719</v>
      </c>
      <c r="T210" s="4">
        <v>88570.62666648443</v>
      </c>
      <c r="U210" s="4">
        <v>89302.031625162082</v>
      </c>
      <c r="V210" s="4">
        <v>90033.436583839793</v>
      </c>
      <c r="W210" s="4">
        <v>90764.841542517446</v>
      </c>
      <c r="X210" s="4">
        <v>91496.246501195157</v>
      </c>
      <c r="Y210" s="4">
        <v>92227.65145987281</v>
      </c>
      <c r="Z210" s="4">
        <v>92959.056418550521</v>
      </c>
      <c r="AA210" s="4">
        <v>93690.461377228232</v>
      </c>
      <c r="AB210" s="4">
        <v>94421.866335905885</v>
      </c>
      <c r="AC210" s="4">
        <v>95153.271294583596</v>
      </c>
      <c r="AD210" s="4">
        <v>95884.676253261248</v>
      </c>
      <c r="AE210" s="4">
        <v>96616.081211938959</v>
      </c>
      <c r="AF210" s="4">
        <v>97347.486170616612</v>
      </c>
      <c r="AG210" s="4">
        <v>98078.891129294323</v>
      </c>
      <c r="AH210" s="4">
        <v>98810.296087972005</v>
      </c>
      <c r="AI210" s="4">
        <v>99541.701046649687</v>
      </c>
      <c r="AJ210" s="4">
        <v>100273.10600532737</v>
      </c>
      <c r="AK210" s="4">
        <v>101004.51096400505</v>
      </c>
      <c r="AL210" s="4">
        <v>101735.91592268273</v>
      </c>
      <c r="AM210" s="4">
        <v>102467.32088136041</v>
      </c>
      <c r="AN210" s="4">
        <v>103198.72584003813</v>
      </c>
    </row>
    <row r="211" spans="3:40" x14ac:dyDescent="0.2">
      <c r="C211" s="57">
        <f t="shared" si="48"/>
        <v>600</v>
      </c>
      <c r="D211" s="4">
        <v>77757.266907758705</v>
      </c>
      <c r="E211" s="4">
        <v>78488.671866436358</v>
      </c>
      <c r="F211" s="4">
        <v>79220.076825114069</v>
      </c>
      <c r="G211" s="4">
        <v>79951.48178379178</v>
      </c>
      <c r="H211" s="4">
        <v>80682.886742469433</v>
      </c>
      <c r="I211" s="4">
        <v>81414.291701147144</v>
      </c>
      <c r="J211" s="4">
        <v>82145.696659824796</v>
      </c>
      <c r="K211" s="4">
        <v>82877.101618502507</v>
      </c>
      <c r="L211" s="4">
        <v>83608.50657718016</v>
      </c>
      <c r="M211" s="4">
        <v>84339.911535857871</v>
      </c>
      <c r="N211" s="4">
        <v>85071.316494535582</v>
      </c>
      <c r="O211" s="4">
        <v>85802.721453213235</v>
      </c>
      <c r="P211" s="4">
        <v>86534.126411890946</v>
      </c>
      <c r="Q211" s="4">
        <v>87265.531370568599</v>
      </c>
      <c r="R211" s="4">
        <v>87996.936329246309</v>
      </c>
      <c r="S211" s="4">
        <v>88728.341287923962</v>
      </c>
      <c r="T211" s="4">
        <v>89459.746246601673</v>
      </c>
      <c r="U211" s="4">
        <v>90191.151205279384</v>
      </c>
      <c r="V211" s="4">
        <v>90922.556163957037</v>
      </c>
      <c r="W211" s="4">
        <v>91653.961122634748</v>
      </c>
      <c r="X211" s="4">
        <v>92385.366081312401</v>
      </c>
      <c r="Y211" s="4">
        <v>93116.771039990112</v>
      </c>
      <c r="Z211" s="4">
        <v>93848.175998667764</v>
      </c>
      <c r="AA211" s="4">
        <v>94579.58095734549</v>
      </c>
      <c r="AB211" s="4">
        <v>95310.985916023201</v>
      </c>
      <c r="AC211" s="4">
        <v>96042.390874700883</v>
      </c>
      <c r="AD211" s="4">
        <v>96773.795833378594</v>
      </c>
      <c r="AE211" s="4">
        <v>97505.200792056246</v>
      </c>
      <c r="AF211" s="4">
        <v>98236.605750733957</v>
      </c>
      <c r="AG211" s="4">
        <v>98968.01070941161</v>
      </c>
      <c r="AH211" s="4">
        <v>99699.415668089379</v>
      </c>
      <c r="AI211" s="4">
        <v>100430.82062676703</v>
      </c>
      <c r="AJ211" s="4">
        <v>101162.22558544474</v>
      </c>
      <c r="AK211" s="4">
        <v>101893.6305441224</v>
      </c>
      <c r="AL211" s="4">
        <v>102625.03550280011</v>
      </c>
      <c r="AM211" s="4">
        <v>103356.44046147776</v>
      </c>
      <c r="AN211" s="4">
        <v>104087.84542015547</v>
      </c>
    </row>
    <row r="212" spans="3:40" x14ac:dyDescent="0.2">
      <c r="C212" s="57">
        <f t="shared" si="48"/>
        <v>625</v>
      </c>
      <c r="D212" s="4">
        <v>78649.513330769812</v>
      </c>
      <c r="E212" s="4">
        <v>79380.918289447523</v>
      </c>
      <c r="F212" s="4">
        <v>80112.323248125176</v>
      </c>
      <c r="G212" s="4">
        <v>80843.728206802887</v>
      </c>
      <c r="H212" s="4">
        <v>81575.13316548054</v>
      </c>
      <c r="I212" s="4">
        <v>82306.538124158251</v>
      </c>
      <c r="J212" s="4">
        <v>83037.943082835962</v>
      </c>
      <c r="K212" s="4">
        <v>83769.348041513615</v>
      </c>
      <c r="L212" s="4">
        <v>84500.753000191326</v>
      </c>
      <c r="M212" s="4">
        <v>85232.157958868978</v>
      </c>
      <c r="N212" s="4">
        <v>85963.562917546689</v>
      </c>
      <c r="O212" s="4">
        <v>86694.967876224342</v>
      </c>
      <c r="P212" s="4">
        <v>87426.372834902053</v>
      </c>
      <c r="Q212" s="4">
        <v>88157.777793579764</v>
      </c>
      <c r="R212" s="4">
        <v>88889.182752257417</v>
      </c>
      <c r="S212" s="4">
        <v>89620.587710935128</v>
      </c>
      <c r="T212" s="4">
        <v>90351.99266961278</v>
      </c>
      <c r="U212" s="4">
        <v>91083.397628290491</v>
      </c>
      <c r="V212" s="4">
        <v>91814.802586968144</v>
      </c>
      <c r="W212" s="4">
        <v>92546.207545645855</v>
      </c>
      <c r="X212" s="4">
        <v>93277.612504323566</v>
      </c>
      <c r="Y212" s="4">
        <v>94009.017463001219</v>
      </c>
      <c r="Z212" s="4">
        <v>94740.42242167893</v>
      </c>
      <c r="AA212" s="4">
        <v>95471.827380356583</v>
      </c>
      <c r="AB212" s="4">
        <v>96203.232339034294</v>
      </c>
      <c r="AC212" s="4">
        <v>96934.637297712034</v>
      </c>
      <c r="AD212" s="4">
        <v>97666.042256389686</v>
      </c>
      <c r="AE212" s="4">
        <v>98397.447215067397</v>
      </c>
      <c r="AF212" s="4">
        <v>99128.85217374505</v>
      </c>
      <c r="AG212" s="4">
        <v>99860.257132422761</v>
      </c>
      <c r="AH212" s="4">
        <v>100591.66209110041</v>
      </c>
      <c r="AI212" s="4">
        <v>101323.06704977812</v>
      </c>
      <c r="AJ212" s="4">
        <v>102054.47200845584</v>
      </c>
      <c r="AK212" s="4">
        <v>102785.87696713349</v>
      </c>
      <c r="AL212" s="4">
        <v>103517.2819258112</v>
      </c>
      <c r="AM212" s="4">
        <v>104248.68688448885</v>
      </c>
      <c r="AN212" s="4">
        <v>104980.09184316656</v>
      </c>
    </row>
    <row r="213" spans="3:40" x14ac:dyDescent="0.2">
      <c r="C213" s="57">
        <f t="shared" si="48"/>
        <v>650</v>
      </c>
      <c r="D213" s="4">
        <v>79544.900728115565</v>
      </c>
      <c r="E213" s="4">
        <v>80276.305686793217</v>
      </c>
      <c r="F213" s="4">
        <v>81007.710645470928</v>
      </c>
      <c r="G213" s="4">
        <v>81739.115604148581</v>
      </c>
      <c r="H213" s="4">
        <v>82470.520562826292</v>
      </c>
      <c r="I213" s="4">
        <v>83201.925521504003</v>
      </c>
      <c r="J213" s="4">
        <v>83933.330480181656</v>
      </c>
      <c r="K213" s="4">
        <v>84664.735438859367</v>
      </c>
      <c r="L213" s="4">
        <v>85396.140397537019</v>
      </c>
      <c r="M213" s="4">
        <v>86127.54535621473</v>
      </c>
      <c r="N213" s="4">
        <v>86858.950314892383</v>
      </c>
      <c r="O213" s="4">
        <v>87590.355273570094</v>
      </c>
      <c r="P213" s="4">
        <v>88321.760232247805</v>
      </c>
      <c r="Q213" s="4">
        <v>89053.165190925458</v>
      </c>
      <c r="R213" s="4">
        <v>89784.570149603169</v>
      </c>
      <c r="S213" s="4">
        <v>90515.975108280822</v>
      </c>
      <c r="T213" s="4">
        <v>91247.380066958533</v>
      </c>
      <c r="U213" s="4">
        <v>91978.785025636214</v>
      </c>
      <c r="V213" s="4">
        <v>92710.189984313896</v>
      </c>
      <c r="W213" s="4">
        <v>93441.594942991607</v>
      </c>
      <c r="X213" s="4">
        <v>94172.999901669289</v>
      </c>
      <c r="Y213" s="4">
        <v>94904.404860346971</v>
      </c>
      <c r="Z213" s="4">
        <v>95635.809819024653</v>
      </c>
      <c r="AA213" s="4">
        <v>96367.214777702335</v>
      </c>
      <c r="AB213" s="4">
        <v>97098.619736380017</v>
      </c>
      <c r="AC213" s="4">
        <v>97830.024695057728</v>
      </c>
      <c r="AD213" s="4">
        <v>98561.429653735409</v>
      </c>
      <c r="AE213" s="4">
        <v>99292.834612413091</v>
      </c>
      <c r="AF213" s="4">
        <v>100024.23957109077</v>
      </c>
      <c r="AG213" s="4">
        <v>100755.64452976848</v>
      </c>
      <c r="AH213" s="4">
        <v>101487.04948844617</v>
      </c>
      <c r="AI213" s="4">
        <v>102218.45444712385</v>
      </c>
      <c r="AJ213" s="4">
        <v>102949.85940580153</v>
      </c>
      <c r="AK213" s="4">
        <v>103681.26436447924</v>
      </c>
      <c r="AL213" s="4">
        <v>104412.66932315692</v>
      </c>
      <c r="AM213" s="4">
        <v>105144.0742818346</v>
      </c>
      <c r="AN213" s="4">
        <v>105875.47924051229</v>
      </c>
    </row>
    <row r="214" spans="3:40" x14ac:dyDescent="0.2">
      <c r="C214" s="57">
        <f t="shared" si="48"/>
        <v>675</v>
      </c>
      <c r="D214" s="4">
        <v>80443.44330457857</v>
      </c>
      <c r="E214" s="4">
        <v>81174.848263256223</v>
      </c>
      <c r="F214" s="4">
        <v>81906.253221933934</v>
      </c>
      <c r="G214" s="4">
        <v>82637.658180611586</v>
      </c>
      <c r="H214" s="4">
        <v>83369.063139289327</v>
      </c>
      <c r="I214" s="4">
        <v>84100.468097967037</v>
      </c>
      <c r="J214" s="4">
        <v>84831.87305664469</v>
      </c>
      <c r="K214" s="4">
        <v>85563.278015322401</v>
      </c>
      <c r="L214" s="4">
        <v>86294.682974000112</v>
      </c>
      <c r="M214" s="4">
        <v>87026.087932677823</v>
      </c>
      <c r="N214" s="4">
        <v>87757.492891355476</v>
      </c>
      <c r="O214" s="4">
        <v>88488.897850033187</v>
      </c>
      <c r="P214" s="4">
        <v>89220.302808710869</v>
      </c>
      <c r="Q214" s="4">
        <v>89951.707767388551</v>
      </c>
      <c r="R214" s="4">
        <v>90683.112726066232</v>
      </c>
      <c r="S214" s="4">
        <v>91414.517684743914</v>
      </c>
      <c r="T214" s="4">
        <v>92145.922643421625</v>
      </c>
      <c r="U214" s="4">
        <v>92877.327602099278</v>
      </c>
      <c r="V214" s="4">
        <v>93608.732560776989</v>
      </c>
      <c r="W214" s="4">
        <v>94340.137519454671</v>
      </c>
      <c r="X214" s="4">
        <v>95071.542478132353</v>
      </c>
      <c r="Y214" s="4">
        <v>95802.947436810035</v>
      </c>
      <c r="Z214" s="4">
        <v>96534.352395487716</v>
      </c>
      <c r="AA214" s="4">
        <v>97265.757354165427</v>
      </c>
      <c r="AB214" s="4">
        <v>97997.16231284308</v>
      </c>
      <c r="AC214" s="4">
        <v>98728.567271520791</v>
      </c>
      <c r="AD214" s="4">
        <v>99459.972230198473</v>
      </c>
      <c r="AE214" s="4">
        <v>100191.37718887615</v>
      </c>
      <c r="AF214" s="4">
        <v>100922.78214755384</v>
      </c>
      <c r="AG214" s="4">
        <v>101654.18710623152</v>
      </c>
      <c r="AH214" s="4">
        <v>102385.59206490923</v>
      </c>
      <c r="AI214" s="4">
        <v>103116.99702358688</v>
      </c>
      <c r="AJ214" s="4">
        <v>103848.40198226459</v>
      </c>
      <c r="AK214" s="4">
        <v>104579.80694094228</v>
      </c>
      <c r="AL214" s="4">
        <v>105311.21189961996</v>
      </c>
      <c r="AM214" s="4">
        <v>106042.61685829764</v>
      </c>
      <c r="AN214" s="4">
        <v>106774.02181697532</v>
      </c>
    </row>
    <row r="215" spans="3:40" x14ac:dyDescent="0.2">
      <c r="C215" s="57">
        <f t="shared" si="48"/>
        <v>700</v>
      </c>
      <c r="D215" s="4">
        <v>81345.155338694341</v>
      </c>
      <c r="E215" s="4">
        <v>82076.560297372052</v>
      </c>
      <c r="F215" s="4">
        <v>82807.965256049705</v>
      </c>
      <c r="G215" s="4">
        <v>83539.370214727416</v>
      </c>
      <c r="H215" s="4">
        <v>84270.775173405127</v>
      </c>
      <c r="I215" s="4">
        <v>85002.18013208278</v>
      </c>
      <c r="J215" s="4">
        <v>85733.585090760491</v>
      </c>
      <c r="K215" s="4">
        <v>86464.990049438144</v>
      </c>
      <c r="L215" s="4">
        <v>87196.395008115855</v>
      </c>
      <c r="M215" s="4">
        <v>87927.799966793507</v>
      </c>
      <c r="N215" s="4">
        <v>88659.204925471218</v>
      </c>
      <c r="O215" s="4">
        <v>89390.609884148871</v>
      </c>
      <c r="P215" s="4">
        <v>90122.014842826582</v>
      </c>
      <c r="Q215" s="4">
        <v>90853.419801504293</v>
      </c>
      <c r="R215" s="4">
        <v>91584.824760181946</v>
      </c>
      <c r="S215" s="4">
        <v>92316.229718859657</v>
      </c>
      <c r="T215" s="4">
        <v>93047.634677537368</v>
      </c>
      <c r="U215" s="4">
        <v>93779.03963621502</v>
      </c>
      <c r="V215" s="4">
        <v>94510.444594892731</v>
      </c>
      <c r="W215" s="4">
        <v>95241.849553570384</v>
      </c>
      <c r="X215" s="4">
        <v>95973.254512248095</v>
      </c>
      <c r="Y215" s="4">
        <v>96704.659470925748</v>
      </c>
      <c r="Z215" s="4">
        <v>97436.064429603459</v>
      </c>
      <c r="AA215" s="4">
        <v>98167.46938828117</v>
      </c>
      <c r="AB215" s="4">
        <v>98898.874346958823</v>
      </c>
      <c r="AC215" s="4">
        <v>99630.279305636534</v>
      </c>
      <c r="AD215" s="4">
        <v>100361.68426431419</v>
      </c>
      <c r="AE215" s="4">
        <v>101093.0892229919</v>
      </c>
      <c r="AF215" s="4">
        <v>101824.49418166955</v>
      </c>
      <c r="AG215" s="4">
        <v>102555.89914034726</v>
      </c>
      <c r="AH215" s="4">
        <v>103287.30409902494</v>
      </c>
      <c r="AI215" s="4">
        <v>104018.70905770262</v>
      </c>
      <c r="AJ215" s="4">
        <v>104750.11401638031</v>
      </c>
      <c r="AK215" s="4">
        <v>105481.51897505799</v>
      </c>
      <c r="AL215" s="4">
        <v>106212.92393373567</v>
      </c>
      <c r="AM215" s="4">
        <v>106944.32889241335</v>
      </c>
      <c r="AN215" s="4">
        <v>107675.73385109106</v>
      </c>
    </row>
    <row r="216" spans="3:40" x14ac:dyDescent="0.2">
      <c r="C216" s="5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3:40" x14ac:dyDescent="0.2">
      <c r="C217" s="5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3:40" x14ac:dyDescent="0.2">
      <c r="C218" s="5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3:40" x14ac:dyDescent="0.2">
      <c r="C219" s="59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3:40" x14ac:dyDescent="0.2">
      <c r="C220" s="59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3:40" x14ac:dyDescent="0.2">
      <c r="C221" s="59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3:40" x14ac:dyDescent="0.2">
      <c r="C222" s="59"/>
      <c r="E222" s="4">
        <f>Sheet2!AD43</f>
        <v>72901.886266092159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3:40" ht="15.75" x14ac:dyDescent="0.25">
      <c r="C223" s="59"/>
      <c r="D223" s="65">
        <v>0.15</v>
      </c>
      <c r="E223" s="64">
        <f t="dataTable" ref="E223:E243" dt2D="0" dtr="0" r1="M18"/>
        <v>65619.567110052303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3:40" ht="15.75" x14ac:dyDescent="0.25">
      <c r="C224" s="59"/>
      <c r="D224" s="65">
        <v>0.16</v>
      </c>
      <c r="E224" s="64">
        <v>67044.762922987356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3:24" ht="15.75" x14ac:dyDescent="0.25">
      <c r="C225" s="59"/>
      <c r="D225" s="65">
        <v>0.17</v>
      </c>
      <c r="E225" s="64">
        <v>68485.378498284248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3:24" ht="15.75" x14ac:dyDescent="0.25">
      <c r="C226" s="59"/>
      <c r="D226" s="65">
        <v>0.18</v>
      </c>
      <c r="E226" s="64">
        <v>69941.626328882601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3:24" ht="15.75" x14ac:dyDescent="0.25">
      <c r="C227" s="59"/>
      <c r="D227" s="65">
        <v>0.19</v>
      </c>
      <c r="E227" s="64">
        <v>71413.722402270767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3:24" ht="15.75" x14ac:dyDescent="0.25">
      <c r="C228" s="59"/>
      <c r="D228" s="65">
        <v>0.2</v>
      </c>
      <c r="E228" s="64">
        <v>72901.886266092159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3:24" ht="15.75" x14ac:dyDescent="0.25">
      <c r="C229" s="59"/>
      <c r="D229" s="65">
        <v>0.21</v>
      </c>
      <c r="E229" s="64">
        <v>74406.341095089374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3:24" ht="15.75" x14ac:dyDescent="0.25">
      <c r="C230" s="59"/>
      <c r="D230" s="65">
        <v>0.22</v>
      </c>
      <c r="E230" s="64">
        <v>75927.313759401819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3:24" ht="15.75" x14ac:dyDescent="0.25">
      <c r="C231" s="59"/>
      <c r="D231" s="65">
        <v>0.23</v>
      </c>
      <c r="E231" s="64">
        <v>77465.034894259967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3:24" ht="15.75" x14ac:dyDescent="0.25">
      <c r="C232" s="59"/>
      <c r="D232" s="65">
        <v>0.24</v>
      </c>
      <c r="E232" s="64">
        <v>79019.738971092971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3:24" ht="15.75" x14ac:dyDescent="0.25">
      <c r="C233" s="59"/>
      <c r="D233" s="65">
        <v>0.25</v>
      </c>
      <c r="E233" s="64">
        <v>80591.664370088954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3:24" ht="15.75" x14ac:dyDescent="0.25">
      <c r="C234" s="59"/>
      <c r="D234" s="65">
        <v>0.26</v>
      </c>
      <c r="E234" s="64">
        <v>82181.053454231995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3:24" ht="15.75" x14ac:dyDescent="0.25">
      <c r="C235" s="59"/>
      <c r="D235" s="65">
        <v>0.27</v>
      </c>
      <c r="E235" s="64">
        <v>83788.152644848393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3:24" ht="15.75" x14ac:dyDescent="0.25">
      <c r="C236" s="59"/>
      <c r="D236" s="65">
        <v>0.28000000000000003</v>
      </c>
      <c r="E236" s="64">
        <v>85413.212498698995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3:24" ht="15.75" x14ac:dyDescent="0.25">
      <c r="C237" s="59"/>
      <c r="D237" s="65">
        <v>0.28999999999999998</v>
      </c>
      <c r="E237" s="64">
        <v>87056.487786639074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3:24" ht="15.75" x14ac:dyDescent="0.25">
      <c r="C238" s="59"/>
      <c r="D238" s="65">
        <v>0.3</v>
      </c>
      <c r="E238" s="64">
        <v>88718.237573892344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3:24" ht="15.75" x14ac:dyDescent="0.25">
      <c r="C239" s="59"/>
      <c r="D239" s="65">
        <v>0.31</v>
      </c>
      <c r="E239" s="64">
        <v>90398.725301961153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3:24" ht="15.75" x14ac:dyDescent="0.25">
      <c r="C240" s="59"/>
      <c r="D240" s="65">
        <v>0.32</v>
      </c>
      <c r="E240" s="64">
        <v>92098.218872212223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3:24" ht="15.75" x14ac:dyDescent="0.25">
      <c r="C241" s="59"/>
      <c r="D241" s="65">
        <v>0.33</v>
      </c>
      <c r="E241" s="64">
        <v>93816.990731177619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3:24" ht="15.75" x14ac:dyDescent="0.25">
      <c r="C242" s="59"/>
      <c r="D242" s="65">
        <v>0.34</v>
      </c>
      <c r="E242" s="64">
        <v>95555.317957594933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3:24" ht="15.75" x14ac:dyDescent="0.25">
      <c r="C243" s="59"/>
      <c r="D243" s="65">
        <v>0.35</v>
      </c>
      <c r="E243" s="64">
        <v>97313.48235123785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3:24" x14ac:dyDescent="0.2">
      <c r="C244" s="59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3:24" x14ac:dyDescent="0.2">
      <c r="C245" s="59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3:24" x14ac:dyDescent="0.2">
      <c r="C246" s="59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3:24" x14ac:dyDescent="0.2">
      <c r="C247" s="59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3:24" x14ac:dyDescent="0.2">
      <c r="C248" s="59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3:24" x14ac:dyDescent="0.2">
      <c r="C249" s="59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3:24" x14ac:dyDescent="0.2">
      <c r="C250" s="59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3:24" x14ac:dyDescent="0.2">
      <c r="C251" s="59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3:24" x14ac:dyDescent="0.2">
      <c r="C252" s="59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3:24" x14ac:dyDescent="0.2">
      <c r="C253" s="59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3:24" x14ac:dyDescent="0.2">
      <c r="C254" s="59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3:24" x14ac:dyDescent="0.2">
      <c r="C255" s="59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3:24" x14ac:dyDescent="0.2">
      <c r="C256" s="59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3:24" x14ac:dyDescent="0.2">
      <c r="C257" s="59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3:24" x14ac:dyDescent="0.2">
      <c r="C258" s="59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3:24" x14ac:dyDescent="0.2">
      <c r="C259" s="59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3:24" x14ac:dyDescent="0.2">
      <c r="C260" s="59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3:24" x14ac:dyDescent="0.2">
      <c r="C261" s="59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3:24" x14ac:dyDescent="0.2">
      <c r="C262" s="59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3:24" x14ac:dyDescent="0.2">
      <c r="C263" s="59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3:24" x14ac:dyDescent="0.2">
      <c r="C264" s="59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3:24" x14ac:dyDescent="0.2">
      <c r="C265" s="59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3:24" x14ac:dyDescent="0.2">
      <c r="C266" s="59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3:24" x14ac:dyDescent="0.2">
      <c r="C267" s="59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3:24" x14ac:dyDescent="0.2">
      <c r="C268" s="59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3:24" x14ac:dyDescent="0.2">
      <c r="C269" s="59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3:24" x14ac:dyDescent="0.2">
      <c r="C270" s="59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3:24" x14ac:dyDescent="0.2">
      <c r="C271" s="59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3:24" x14ac:dyDescent="0.2">
      <c r="C272" s="59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C273" s="59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C274" s="59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C275" s="59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C276" s="59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C277" s="59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C278" s="59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C279" s="59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C280" s="59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C281" s="59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C282" s="59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B283" t="s">
        <v>38</v>
      </c>
      <c r="C283" s="59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6" spans="1:24" x14ac:dyDescent="0.2">
      <c r="B286" s="2" t="s">
        <v>4</v>
      </c>
      <c r="D286" s="4">
        <f>((D46)*(1+$G$14/12)^($A$64-$A51+1))-(D46)</f>
        <v>372.39869451924324</v>
      </c>
      <c r="E286" s="4">
        <f>((E46)*(1+$G$14/12)^($A$64-$A51+1))-(E46)</f>
        <v>372.39869451924324</v>
      </c>
      <c r="F286" s="4">
        <f>+((F46)*(1+$G$14/12)^($A$68-$A51+1))-(F46)</f>
        <v>243.50901993644766</v>
      </c>
      <c r="G286" s="4">
        <f>+((G46)*(1+$G$14/12)^($A$68-$A51+1))-(G46)</f>
        <v>243.50901993644766</v>
      </c>
      <c r="H286" s="4">
        <f>((H46)*(1+$G$14/12)^($A$70-$A51+1))-(H46)</f>
        <v>272.64359228391822</v>
      </c>
      <c r="I286" s="4">
        <f>((I46)*(1+$G$14/12)^($A$70-$A51+1))-(I46)</f>
        <v>272.64359228391822</v>
      </c>
      <c r="J286" s="4">
        <f>((J46)*(1+$G$14/12)^($A$74-$A51+1))-(J46)</f>
        <v>511.81192056202644</v>
      </c>
      <c r="K286" s="4">
        <f>((K46)*(1+$G$14/12)^($A$74-$A51+1))-(K46)</f>
        <v>511.81192056202644</v>
      </c>
      <c r="L286" s="4">
        <f>((L46)*(1+$G$14/12)^($A$74-$A51+1))-(L46)</f>
        <v>511.81192056202644</v>
      </c>
      <c r="M286" s="4">
        <f>((M46)*(1+$G$14/12)^($A$74-$A51+1))-(M46)</f>
        <v>511.81192056202644</v>
      </c>
      <c r="N286" s="4">
        <f>((N46)*(1+$G$14/12)^($A$76-$A51+1))-(N46)</f>
        <v>555.1061346622364</v>
      </c>
      <c r="O286" s="4">
        <f>((O46)*(1+$G$14/12)^($A$76-$A51+1))-(O46)</f>
        <v>555.1061346622364</v>
      </c>
      <c r="P286" s="28">
        <f>((P46)*(1+$G$14/12)^($A$83-$A51+1))-(P46)</f>
        <v>723.92669941391796</v>
      </c>
      <c r="Q286" s="4">
        <f>((Q46)*(1+$G$14/12)^($A$83-$A51+1))-(Q46)</f>
        <v>723.92669941391796</v>
      </c>
      <c r="R286" s="4">
        <f>((R46)*(1+$G$14/12)^($A$85-$A51+1))-(R46)</f>
        <v>538.19568708637553</v>
      </c>
      <c r="S286" s="4">
        <f>((S46)*(1+$G$14/12)^($A$85-$A51+1))-(S46)</f>
        <v>538.19568708637553</v>
      </c>
      <c r="T286" s="4">
        <f>((T46)*(1+$G$14/12)^($A$85-$A51+1))-(T46)</f>
        <v>538.19568708637553</v>
      </c>
      <c r="U286" s="4">
        <f>((U46)*(1+$G$14/12)^($A$85-$A51+1))-(U46)</f>
        <v>538.19568708637553</v>
      </c>
      <c r="V286" s="4">
        <f>((V46)*(1+$G$14/12)^($A$88-$A51+1))-(V46)</f>
        <v>586.28868510277289</v>
      </c>
      <c r="W286" s="4">
        <f>((W46)*(1+$G$14/12)^($A$88-$A51+1))-(W46)</f>
        <v>586.28868510277289</v>
      </c>
    </row>
    <row r="287" spans="1:24" x14ac:dyDescent="0.2">
      <c r="A287">
        <v>1</v>
      </c>
      <c r="B287" s="1">
        <v>36586</v>
      </c>
      <c r="D287" s="19">
        <f>((D51*$G$16)*(1+$G$14/12)^($A$64-$A51+1))-(D51*$G$16)</f>
        <v>121.02957571875413</v>
      </c>
      <c r="E287" s="19">
        <f t="shared" ref="D287:E299" si="49">((E51*$G$16)*(1+$G$14/12)^($A$64-$A51+1))-(E51*$G$16)</f>
        <v>0</v>
      </c>
      <c r="F287" s="19">
        <f>((F51*$G$16)*(1+$G$14/12)^($A$68-$A51+1))-(F51*$G$16)</f>
        <v>0</v>
      </c>
      <c r="G287" s="19">
        <f t="shared" ref="F287:G303" si="50">((G51*$G$16)*(1+$G$14/12)^($A$68-$A51+1))-(G51*$G$16)</f>
        <v>0</v>
      </c>
      <c r="H287" s="19">
        <f>((H51*$G$16)*(1+$G$14/12)^($A$70-$A51+1))-(H51*$G$16)</f>
        <v>0</v>
      </c>
      <c r="I287" s="19">
        <f t="shared" ref="H287:I305" si="51">((I51*$G$16)*(1+$G$14/12)^($A$70-$A51+1))-(I51*$G$16)</f>
        <v>0</v>
      </c>
      <c r="J287" s="19">
        <f>((J51*$G$16)*(1+$G$14/12)^($A$74-$A51+1))-(J51*$G$16)</f>
        <v>0</v>
      </c>
      <c r="K287" s="19">
        <f t="shared" ref="J287:M309" si="52">((K51*$G$16)*(1+$G$14/12)^($A$74-$A51+1))-(K51*$G$16)</f>
        <v>0</v>
      </c>
      <c r="L287" s="19">
        <f t="shared" si="52"/>
        <v>0</v>
      </c>
      <c r="M287" s="19">
        <f t="shared" si="52"/>
        <v>0</v>
      </c>
      <c r="N287" s="19">
        <f>((N51*$G$16)*(1+$G$14/12)^($A$76-$A51+1))-(N51*$G$16)</f>
        <v>0</v>
      </c>
      <c r="O287" s="19">
        <f t="shared" ref="N287:O311" si="53">((O51*$G$16)*(1+$G$14/12)^($A$76-$A51+1))-(O51*$G$16)</f>
        <v>0</v>
      </c>
      <c r="P287" s="19">
        <f>((P51*$G$16)*(1+$G$14/12)^($A$83-$A51+1))-(P51*$G$16)</f>
        <v>0</v>
      </c>
      <c r="Q287" s="19">
        <f t="shared" ref="P287:Q318" si="54">((Q51*$G$16)*(1+$G$14/12)^($A$83-$A51+1))-(Q51*$G$16)</f>
        <v>0</v>
      </c>
      <c r="R287" s="19">
        <f>((R51*$G$16)*(1+$G$14/12)^($A$85-$A51+1))-(R51*$G$16)</f>
        <v>0</v>
      </c>
      <c r="S287" s="19">
        <f t="shared" ref="R287:U306" si="55">((S51*$G$16)*(1+$G$14/12)^($A$85-$A51+1))-(S51*$G$16)</f>
        <v>0</v>
      </c>
      <c r="T287" s="19">
        <f t="shared" si="55"/>
        <v>0</v>
      </c>
      <c r="U287" s="19">
        <f t="shared" si="55"/>
        <v>0</v>
      </c>
      <c r="V287" s="19">
        <f>((V51*$G$16)*(1+$G$14/12)^($A$88-$A51+1))-(V51*$G$16)</f>
        <v>0</v>
      </c>
      <c r="W287" s="19">
        <f t="shared" ref="V287:W306" si="56">((W51*$G$16)*(1+$G$14/12)^($A$88-$A51+1))-(W51*$G$16)</f>
        <v>0</v>
      </c>
    </row>
    <row r="288" spans="1:24" x14ac:dyDescent="0.2">
      <c r="A288">
        <v>2</v>
      </c>
      <c r="B288" s="1">
        <v>36617</v>
      </c>
      <c r="D288" s="19">
        <f t="shared" si="49"/>
        <v>123.16747096908671</v>
      </c>
      <c r="E288" s="19">
        <f t="shared" si="49"/>
        <v>91.728924259691439</v>
      </c>
      <c r="F288" s="19">
        <f t="shared" si="50"/>
        <v>0</v>
      </c>
      <c r="G288" s="19">
        <f t="shared" si="50"/>
        <v>0</v>
      </c>
      <c r="H288" s="19">
        <f t="shared" si="51"/>
        <v>0</v>
      </c>
      <c r="I288" s="19">
        <f t="shared" si="51"/>
        <v>0</v>
      </c>
      <c r="J288" s="19">
        <f t="shared" si="52"/>
        <v>105.8234419618849</v>
      </c>
      <c r="K288" s="19">
        <f t="shared" si="52"/>
        <v>105.8234419618849</v>
      </c>
      <c r="L288" s="19">
        <f t="shared" si="52"/>
        <v>105.8234419618849</v>
      </c>
      <c r="M288" s="19">
        <f t="shared" si="52"/>
        <v>105.8234419618849</v>
      </c>
      <c r="N288" s="19">
        <f t="shared" si="53"/>
        <v>115.24658604216029</v>
      </c>
      <c r="O288" s="19">
        <f t="shared" si="53"/>
        <v>115.24658604216029</v>
      </c>
      <c r="P288" s="19">
        <f t="shared" si="54"/>
        <v>151.56603713542199</v>
      </c>
      <c r="Q288" s="19">
        <f t="shared" si="54"/>
        <v>151.56603713542199</v>
      </c>
      <c r="R288" s="19">
        <f t="shared" si="55"/>
        <v>0</v>
      </c>
      <c r="S288" s="19">
        <f t="shared" si="55"/>
        <v>0</v>
      </c>
      <c r="T288" s="19">
        <f t="shared" si="55"/>
        <v>0</v>
      </c>
      <c r="U288" s="19">
        <f t="shared" si="55"/>
        <v>0</v>
      </c>
      <c r="V288" s="19">
        <f t="shared" si="56"/>
        <v>0</v>
      </c>
      <c r="W288" s="19">
        <f t="shared" si="56"/>
        <v>0</v>
      </c>
    </row>
    <row r="289" spans="1:23" x14ac:dyDescent="0.2">
      <c r="A289">
        <v>3</v>
      </c>
      <c r="B289" s="1">
        <v>36647</v>
      </c>
      <c r="D289" s="19">
        <f t="shared" si="49"/>
        <v>113.26237748714675</v>
      </c>
      <c r="E289" s="19">
        <f t="shared" si="49"/>
        <v>106.43125940499249</v>
      </c>
      <c r="F289" s="19">
        <f t="shared" si="50"/>
        <v>139.62436613168643</v>
      </c>
      <c r="G289" s="19">
        <f t="shared" si="50"/>
        <v>139.62436613168643</v>
      </c>
      <c r="H289" s="19">
        <f t="shared" si="51"/>
        <v>0</v>
      </c>
      <c r="I289" s="19">
        <f t="shared" si="51"/>
        <v>0</v>
      </c>
      <c r="J289" s="19">
        <f t="shared" si="52"/>
        <v>0</v>
      </c>
      <c r="K289" s="19">
        <f t="shared" si="52"/>
        <v>0</v>
      </c>
      <c r="L289" s="19">
        <f t="shared" si="52"/>
        <v>0</v>
      </c>
      <c r="M289" s="19">
        <f t="shared" si="52"/>
        <v>0</v>
      </c>
      <c r="N289" s="19">
        <f t="shared" si="53"/>
        <v>0</v>
      </c>
      <c r="O289" s="19">
        <f t="shared" si="53"/>
        <v>0</v>
      </c>
      <c r="P289" s="19">
        <f t="shared" si="54"/>
        <v>0</v>
      </c>
      <c r="Q289" s="19">
        <f t="shared" si="54"/>
        <v>0</v>
      </c>
      <c r="R289" s="19">
        <f t="shared" si="55"/>
        <v>163.6387631982775</v>
      </c>
      <c r="S289" s="19">
        <f t="shared" si="55"/>
        <v>163.6387631982775</v>
      </c>
      <c r="T289" s="19">
        <f t="shared" si="55"/>
        <v>163.6387631982775</v>
      </c>
      <c r="U289" s="19">
        <f t="shared" si="55"/>
        <v>163.6387631982775</v>
      </c>
      <c r="V289" s="19">
        <f t="shared" si="56"/>
        <v>179.2097537391129</v>
      </c>
      <c r="W289" s="19">
        <f t="shared" si="56"/>
        <v>179.2097537391129</v>
      </c>
    </row>
    <row r="290" spans="1:23" x14ac:dyDescent="0.2">
      <c r="A290">
        <v>4</v>
      </c>
      <c r="B290" s="1">
        <v>36678</v>
      </c>
      <c r="D290" s="19">
        <f t="shared" si="49"/>
        <v>103.43103952189995</v>
      </c>
      <c r="E290" s="19">
        <f t="shared" si="49"/>
        <v>97.192872356335783</v>
      </c>
      <c r="F290" s="19">
        <f t="shared" si="50"/>
        <v>0</v>
      </c>
      <c r="G290" s="19">
        <f t="shared" si="50"/>
        <v>0</v>
      </c>
      <c r="H290" s="19">
        <f t="shared" si="51"/>
        <v>148.91775465760338</v>
      </c>
      <c r="I290" s="19">
        <f t="shared" si="51"/>
        <v>148.91775465760338</v>
      </c>
      <c r="J290" s="19">
        <f t="shared" si="52"/>
        <v>0</v>
      </c>
      <c r="K290" s="19">
        <f t="shared" si="52"/>
        <v>0</v>
      </c>
      <c r="L290" s="19">
        <f t="shared" si="52"/>
        <v>0</v>
      </c>
      <c r="M290" s="19">
        <f t="shared" si="52"/>
        <v>0</v>
      </c>
      <c r="N290" s="19">
        <f t="shared" si="53"/>
        <v>0</v>
      </c>
      <c r="O290" s="19">
        <f t="shared" si="53"/>
        <v>0</v>
      </c>
      <c r="P290" s="19">
        <f t="shared" si="54"/>
        <v>0</v>
      </c>
      <c r="Q290" s="19">
        <f t="shared" si="54"/>
        <v>0</v>
      </c>
      <c r="R290" s="19">
        <f t="shared" si="55"/>
        <v>0</v>
      </c>
      <c r="S290" s="19">
        <f t="shared" si="55"/>
        <v>0</v>
      </c>
      <c r="T290" s="19">
        <f t="shared" si="55"/>
        <v>0</v>
      </c>
      <c r="U290" s="19">
        <f t="shared" si="55"/>
        <v>0</v>
      </c>
      <c r="V290" s="19">
        <f t="shared" si="56"/>
        <v>0</v>
      </c>
      <c r="W290" s="19">
        <f t="shared" si="56"/>
        <v>0</v>
      </c>
    </row>
    <row r="291" spans="1:23" x14ac:dyDescent="0.2">
      <c r="A291">
        <v>5</v>
      </c>
      <c r="B291" s="1">
        <v>36708</v>
      </c>
      <c r="D291" s="19">
        <f t="shared" si="49"/>
        <v>93.672907873457916</v>
      </c>
      <c r="E291" s="19">
        <f t="shared" si="49"/>
        <v>88.023276380820562</v>
      </c>
      <c r="F291" s="19">
        <f t="shared" si="50"/>
        <v>0</v>
      </c>
      <c r="G291" s="19">
        <f t="shared" si="50"/>
        <v>0</v>
      </c>
      <c r="H291" s="19">
        <f t="shared" si="51"/>
        <v>0</v>
      </c>
      <c r="I291" s="19">
        <f t="shared" si="51"/>
        <v>0</v>
      </c>
      <c r="J291" s="19">
        <f t="shared" si="52"/>
        <v>0</v>
      </c>
      <c r="K291" s="19">
        <f t="shared" si="52"/>
        <v>0</v>
      </c>
      <c r="L291" s="19">
        <f t="shared" si="52"/>
        <v>0</v>
      </c>
      <c r="M291" s="19">
        <f t="shared" si="52"/>
        <v>0</v>
      </c>
      <c r="N291" s="19">
        <f t="shared" si="53"/>
        <v>0</v>
      </c>
      <c r="O291" s="19">
        <f t="shared" si="53"/>
        <v>0</v>
      </c>
      <c r="P291" s="19">
        <f t="shared" si="54"/>
        <v>0</v>
      </c>
      <c r="Q291" s="19">
        <f t="shared" si="54"/>
        <v>0</v>
      </c>
      <c r="R291" s="19">
        <f t="shared" si="55"/>
        <v>0</v>
      </c>
      <c r="S291" s="19">
        <f t="shared" si="55"/>
        <v>0</v>
      </c>
      <c r="T291" s="19">
        <f t="shared" si="55"/>
        <v>0</v>
      </c>
      <c r="U291" s="19">
        <f t="shared" si="55"/>
        <v>0</v>
      </c>
      <c r="V291" s="19">
        <f t="shared" si="56"/>
        <v>0</v>
      </c>
      <c r="W291" s="19">
        <f t="shared" si="56"/>
        <v>0</v>
      </c>
    </row>
    <row r="292" spans="1:23" x14ac:dyDescent="0.2">
      <c r="A292">
        <v>6</v>
      </c>
      <c r="B292" s="1">
        <v>36739</v>
      </c>
      <c r="D292" s="19">
        <f t="shared" si="49"/>
        <v>83.98743743139471</v>
      </c>
      <c r="E292" s="19">
        <f t="shared" si="49"/>
        <v>78.921959244902382</v>
      </c>
      <c r="F292" s="19">
        <f t="shared" si="50"/>
        <v>112.15734701600741</v>
      </c>
      <c r="G292" s="19">
        <f t="shared" si="50"/>
        <v>112.15734701600741</v>
      </c>
      <c r="H292" s="19">
        <f t="shared" si="51"/>
        <v>0</v>
      </c>
      <c r="I292" s="19">
        <f t="shared" si="51"/>
        <v>0</v>
      </c>
      <c r="J292" s="19">
        <f t="shared" si="52"/>
        <v>120.60347978679522</v>
      </c>
      <c r="K292" s="19">
        <f t="shared" si="52"/>
        <v>120.60347978679522</v>
      </c>
      <c r="L292" s="19">
        <f t="shared" si="52"/>
        <v>120.60347978679522</v>
      </c>
      <c r="M292" s="19">
        <f t="shared" si="52"/>
        <v>120.60347978679522</v>
      </c>
      <c r="N292" s="19">
        <f t="shared" si="53"/>
        <v>0</v>
      </c>
      <c r="O292" s="19">
        <f t="shared" si="53"/>
        <v>0</v>
      </c>
      <c r="P292" s="19">
        <f t="shared" si="54"/>
        <v>0</v>
      </c>
      <c r="Q292" s="19">
        <f t="shared" si="54"/>
        <v>0</v>
      </c>
      <c r="R292" s="19">
        <f t="shared" si="55"/>
        <v>0</v>
      </c>
      <c r="S292" s="19">
        <f t="shared" si="55"/>
        <v>0</v>
      </c>
      <c r="T292" s="19">
        <f t="shared" si="55"/>
        <v>0</v>
      </c>
      <c r="U292" s="19">
        <f t="shared" si="55"/>
        <v>0</v>
      </c>
      <c r="V292" s="19">
        <f t="shared" si="56"/>
        <v>0</v>
      </c>
      <c r="W292" s="19">
        <f t="shared" si="56"/>
        <v>0</v>
      </c>
    </row>
    <row r="293" spans="1:23" x14ac:dyDescent="0.2">
      <c r="A293">
        <v>7</v>
      </c>
      <c r="B293" s="1">
        <v>36770</v>
      </c>
      <c r="D293" s="19">
        <f t="shared" si="49"/>
        <v>74.374087144297619</v>
      </c>
      <c r="E293" s="19">
        <f t="shared" si="49"/>
        <v>69.888412529240213</v>
      </c>
      <c r="F293" s="19">
        <f t="shared" si="50"/>
        <v>113.44535386434723</v>
      </c>
      <c r="G293" s="19">
        <f t="shared" si="50"/>
        <v>113.44535386434723</v>
      </c>
      <c r="H293" s="19">
        <f t="shared" si="51"/>
        <v>0</v>
      </c>
      <c r="I293" s="19">
        <f t="shared" si="51"/>
        <v>0</v>
      </c>
      <c r="J293" s="19">
        <f t="shared" si="52"/>
        <v>113.81994639726099</v>
      </c>
      <c r="K293" s="19">
        <f t="shared" si="52"/>
        <v>113.81994639726099</v>
      </c>
      <c r="L293" s="19">
        <f t="shared" si="52"/>
        <v>113.81994639726099</v>
      </c>
      <c r="M293" s="19">
        <f t="shared" si="52"/>
        <v>113.81994639726099</v>
      </c>
      <c r="N293" s="19">
        <f t="shared" si="53"/>
        <v>0</v>
      </c>
      <c r="O293" s="19">
        <f t="shared" si="53"/>
        <v>0</v>
      </c>
      <c r="P293" s="19">
        <f t="shared" si="54"/>
        <v>0</v>
      </c>
      <c r="Q293" s="19">
        <f t="shared" si="54"/>
        <v>0</v>
      </c>
      <c r="R293" s="19">
        <f t="shared" si="55"/>
        <v>141.58846504037103</v>
      </c>
      <c r="S293" s="19">
        <f t="shared" si="55"/>
        <v>141.58846504037103</v>
      </c>
      <c r="T293" s="19">
        <f t="shared" si="55"/>
        <v>141.58846504037103</v>
      </c>
      <c r="U293" s="19">
        <f t="shared" si="55"/>
        <v>141.58846504037103</v>
      </c>
      <c r="V293" s="19">
        <f t="shared" si="56"/>
        <v>156.83484491533238</v>
      </c>
      <c r="W293" s="19">
        <f t="shared" si="56"/>
        <v>156.83484491533238</v>
      </c>
    </row>
    <row r="294" spans="1:23" x14ac:dyDescent="0.2">
      <c r="A294">
        <v>8</v>
      </c>
      <c r="B294" s="1">
        <v>36800</v>
      </c>
      <c r="D294" s="19">
        <f t="shared" si="49"/>
        <v>64.832319989542611</v>
      </c>
      <c r="E294" s="19">
        <f t="shared" si="49"/>
        <v>60.922131600297234</v>
      </c>
      <c r="F294" s="19">
        <f t="shared" si="50"/>
        <v>103.59813328526343</v>
      </c>
      <c r="G294" s="19">
        <f t="shared" si="50"/>
        <v>103.59813328526343</v>
      </c>
      <c r="H294" s="19">
        <f t="shared" si="51"/>
        <v>112.15734701600741</v>
      </c>
      <c r="I294" s="19">
        <f t="shared" si="51"/>
        <v>112.15734701600741</v>
      </c>
      <c r="J294" s="19">
        <f t="shared" si="52"/>
        <v>107.0869246976024</v>
      </c>
      <c r="K294" s="19">
        <f t="shared" si="52"/>
        <v>107.0869246976024</v>
      </c>
      <c r="L294" s="19">
        <f t="shared" si="52"/>
        <v>107.0869246976024</v>
      </c>
      <c r="M294" s="19">
        <f t="shared" si="52"/>
        <v>107.0869246976024</v>
      </c>
      <c r="N294" s="19">
        <f t="shared" si="53"/>
        <v>119.81003584082953</v>
      </c>
      <c r="O294" s="19">
        <f t="shared" si="53"/>
        <v>119.81003584082953</v>
      </c>
      <c r="P294" s="19">
        <f t="shared" si="54"/>
        <v>0</v>
      </c>
      <c r="Q294" s="19">
        <f t="shared" si="54"/>
        <v>0</v>
      </c>
      <c r="R294" s="19">
        <f t="shared" si="55"/>
        <v>0</v>
      </c>
      <c r="S294" s="19">
        <f t="shared" si="55"/>
        <v>0</v>
      </c>
      <c r="T294" s="19">
        <f t="shared" si="55"/>
        <v>0</v>
      </c>
      <c r="U294" s="19">
        <f t="shared" si="55"/>
        <v>0</v>
      </c>
      <c r="V294" s="19">
        <f t="shared" si="56"/>
        <v>0</v>
      </c>
      <c r="W294" s="19">
        <f t="shared" si="56"/>
        <v>0</v>
      </c>
    </row>
    <row r="295" spans="1:23" x14ac:dyDescent="0.2">
      <c r="A295">
        <v>9</v>
      </c>
      <c r="B295" s="1">
        <v>36831</v>
      </c>
      <c r="D295" s="19">
        <f t="shared" si="49"/>
        <v>55.361602943295566</v>
      </c>
      <c r="E295" s="19">
        <f t="shared" si="49"/>
        <v>52.022615582149001</v>
      </c>
      <c r="F295" s="19">
        <f t="shared" si="50"/>
        <v>93.824237288439235</v>
      </c>
      <c r="G295" s="19">
        <f t="shared" si="50"/>
        <v>93.824237288439235</v>
      </c>
      <c r="H295" s="19">
        <f t="shared" si="51"/>
        <v>113.44535386434723</v>
      </c>
      <c r="I295" s="19">
        <f t="shared" si="51"/>
        <v>113.44535386434723</v>
      </c>
      <c r="J295" s="19">
        <f t="shared" si="52"/>
        <v>100.404038566606</v>
      </c>
      <c r="K295" s="19">
        <f t="shared" si="52"/>
        <v>100.404038566606</v>
      </c>
      <c r="L295" s="19">
        <f t="shared" si="52"/>
        <v>100.404038566606</v>
      </c>
      <c r="M295" s="19">
        <f t="shared" si="52"/>
        <v>100.404038566606</v>
      </c>
      <c r="N295" s="19">
        <f t="shared" si="53"/>
        <v>113.0711309604369</v>
      </c>
      <c r="O295" s="19">
        <f t="shared" si="53"/>
        <v>113.0711309604369</v>
      </c>
      <c r="P295" s="19">
        <f t="shared" si="54"/>
        <v>0</v>
      </c>
      <c r="Q295" s="19">
        <f t="shared" si="54"/>
        <v>0</v>
      </c>
      <c r="R295" s="19">
        <f t="shared" si="55"/>
        <v>0</v>
      </c>
      <c r="S295" s="19">
        <f t="shared" si="55"/>
        <v>0</v>
      </c>
      <c r="T295" s="19">
        <f t="shared" si="55"/>
        <v>0</v>
      </c>
      <c r="U295" s="19">
        <f t="shared" si="55"/>
        <v>0</v>
      </c>
      <c r="V295" s="19">
        <f t="shared" si="56"/>
        <v>0</v>
      </c>
      <c r="W295" s="19">
        <f t="shared" si="56"/>
        <v>0</v>
      </c>
    </row>
    <row r="296" spans="1:23" x14ac:dyDescent="0.2">
      <c r="A296">
        <v>10</v>
      </c>
      <c r="B296" s="1">
        <v>36861</v>
      </c>
      <c r="D296" s="19">
        <f t="shared" si="49"/>
        <v>45.961406950733817</v>
      </c>
      <c r="E296" s="19">
        <f t="shared" si="49"/>
        <v>43.189367328503295</v>
      </c>
      <c r="F296" s="19">
        <f t="shared" si="50"/>
        <v>84.123119882818628</v>
      </c>
      <c r="G296" s="19">
        <f t="shared" si="50"/>
        <v>84.123119882818628</v>
      </c>
      <c r="H296" s="19">
        <f t="shared" si="51"/>
        <v>103.59813328526343</v>
      </c>
      <c r="I296" s="19">
        <f t="shared" si="51"/>
        <v>103.59813328526343</v>
      </c>
      <c r="J296" s="19">
        <f t="shared" si="52"/>
        <v>93.770914683738965</v>
      </c>
      <c r="K296" s="19">
        <f t="shared" si="52"/>
        <v>93.770914683738965</v>
      </c>
      <c r="L296" s="19">
        <f t="shared" si="52"/>
        <v>93.770914683738965</v>
      </c>
      <c r="M296" s="19">
        <f t="shared" si="52"/>
        <v>93.770914683738965</v>
      </c>
      <c r="N296" s="19">
        <f t="shared" si="53"/>
        <v>106.38240545617089</v>
      </c>
      <c r="O296" s="19">
        <f t="shared" si="53"/>
        <v>106.38240545617089</v>
      </c>
      <c r="P296" s="19">
        <f t="shared" si="54"/>
        <v>0</v>
      </c>
      <c r="Q296" s="19">
        <f t="shared" si="54"/>
        <v>0</v>
      </c>
      <c r="R296" s="19">
        <f t="shared" si="55"/>
        <v>0</v>
      </c>
      <c r="S296" s="19">
        <f t="shared" si="55"/>
        <v>0</v>
      </c>
      <c r="T296" s="19">
        <f t="shared" si="55"/>
        <v>0</v>
      </c>
      <c r="U296" s="19">
        <f t="shared" si="55"/>
        <v>0</v>
      </c>
      <c r="V296" s="19">
        <f t="shared" si="56"/>
        <v>0</v>
      </c>
      <c r="W296" s="19">
        <f t="shared" si="56"/>
        <v>0</v>
      </c>
    </row>
    <row r="297" spans="1:23" x14ac:dyDescent="0.2">
      <c r="A297">
        <v>11</v>
      </c>
      <c r="B297" s="1">
        <v>36892</v>
      </c>
      <c r="D297" s="19">
        <f t="shared" si="49"/>
        <v>36.631206896495769</v>
      </c>
      <c r="E297" s="19">
        <f t="shared" si="49"/>
        <v>34.421893394930066</v>
      </c>
      <c r="F297" s="19">
        <f t="shared" si="50"/>
        <v>74.494239142915148</v>
      </c>
      <c r="G297" s="19">
        <f t="shared" si="50"/>
        <v>74.494239142915148</v>
      </c>
      <c r="H297" s="19">
        <f t="shared" si="51"/>
        <v>93.824237288439235</v>
      </c>
      <c r="I297" s="19">
        <f t="shared" si="51"/>
        <v>93.824237288439235</v>
      </c>
      <c r="J297" s="19">
        <f t="shared" si="52"/>
        <v>87.187182508296814</v>
      </c>
      <c r="K297" s="19">
        <f t="shared" si="52"/>
        <v>87.187182508296814</v>
      </c>
      <c r="L297" s="19">
        <f t="shared" si="52"/>
        <v>87.187182508296814</v>
      </c>
      <c r="M297" s="19">
        <f t="shared" si="52"/>
        <v>87.187182508296814</v>
      </c>
      <c r="N297" s="19">
        <f t="shared" si="53"/>
        <v>99.743485681299376</v>
      </c>
      <c r="O297" s="19">
        <f t="shared" si="53"/>
        <v>99.743485681299376</v>
      </c>
      <c r="P297" s="19">
        <f t="shared" si="54"/>
        <v>0</v>
      </c>
      <c r="Q297" s="19">
        <f t="shared" si="54"/>
        <v>0</v>
      </c>
      <c r="R297" s="19">
        <f t="shared" si="55"/>
        <v>0</v>
      </c>
      <c r="S297" s="19">
        <f t="shared" si="55"/>
        <v>0</v>
      </c>
      <c r="T297" s="19">
        <f t="shared" si="55"/>
        <v>0</v>
      </c>
      <c r="U297" s="19">
        <f t="shared" si="55"/>
        <v>0</v>
      </c>
      <c r="V297" s="19">
        <f t="shared" si="56"/>
        <v>0</v>
      </c>
      <c r="W297" s="19">
        <f t="shared" si="56"/>
        <v>0</v>
      </c>
    </row>
    <row r="298" spans="1:23" x14ac:dyDescent="0.2">
      <c r="A298">
        <v>12</v>
      </c>
      <c r="B298" s="1">
        <v>36923</v>
      </c>
      <c r="D298" s="19">
        <f t="shared" si="49"/>
        <v>27.370481575344229</v>
      </c>
      <c r="E298" s="19">
        <f t="shared" si="49"/>
        <v>25.719704011295335</v>
      </c>
      <c r="F298" s="19">
        <f t="shared" si="50"/>
        <v>64.937057178540272</v>
      </c>
      <c r="G298" s="19">
        <f t="shared" si="50"/>
        <v>64.937057178540272</v>
      </c>
      <c r="H298" s="19">
        <f t="shared" si="51"/>
        <v>84.123119882818628</v>
      </c>
      <c r="I298" s="19">
        <f t="shared" si="51"/>
        <v>84.123119882818628</v>
      </c>
      <c r="J298" s="19">
        <f t="shared" si="52"/>
        <v>80.652474258702</v>
      </c>
      <c r="K298" s="19">
        <f t="shared" si="52"/>
        <v>80.652474258702</v>
      </c>
      <c r="L298" s="19">
        <f t="shared" si="52"/>
        <v>80.652474258702</v>
      </c>
      <c r="M298" s="19">
        <f t="shared" si="52"/>
        <v>80.652474258702</v>
      </c>
      <c r="N298" s="19">
        <f t="shared" si="53"/>
        <v>93.154000771345977</v>
      </c>
      <c r="O298" s="19">
        <f t="shared" si="53"/>
        <v>93.154000771345977</v>
      </c>
      <c r="P298" s="19">
        <f t="shared" si="54"/>
        <v>0</v>
      </c>
      <c r="Q298" s="19">
        <f t="shared" si="54"/>
        <v>0</v>
      </c>
      <c r="R298" s="19">
        <f t="shared" si="55"/>
        <v>0</v>
      </c>
      <c r="S298" s="19">
        <f t="shared" si="55"/>
        <v>0</v>
      </c>
      <c r="T298" s="19">
        <f t="shared" si="55"/>
        <v>0</v>
      </c>
      <c r="U298" s="19">
        <f t="shared" si="55"/>
        <v>0</v>
      </c>
      <c r="V298" s="19">
        <f t="shared" si="56"/>
        <v>0</v>
      </c>
      <c r="W298" s="19">
        <f t="shared" si="56"/>
        <v>0</v>
      </c>
    </row>
    <row r="299" spans="1:23" x14ac:dyDescent="0.2">
      <c r="A299">
        <v>13</v>
      </c>
      <c r="B299" s="1">
        <v>36951</v>
      </c>
      <c r="D299" s="19">
        <f t="shared" si="49"/>
        <v>82.621617294643329</v>
      </c>
      <c r="E299" s="19">
        <f t="shared" si="49"/>
        <v>77.648657391127017</v>
      </c>
      <c r="F299" s="19">
        <f t="shared" si="50"/>
        <v>55.451040104754838</v>
      </c>
      <c r="G299" s="19">
        <f t="shared" si="50"/>
        <v>55.451040104754838</v>
      </c>
      <c r="H299" s="19">
        <f t="shared" si="51"/>
        <v>74.494239142915148</v>
      </c>
      <c r="I299" s="19">
        <f t="shared" si="51"/>
        <v>74.494239142915148</v>
      </c>
      <c r="J299" s="19">
        <f t="shared" si="52"/>
        <v>74.166424891960332</v>
      </c>
      <c r="K299" s="19">
        <f t="shared" si="52"/>
        <v>74.166424891960332</v>
      </c>
      <c r="L299" s="19">
        <f t="shared" si="52"/>
        <v>74.166424891960332</v>
      </c>
      <c r="M299" s="19">
        <f t="shared" si="52"/>
        <v>74.166424891960332</v>
      </c>
      <c r="N299" s="19">
        <f t="shared" si="53"/>
        <v>86.613582623373759</v>
      </c>
      <c r="O299" s="19">
        <f t="shared" si="53"/>
        <v>86.613582623373759</v>
      </c>
      <c r="P299" s="19">
        <f t="shared" si="54"/>
        <v>0</v>
      </c>
      <c r="Q299" s="19">
        <f t="shared" si="54"/>
        <v>0</v>
      </c>
      <c r="R299" s="19">
        <f t="shared" si="55"/>
        <v>0</v>
      </c>
      <c r="S299" s="19">
        <f t="shared" si="55"/>
        <v>0</v>
      </c>
      <c r="T299" s="19">
        <f t="shared" si="55"/>
        <v>0</v>
      </c>
      <c r="U299" s="19">
        <f t="shared" si="55"/>
        <v>0</v>
      </c>
      <c r="V299" s="19">
        <f t="shared" si="56"/>
        <v>0</v>
      </c>
      <c r="W299" s="19">
        <f t="shared" si="56"/>
        <v>0</v>
      </c>
    </row>
    <row r="300" spans="1:23" x14ac:dyDescent="0.2">
      <c r="A300">
        <v>14</v>
      </c>
      <c r="B300" s="1">
        <v>36982</v>
      </c>
      <c r="F300" s="19">
        <f t="shared" si="50"/>
        <v>46.035658012043541</v>
      </c>
      <c r="G300" s="19">
        <f t="shared" si="50"/>
        <v>46.035658012043541</v>
      </c>
      <c r="H300" s="19">
        <f t="shared" si="51"/>
        <v>64.937057178540272</v>
      </c>
      <c r="I300" s="19">
        <f t="shared" si="51"/>
        <v>64.937057178540272</v>
      </c>
      <c r="J300" s="19">
        <f t="shared" si="52"/>
        <v>67.728672083268975</v>
      </c>
      <c r="K300" s="19">
        <f t="shared" si="52"/>
        <v>67.728672083268975</v>
      </c>
      <c r="L300" s="19">
        <f t="shared" si="52"/>
        <v>67.728672083268975</v>
      </c>
      <c r="M300" s="19">
        <f t="shared" si="52"/>
        <v>67.728672083268975</v>
      </c>
      <c r="N300" s="19">
        <f t="shared" si="53"/>
        <v>80.121865875421008</v>
      </c>
      <c r="O300" s="19">
        <f t="shared" si="53"/>
        <v>80.121865875421008</v>
      </c>
      <c r="P300" s="19">
        <f t="shared" si="54"/>
        <v>0</v>
      </c>
      <c r="Q300" s="19">
        <f t="shared" si="54"/>
        <v>0</v>
      </c>
      <c r="R300" s="19">
        <f t="shared" si="55"/>
        <v>0</v>
      </c>
      <c r="S300" s="19">
        <f t="shared" si="55"/>
        <v>0</v>
      </c>
      <c r="T300" s="19">
        <f t="shared" si="55"/>
        <v>0</v>
      </c>
      <c r="U300" s="19">
        <f t="shared" si="55"/>
        <v>0</v>
      </c>
      <c r="V300" s="19">
        <f t="shared" si="56"/>
        <v>0</v>
      </c>
      <c r="W300" s="19">
        <f t="shared" si="56"/>
        <v>0</v>
      </c>
    </row>
    <row r="301" spans="1:23" x14ac:dyDescent="0.2">
      <c r="A301">
        <v>15</v>
      </c>
      <c r="B301" s="1">
        <v>37012</v>
      </c>
      <c r="F301" s="19">
        <f t="shared" si="50"/>
        <v>36.690384936716328</v>
      </c>
      <c r="G301" s="19">
        <f t="shared" si="50"/>
        <v>36.690384936716328</v>
      </c>
      <c r="H301" s="19">
        <f t="shared" si="51"/>
        <v>55.451040104754838</v>
      </c>
      <c r="I301" s="19">
        <f t="shared" si="51"/>
        <v>55.451040104754838</v>
      </c>
      <c r="J301" s="19">
        <f t="shared" si="52"/>
        <v>61.338856205775301</v>
      </c>
      <c r="K301" s="19">
        <f t="shared" si="52"/>
        <v>61.338856205775301</v>
      </c>
      <c r="L301" s="19">
        <f t="shared" si="52"/>
        <v>61.338856205775301</v>
      </c>
      <c r="M301" s="19">
        <f t="shared" si="52"/>
        <v>61.338856205775301</v>
      </c>
      <c r="N301" s="19">
        <f t="shared" si="53"/>
        <v>73.678487886092171</v>
      </c>
      <c r="O301" s="19">
        <f t="shared" si="53"/>
        <v>73.678487886092171</v>
      </c>
      <c r="P301" s="19">
        <f t="shared" si="54"/>
        <v>119.81003584082953</v>
      </c>
      <c r="Q301" s="19">
        <f t="shared" si="54"/>
        <v>119.81003584082953</v>
      </c>
      <c r="R301" s="19">
        <f t="shared" si="55"/>
        <v>0</v>
      </c>
      <c r="S301" s="19">
        <f t="shared" si="55"/>
        <v>0</v>
      </c>
      <c r="T301" s="19">
        <f t="shared" si="55"/>
        <v>0</v>
      </c>
      <c r="U301" s="19">
        <f t="shared" si="55"/>
        <v>0</v>
      </c>
      <c r="V301" s="19">
        <f t="shared" si="56"/>
        <v>0</v>
      </c>
      <c r="W301" s="19">
        <f t="shared" si="56"/>
        <v>0</v>
      </c>
    </row>
    <row r="302" spans="1:23" x14ac:dyDescent="0.2">
      <c r="A302">
        <v>16</v>
      </c>
      <c r="B302" s="1">
        <v>37043</v>
      </c>
      <c r="F302" s="19">
        <f t="shared" si="50"/>
        <v>27.414698831523992</v>
      </c>
      <c r="G302" s="19">
        <f t="shared" si="50"/>
        <v>27.414698831523992</v>
      </c>
      <c r="H302" s="19">
        <f t="shared" si="51"/>
        <v>46.035658012043541</v>
      </c>
      <c r="I302" s="19">
        <f t="shared" si="51"/>
        <v>46.035658012043541</v>
      </c>
      <c r="J302" s="19">
        <f t="shared" si="52"/>
        <v>54.996620310487856</v>
      </c>
      <c r="K302" s="19">
        <f t="shared" si="52"/>
        <v>54.996620310487856</v>
      </c>
      <c r="L302" s="19">
        <f t="shared" si="52"/>
        <v>54.996620310487856</v>
      </c>
      <c r="M302" s="19">
        <f t="shared" si="52"/>
        <v>54.996620310487856</v>
      </c>
      <c r="N302" s="19">
        <f t="shared" si="53"/>
        <v>67.283088714300106</v>
      </c>
      <c r="O302" s="19">
        <f t="shared" si="53"/>
        <v>67.283088714300106</v>
      </c>
      <c r="P302" s="19">
        <f t="shared" si="54"/>
        <v>113.0711309604369</v>
      </c>
      <c r="Q302" s="19">
        <f t="shared" si="54"/>
        <v>113.0711309604369</v>
      </c>
      <c r="R302" s="19">
        <f t="shared" si="55"/>
        <v>0</v>
      </c>
      <c r="S302" s="19">
        <f t="shared" si="55"/>
        <v>0</v>
      </c>
      <c r="T302" s="19">
        <f t="shared" si="55"/>
        <v>66.02457187478683</v>
      </c>
      <c r="U302" s="19">
        <f t="shared" si="55"/>
        <v>66.02457187478683</v>
      </c>
      <c r="V302" s="19">
        <f t="shared" si="56"/>
        <v>0</v>
      </c>
      <c r="W302" s="19">
        <f t="shared" si="56"/>
        <v>0</v>
      </c>
    </row>
    <row r="303" spans="1:23" x14ac:dyDescent="0.2">
      <c r="A303">
        <v>17</v>
      </c>
      <c r="B303" s="1">
        <v>37073</v>
      </c>
      <c r="F303" s="19">
        <f t="shared" si="50"/>
        <v>82.758667370724652</v>
      </c>
      <c r="G303" s="19">
        <f t="shared" si="50"/>
        <v>82.758667370724652</v>
      </c>
      <c r="H303" s="19">
        <f t="shared" si="51"/>
        <v>36.690384936716328</v>
      </c>
      <c r="I303" s="19">
        <f t="shared" si="51"/>
        <v>36.690384936716328</v>
      </c>
      <c r="J303" s="19">
        <f t="shared" si="52"/>
        <v>48.70161010633592</v>
      </c>
      <c r="K303" s="19">
        <f t="shared" si="52"/>
        <v>48.70161010633592</v>
      </c>
      <c r="L303" s="19">
        <f t="shared" si="52"/>
        <v>48.70161010633592</v>
      </c>
      <c r="M303" s="19">
        <f t="shared" si="52"/>
        <v>48.70161010633592</v>
      </c>
      <c r="N303" s="19">
        <f t="shared" si="53"/>
        <v>60.935311099158412</v>
      </c>
      <c r="O303" s="19">
        <f t="shared" si="53"/>
        <v>60.935311099158412</v>
      </c>
      <c r="P303" s="19">
        <f t="shared" si="54"/>
        <v>106.38240545617089</v>
      </c>
      <c r="Q303" s="19">
        <f t="shared" si="54"/>
        <v>106.38240545617089</v>
      </c>
      <c r="R303" s="19">
        <f t="shared" si="55"/>
        <v>124.96742148960698</v>
      </c>
      <c r="S303" s="19">
        <f t="shared" si="55"/>
        <v>124.96742148960698</v>
      </c>
      <c r="T303" s="19">
        <f t="shared" si="55"/>
        <v>124.96742148960698</v>
      </c>
      <c r="U303" s="19">
        <f t="shared" si="55"/>
        <v>124.96742148960698</v>
      </c>
      <c r="V303" s="19">
        <f t="shared" si="56"/>
        <v>0</v>
      </c>
      <c r="W303" s="19">
        <f t="shared" si="56"/>
        <v>0</v>
      </c>
    </row>
    <row r="304" spans="1:23" x14ac:dyDescent="0.2">
      <c r="A304">
        <v>18</v>
      </c>
      <c r="B304" s="1">
        <v>37104</v>
      </c>
      <c r="H304" s="19">
        <f t="shared" si="51"/>
        <v>27.414698831523992</v>
      </c>
      <c r="I304" s="19">
        <f t="shared" si="51"/>
        <v>27.414698831523992</v>
      </c>
      <c r="J304" s="19">
        <f t="shared" si="52"/>
        <v>42.453473940379013</v>
      </c>
      <c r="K304" s="19">
        <f t="shared" si="52"/>
        <v>42.453473940379013</v>
      </c>
      <c r="L304" s="19">
        <f t="shared" si="52"/>
        <v>42.453473940379013</v>
      </c>
      <c r="M304" s="19">
        <f t="shared" si="52"/>
        <v>42.453473940379013</v>
      </c>
      <c r="N304" s="19">
        <f t="shared" si="53"/>
        <v>54.634800440024151</v>
      </c>
      <c r="O304" s="19">
        <f t="shared" si="53"/>
        <v>54.634800440024151</v>
      </c>
      <c r="P304" s="19">
        <f t="shared" si="54"/>
        <v>99.743485681299376</v>
      </c>
      <c r="Q304" s="19">
        <f t="shared" si="54"/>
        <v>99.743485681299376</v>
      </c>
      <c r="R304" s="19">
        <f t="shared" si="55"/>
        <v>117.93843129979336</v>
      </c>
      <c r="S304" s="19">
        <f t="shared" si="55"/>
        <v>117.93843129979336</v>
      </c>
      <c r="T304" s="19">
        <f t="shared" si="55"/>
        <v>117.93843129979336</v>
      </c>
      <c r="U304" s="19">
        <f t="shared" si="55"/>
        <v>117.93843129979336</v>
      </c>
      <c r="V304" s="19">
        <f t="shared" si="56"/>
        <v>0</v>
      </c>
      <c r="W304" s="19">
        <f t="shared" si="56"/>
        <v>0</v>
      </c>
    </row>
    <row r="305" spans="1:23" x14ac:dyDescent="0.2">
      <c r="A305">
        <v>19</v>
      </c>
      <c r="B305" s="1">
        <v>37135</v>
      </c>
      <c r="H305" s="19">
        <f t="shared" si="51"/>
        <v>82.758667370724652</v>
      </c>
      <c r="I305" s="19">
        <f t="shared" si="51"/>
        <v>82.758667370724652</v>
      </c>
      <c r="J305" s="19">
        <f t="shared" si="52"/>
        <v>36.251862778162263</v>
      </c>
      <c r="K305" s="19">
        <f t="shared" si="52"/>
        <v>36.251862778162263</v>
      </c>
      <c r="L305" s="19">
        <f t="shared" si="52"/>
        <v>36.251862778162263</v>
      </c>
      <c r="M305" s="19">
        <f t="shared" si="52"/>
        <v>36.251862778162263</v>
      </c>
      <c r="N305" s="19">
        <f t="shared" si="53"/>
        <v>48.38120477668906</v>
      </c>
      <c r="O305" s="19">
        <f t="shared" si="53"/>
        <v>48.38120477668906</v>
      </c>
      <c r="P305" s="19">
        <f t="shared" si="54"/>
        <v>93.154000771345977</v>
      </c>
      <c r="Q305" s="19">
        <f t="shared" si="54"/>
        <v>93.154000771345977</v>
      </c>
      <c r="R305" s="19">
        <f t="shared" si="55"/>
        <v>110.96178052547623</v>
      </c>
      <c r="S305" s="19">
        <f t="shared" si="55"/>
        <v>110.96178052547623</v>
      </c>
      <c r="T305" s="19">
        <f t="shared" si="55"/>
        <v>110.96178052547623</v>
      </c>
      <c r="U305" s="19">
        <f t="shared" si="55"/>
        <v>110.96178052547623</v>
      </c>
      <c r="V305" s="19">
        <f t="shared" si="56"/>
        <v>0</v>
      </c>
      <c r="W305" s="19">
        <f t="shared" si="56"/>
        <v>0</v>
      </c>
    </row>
    <row r="306" spans="1:23" x14ac:dyDescent="0.2">
      <c r="A306">
        <v>20</v>
      </c>
      <c r="B306" s="1">
        <v>37165</v>
      </c>
      <c r="J306" s="19">
        <f t="shared" si="52"/>
        <v>30.096430184217752</v>
      </c>
      <c r="K306" s="19">
        <f t="shared" si="52"/>
        <v>30.096430184217752</v>
      </c>
      <c r="L306" s="19">
        <f t="shared" si="52"/>
        <v>30.096430184217752</v>
      </c>
      <c r="M306" s="19">
        <f t="shared" si="52"/>
        <v>30.096430184217752</v>
      </c>
      <c r="N306" s="19">
        <f t="shared" si="53"/>
        <v>42.174174769718661</v>
      </c>
      <c r="O306" s="19">
        <f t="shared" si="53"/>
        <v>42.174174769718661</v>
      </c>
      <c r="P306" s="19">
        <f t="shared" si="54"/>
        <v>86.613582623373759</v>
      </c>
      <c r="Q306" s="19">
        <f t="shared" si="54"/>
        <v>86.613582623373759</v>
      </c>
      <c r="R306" s="19">
        <f t="shared" si="55"/>
        <v>104.03707943579241</v>
      </c>
      <c r="S306" s="19">
        <f t="shared" si="55"/>
        <v>104.03707943579241</v>
      </c>
      <c r="T306" s="19">
        <f t="shared" si="55"/>
        <v>104.03707943579241</v>
      </c>
      <c r="U306" s="19">
        <f t="shared" si="55"/>
        <v>104.03707943579241</v>
      </c>
      <c r="V306" s="19">
        <f t="shared" si="56"/>
        <v>123.97561655714969</v>
      </c>
      <c r="W306" s="19">
        <f t="shared" si="56"/>
        <v>123.97561655714969</v>
      </c>
    </row>
    <row r="307" spans="1:23" x14ac:dyDescent="0.2">
      <c r="A307">
        <v>21</v>
      </c>
      <c r="B307" s="1">
        <v>37196</v>
      </c>
      <c r="J307" s="19">
        <f t="shared" si="52"/>
        <v>23.986832302713424</v>
      </c>
      <c r="K307" s="19">
        <f t="shared" si="52"/>
        <v>23.986832302713424</v>
      </c>
      <c r="L307" s="19">
        <f t="shared" si="52"/>
        <v>23.986832302713424</v>
      </c>
      <c r="M307" s="19">
        <f t="shared" si="52"/>
        <v>23.986832302713424</v>
      </c>
      <c r="N307" s="19">
        <f t="shared" si="53"/>
        <v>36.013363680937459</v>
      </c>
      <c r="O307" s="19">
        <f t="shared" si="53"/>
        <v>36.013363680937459</v>
      </c>
      <c r="P307" s="19">
        <f t="shared" si="54"/>
        <v>80.121865875421008</v>
      </c>
      <c r="Q307" s="19">
        <f t="shared" si="54"/>
        <v>80.121865875421008</v>
      </c>
      <c r="R307" s="19">
        <f t="shared" ref="R307:U320" si="57">((R71*$G$16)*(1+$G$14/12)^($A$85-$A71+1))-(R71*$G$16)</f>
        <v>97.16394120190057</v>
      </c>
      <c r="S307" s="19">
        <f t="shared" si="57"/>
        <v>97.16394120190057</v>
      </c>
      <c r="T307" s="19">
        <f t="shared" si="57"/>
        <v>97.16394120190057</v>
      </c>
      <c r="U307" s="19">
        <f t="shared" si="57"/>
        <v>97.16394120190057</v>
      </c>
      <c r="V307" s="19">
        <f t="shared" ref="V307:W323" si="58">((V71*$G$16)*(1+$G$14/12)^($A$88-$A71+1))-(V71*$G$16)</f>
        <v>117.00241200376331</v>
      </c>
      <c r="W307" s="19">
        <f t="shared" si="58"/>
        <v>117.00241200376331</v>
      </c>
    </row>
    <row r="308" spans="1:23" x14ac:dyDescent="0.2">
      <c r="A308">
        <v>22</v>
      </c>
      <c r="B308" s="1">
        <v>37226</v>
      </c>
      <c r="J308" s="19">
        <f t="shared" si="52"/>
        <v>20.487328696676514</v>
      </c>
      <c r="K308" s="19">
        <f t="shared" si="52"/>
        <v>20.487328696676514</v>
      </c>
      <c r="L308" s="19">
        <f t="shared" si="52"/>
        <v>20.487328696676514</v>
      </c>
      <c r="M308" s="19">
        <f t="shared" si="52"/>
        <v>20.487328696676514</v>
      </c>
      <c r="N308" s="19">
        <f t="shared" si="53"/>
        <v>29.898427354058413</v>
      </c>
      <c r="O308" s="19">
        <f t="shared" si="53"/>
        <v>29.898427354058413</v>
      </c>
      <c r="P308" s="19">
        <f t="shared" si="54"/>
        <v>73.678487886092171</v>
      </c>
      <c r="Q308" s="19">
        <f t="shared" si="54"/>
        <v>73.678487886092171</v>
      </c>
      <c r="R308" s="19">
        <f t="shared" si="57"/>
        <v>90.341981875373335</v>
      </c>
      <c r="S308" s="19">
        <f t="shared" si="57"/>
        <v>90.341981875373335</v>
      </c>
      <c r="T308" s="19">
        <f t="shared" si="57"/>
        <v>90.341981875373335</v>
      </c>
      <c r="U308" s="19">
        <f t="shared" si="57"/>
        <v>90.341981875373335</v>
      </c>
      <c r="V308" s="19">
        <f t="shared" si="58"/>
        <v>110.0811314736867</v>
      </c>
      <c r="W308" s="19">
        <f t="shared" si="58"/>
        <v>110.0811314736867</v>
      </c>
    </row>
    <row r="309" spans="1:23" x14ac:dyDescent="0.2">
      <c r="A309">
        <v>23</v>
      </c>
      <c r="B309" s="1">
        <v>37257</v>
      </c>
      <c r="J309" s="19">
        <f t="shared" si="52"/>
        <v>85.019993626063297</v>
      </c>
      <c r="K309" s="19">
        <f t="shared" si="52"/>
        <v>85.019993626063297</v>
      </c>
      <c r="L309" s="19">
        <f t="shared" si="52"/>
        <v>85.019993626063297</v>
      </c>
      <c r="M309" s="19">
        <f t="shared" si="52"/>
        <v>85.019993626063297</v>
      </c>
      <c r="N309" s="19">
        <f t="shared" si="53"/>
        <v>23.829024195458715</v>
      </c>
      <c r="O309" s="19">
        <f t="shared" si="53"/>
        <v>23.829024195458715</v>
      </c>
      <c r="P309" s="19">
        <f t="shared" si="54"/>
        <v>67.283088714300106</v>
      </c>
      <c r="Q309" s="19">
        <f t="shared" si="54"/>
        <v>67.283088714300106</v>
      </c>
      <c r="R309" s="19">
        <f t="shared" si="57"/>
        <v>83.570820366747171</v>
      </c>
      <c r="S309" s="19">
        <f t="shared" si="57"/>
        <v>83.570820366747171</v>
      </c>
      <c r="T309" s="19">
        <f t="shared" si="57"/>
        <v>83.570820366747171</v>
      </c>
      <c r="U309" s="19">
        <f t="shared" si="57"/>
        <v>83.570820366747171</v>
      </c>
      <c r="V309" s="19">
        <f t="shared" si="58"/>
        <v>103.21138832915915</v>
      </c>
      <c r="W309" s="19">
        <f t="shared" si="58"/>
        <v>103.21138832915915</v>
      </c>
    </row>
    <row r="310" spans="1:23" x14ac:dyDescent="0.2">
      <c r="A310">
        <v>24</v>
      </c>
      <c r="B310" s="1">
        <v>37288</v>
      </c>
      <c r="N310" s="19">
        <f t="shared" si="53"/>
        <v>20.339937842743666</v>
      </c>
      <c r="O310" s="19">
        <f t="shared" si="53"/>
        <v>20.339937842743666</v>
      </c>
      <c r="P310" s="19">
        <f t="shared" si="54"/>
        <v>60.935311099158412</v>
      </c>
      <c r="Q310" s="19">
        <f t="shared" si="54"/>
        <v>60.935311099158412</v>
      </c>
      <c r="R310" s="19">
        <f t="shared" si="57"/>
        <v>76.850078424235221</v>
      </c>
      <c r="S310" s="19">
        <f t="shared" si="57"/>
        <v>76.850078424235221</v>
      </c>
      <c r="T310" s="19">
        <f t="shared" si="57"/>
        <v>76.850078424235221</v>
      </c>
      <c r="U310" s="19">
        <f t="shared" si="57"/>
        <v>76.850078424235221</v>
      </c>
      <c r="V310" s="19">
        <f t="shared" si="58"/>
        <v>96.392798811409307</v>
      </c>
      <c r="W310" s="19">
        <f t="shared" si="58"/>
        <v>96.392798811409307</v>
      </c>
    </row>
    <row r="311" spans="1:23" x14ac:dyDescent="0.2">
      <c r="A311">
        <v>25</v>
      </c>
      <c r="B311" s="1">
        <v>37316</v>
      </c>
      <c r="N311" s="19">
        <f t="shared" si="53"/>
        <v>84.432636157144771</v>
      </c>
      <c r="O311" s="19">
        <f t="shared" si="53"/>
        <v>84.432636157144771</v>
      </c>
      <c r="P311" s="19">
        <f t="shared" si="54"/>
        <v>54.634800440024151</v>
      </c>
      <c r="Q311" s="19">
        <f t="shared" si="54"/>
        <v>54.634800440024151</v>
      </c>
      <c r="R311" s="19">
        <f t="shared" si="57"/>
        <v>70.179380612597811</v>
      </c>
      <c r="S311" s="19">
        <f t="shared" si="57"/>
        <v>70.179380612597811</v>
      </c>
      <c r="T311" s="19">
        <f t="shared" si="57"/>
        <v>70.179380612597811</v>
      </c>
      <c r="U311" s="19">
        <f t="shared" si="57"/>
        <v>70.179380612597811</v>
      </c>
      <c r="V311" s="19">
        <f t="shared" si="58"/>
        <v>89.624982019219601</v>
      </c>
      <c r="W311" s="19">
        <f t="shared" si="58"/>
        <v>89.624982019219601</v>
      </c>
    </row>
    <row r="312" spans="1:23" x14ac:dyDescent="0.2">
      <c r="A312">
        <v>26</v>
      </c>
      <c r="B312" s="1">
        <v>37347</v>
      </c>
      <c r="P312" s="19">
        <f t="shared" si="54"/>
        <v>48.38120477668906</v>
      </c>
      <c r="Q312" s="19">
        <f t="shared" si="54"/>
        <v>48.38120477668906</v>
      </c>
      <c r="R312" s="19">
        <f t="shared" si="57"/>
        <v>63.558354292168474</v>
      </c>
      <c r="S312" s="19">
        <f t="shared" si="57"/>
        <v>63.558354292168474</v>
      </c>
      <c r="T312" s="19">
        <f t="shared" si="57"/>
        <v>63.558354292168474</v>
      </c>
      <c r="U312" s="19">
        <f t="shared" si="57"/>
        <v>63.558354292168474</v>
      </c>
      <c r="V312" s="19">
        <f t="shared" si="58"/>
        <v>82.907559887645903</v>
      </c>
      <c r="W312" s="19">
        <f t="shared" si="58"/>
        <v>82.907559887645903</v>
      </c>
    </row>
    <row r="313" spans="1:23" x14ac:dyDescent="0.2">
      <c r="A313">
        <v>27</v>
      </c>
      <c r="B313" s="1">
        <v>37377</v>
      </c>
      <c r="P313" s="19">
        <f t="shared" si="54"/>
        <v>42.174174769718661</v>
      </c>
      <c r="Q313" s="19">
        <f t="shared" si="54"/>
        <v>42.174174769718661</v>
      </c>
      <c r="R313" s="19">
        <f t="shared" si="57"/>
        <v>56.986629598038348</v>
      </c>
      <c r="S313" s="19">
        <f t="shared" si="57"/>
        <v>56.986629598038348</v>
      </c>
      <c r="T313" s="19">
        <f t="shared" si="57"/>
        <v>56.986629598038348</v>
      </c>
      <c r="U313" s="19">
        <f t="shared" si="57"/>
        <v>56.986629598038348</v>
      </c>
      <c r="V313" s="19">
        <f t="shared" si="58"/>
        <v>76.240157166899962</v>
      </c>
      <c r="W313" s="19">
        <f t="shared" si="58"/>
        <v>76.240157166899962</v>
      </c>
    </row>
    <row r="314" spans="1:23" x14ac:dyDescent="0.2">
      <c r="A314">
        <v>28</v>
      </c>
      <c r="B314" s="1">
        <v>37408</v>
      </c>
      <c r="P314" s="19">
        <f t="shared" si="54"/>
        <v>36.013363680937459</v>
      </c>
      <c r="Q314" s="19">
        <f t="shared" si="54"/>
        <v>36.013363680937459</v>
      </c>
      <c r="R314" s="19">
        <f t="shared" si="57"/>
        <v>50.463839419394162</v>
      </c>
      <c r="S314" s="19">
        <f t="shared" si="57"/>
        <v>50.463839419394162</v>
      </c>
      <c r="T314" s="19">
        <f t="shared" si="57"/>
        <v>50.463839419394162</v>
      </c>
      <c r="U314" s="19">
        <f t="shared" si="57"/>
        <v>50.463839419394162</v>
      </c>
      <c r="V314" s="19">
        <f t="shared" si="58"/>
        <v>69.622401401386696</v>
      </c>
      <c r="W314" s="19">
        <f t="shared" si="58"/>
        <v>69.622401401386696</v>
      </c>
    </row>
    <row r="315" spans="1:23" x14ac:dyDescent="0.2">
      <c r="A315">
        <v>29</v>
      </c>
      <c r="B315" s="1">
        <v>37438</v>
      </c>
      <c r="P315" s="19">
        <f t="shared" si="54"/>
        <v>29.898427354058413</v>
      </c>
      <c r="Q315" s="19">
        <f t="shared" si="54"/>
        <v>29.898427354058413</v>
      </c>
      <c r="R315" s="19">
        <f t="shared" si="57"/>
        <v>43.989619379011174</v>
      </c>
      <c r="S315" s="19">
        <f t="shared" si="57"/>
        <v>43.989619379011174</v>
      </c>
      <c r="T315" s="19">
        <f t="shared" si="57"/>
        <v>43.989619379011174</v>
      </c>
      <c r="U315" s="19">
        <f t="shared" si="57"/>
        <v>43.989619379011174</v>
      </c>
      <c r="V315" s="19">
        <f t="shared" si="58"/>
        <v>63.053922908897334</v>
      </c>
      <c r="W315" s="19">
        <f t="shared" si="58"/>
        <v>63.053922908897334</v>
      </c>
    </row>
    <row r="316" spans="1:23" x14ac:dyDescent="0.2">
      <c r="A316">
        <v>30</v>
      </c>
      <c r="B316" s="1">
        <v>37469</v>
      </c>
      <c r="P316" s="19">
        <f t="shared" si="54"/>
        <v>23.829024195458715</v>
      </c>
      <c r="Q316" s="19">
        <f t="shared" si="54"/>
        <v>23.829024195458715</v>
      </c>
      <c r="R316" s="19">
        <f t="shared" si="57"/>
        <v>37.56360781289834</v>
      </c>
      <c r="S316" s="19">
        <f t="shared" si="57"/>
        <v>37.56360781289834</v>
      </c>
      <c r="T316" s="19">
        <f t="shared" si="57"/>
        <v>37.56360781289834</v>
      </c>
      <c r="U316" s="19">
        <f t="shared" si="57"/>
        <v>37.56360781289834</v>
      </c>
      <c r="V316" s="19">
        <f t="shared" si="58"/>
        <v>56.534354759958774</v>
      </c>
      <c r="W316" s="19">
        <f t="shared" si="58"/>
        <v>56.534354759958774</v>
      </c>
    </row>
    <row r="317" spans="1:23" x14ac:dyDescent="0.2">
      <c r="A317">
        <v>31</v>
      </c>
      <c r="B317" s="1">
        <v>37500</v>
      </c>
      <c r="P317" s="19">
        <f t="shared" si="54"/>
        <v>20.339937842743666</v>
      </c>
      <c r="Q317" s="19">
        <f t="shared" si="54"/>
        <v>20.339937842743666</v>
      </c>
      <c r="R317" s="19">
        <f t="shared" si="57"/>
        <v>31.185445750094004</v>
      </c>
      <c r="S317" s="19">
        <f t="shared" si="57"/>
        <v>31.185445750094004</v>
      </c>
      <c r="T317" s="19">
        <f t="shared" si="57"/>
        <v>31.185445750094004</v>
      </c>
      <c r="U317" s="19">
        <f t="shared" si="57"/>
        <v>31.185445750094004</v>
      </c>
      <c r="V317" s="19">
        <f t="shared" si="58"/>
        <v>50.063332757335502</v>
      </c>
      <c r="W317" s="19">
        <f t="shared" si="58"/>
        <v>50.063332757335502</v>
      </c>
    </row>
    <row r="318" spans="1:23" x14ac:dyDescent="0.2">
      <c r="A318">
        <v>32</v>
      </c>
      <c r="B318" s="1">
        <v>37530</v>
      </c>
      <c r="P318" s="19">
        <f t="shared" si="54"/>
        <v>84.432636157144771</v>
      </c>
      <c r="Q318" s="19">
        <f t="shared" si="54"/>
        <v>84.432636157144771</v>
      </c>
      <c r="R318" s="19">
        <f t="shared" si="57"/>
        <v>24.854776892614268</v>
      </c>
      <c r="S318" s="19">
        <f t="shared" si="57"/>
        <v>24.854776892614268</v>
      </c>
      <c r="T318" s="19">
        <f t="shared" si="57"/>
        <v>26.630118099229549</v>
      </c>
      <c r="U318" s="19">
        <f t="shared" si="57"/>
        <v>26.630118099229549</v>
      </c>
      <c r="V318" s="19">
        <f t="shared" si="58"/>
        <v>43.640495415685677</v>
      </c>
      <c r="W318" s="19">
        <f t="shared" si="58"/>
        <v>43.640495415685677</v>
      </c>
    </row>
    <row r="319" spans="1:23" x14ac:dyDescent="0.2">
      <c r="A319">
        <v>33</v>
      </c>
      <c r="B319" s="1">
        <v>37561</v>
      </c>
      <c r="R319" s="19">
        <f t="shared" si="57"/>
        <v>21.224282966341207</v>
      </c>
      <c r="S319" s="19">
        <f t="shared" si="57"/>
        <v>21.224282966341207</v>
      </c>
      <c r="T319" s="19">
        <f t="shared" si="57"/>
        <v>76.93802575298696</v>
      </c>
      <c r="U319" s="19">
        <f t="shared" si="57"/>
        <v>76.93802575298696</v>
      </c>
      <c r="V319" s="19">
        <f t="shared" si="58"/>
        <v>37.265483941367393</v>
      </c>
      <c r="W319" s="19">
        <f t="shared" si="58"/>
        <v>37.265483941367393</v>
      </c>
    </row>
    <row r="320" spans="1:23" x14ac:dyDescent="0.2">
      <c r="A320">
        <v>34</v>
      </c>
      <c r="B320" s="1">
        <v>37591</v>
      </c>
      <c r="R320" s="19">
        <f t="shared" si="57"/>
        <v>88.103620337889879</v>
      </c>
      <c r="S320" s="19">
        <f t="shared" si="57"/>
        <v>88.103620337889879</v>
      </c>
      <c r="T320" s="19">
        <f t="shared" si="57"/>
        <v>52.862172202733746</v>
      </c>
      <c r="U320" s="19">
        <f t="shared" si="57"/>
        <v>52.862172202733746</v>
      </c>
      <c r="V320" s="19">
        <f t="shared" si="58"/>
        <v>30.937942212394887</v>
      </c>
      <c r="W320" s="19">
        <f t="shared" si="58"/>
        <v>30.937942212394887</v>
      </c>
    </row>
    <row r="321" spans="1:23" x14ac:dyDescent="0.2">
      <c r="A321">
        <v>35</v>
      </c>
      <c r="B321" s="1">
        <v>37622</v>
      </c>
      <c r="V321" s="19">
        <f t="shared" si="58"/>
        <v>24.657516758545853</v>
      </c>
      <c r="W321" s="19">
        <f t="shared" si="58"/>
        <v>24.657516758545853</v>
      </c>
    </row>
    <row r="322" spans="1:23" x14ac:dyDescent="0.2">
      <c r="A322">
        <v>36</v>
      </c>
      <c r="B322" s="1">
        <v>37653</v>
      </c>
      <c r="V322" s="19">
        <f t="shared" si="58"/>
        <v>21.047413941621699</v>
      </c>
      <c r="W322" s="19">
        <f t="shared" si="58"/>
        <v>21.047413941621699</v>
      </c>
    </row>
    <row r="323" spans="1:23" x14ac:dyDescent="0.2">
      <c r="A323">
        <v>37</v>
      </c>
      <c r="B323" s="1">
        <v>37681</v>
      </c>
      <c r="V323" s="19">
        <f t="shared" si="58"/>
        <v>87.369423501741039</v>
      </c>
      <c r="W323" s="19">
        <f t="shared" si="58"/>
        <v>87.369423501741039</v>
      </c>
    </row>
    <row r="324" spans="1:23" x14ac:dyDescent="0.2">
      <c r="A324">
        <v>38</v>
      </c>
      <c r="B324" s="1">
        <v>37712</v>
      </c>
    </row>
    <row r="325" spans="1:23" x14ac:dyDescent="0.2">
      <c r="A325">
        <v>39</v>
      </c>
      <c r="B325" s="1">
        <v>37742</v>
      </c>
    </row>
    <row r="326" spans="1:23" x14ac:dyDescent="0.2">
      <c r="A326">
        <v>40</v>
      </c>
      <c r="B326" s="1">
        <v>37773</v>
      </c>
    </row>
    <row r="327" spans="1:23" x14ac:dyDescent="0.2">
      <c r="A327">
        <v>41</v>
      </c>
      <c r="B327" s="1">
        <v>37803</v>
      </c>
    </row>
    <row r="328" spans="1:23" x14ac:dyDescent="0.2">
      <c r="A328">
        <v>42</v>
      </c>
      <c r="B328" s="1">
        <v>37834</v>
      </c>
    </row>
    <row r="329" spans="1:23" x14ac:dyDescent="0.2">
      <c r="A329">
        <v>43</v>
      </c>
      <c r="B329" s="1">
        <v>37865</v>
      </c>
    </row>
    <row r="330" spans="1:23" x14ac:dyDescent="0.2">
      <c r="A330">
        <v>44</v>
      </c>
      <c r="B330" s="1">
        <v>37895</v>
      </c>
    </row>
    <row r="331" spans="1:23" x14ac:dyDescent="0.2">
      <c r="A331">
        <v>45</v>
      </c>
      <c r="B331" s="1">
        <v>37926</v>
      </c>
    </row>
    <row r="332" spans="1:23" x14ac:dyDescent="0.2">
      <c r="A332">
        <v>46</v>
      </c>
      <c r="B332" s="1">
        <v>37956</v>
      </c>
    </row>
    <row r="333" spans="1:23" x14ac:dyDescent="0.2">
      <c r="B333" s="3" t="s">
        <v>34</v>
      </c>
      <c r="C333" s="3"/>
      <c r="D333" s="5">
        <f>SUM(D286:D332)</f>
        <v>1398.1022263153363</v>
      </c>
      <c r="E333" s="5">
        <f t="shared" ref="E333:W333" si="59">SUM(E286:E332)</f>
        <v>1198.5097680035281</v>
      </c>
      <c r="F333" s="5">
        <f t="shared" si="59"/>
        <v>1278.0633229822288</v>
      </c>
      <c r="G333" s="5">
        <f t="shared" si="59"/>
        <v>1278.0633229822288</v>
      </c>
      <c r="H333" s="5">
        <f t="shared" si="59"/>
        <v>1316.4912838556163</v>
      </c>
      <c r="I333" s="5">
        <f t="shared" si="59"/>
        <v>1316.4912838556163</v>
      </c>
      <c r="J333" s="5">
        <f t="shared" si="59"/>
        <v>1866.3884285489546</v>
      </c>
      <c r="K333" s="5">
        <f t="shared" si="59"/>
        <v>1866.3884285489546</v>
      </c>
      <c r="L333" s="5">
        <f t="shared" si="59"/>
        <v>1866.3884285489546</v>
      </c>
      <c r="M333" s="5">
        <f t="shared" si="59"/>
        <v>1866.3884285489546</v>
      </c>
      <c r="N333" s="5">
        <f t="shared" si="59"/>
        <v>1910.8496848295999</v>
      </c>
      <c r="O333" s="5">
        <f t="shared" si="59"/>
        <v>1910.8496848295999</v>
      </c>
      <c r="P333" s="5">
        <f t="shared" si="59"/>
        <v>2115.9897006745432</v>
      </c>
      <c r="Q333" s="5">
        <f t="shared" si="59"/>
        <v>2115.9897006745432</v>
      </c>
      <c r="R333" s="5">
        <f t="shared" si="59"/>
        <v>2137.3640070049969</v>
      </c>
      <c r="S333" s="5">
        <f t="shared" si="59"/>
        <v>2137.3640070049969</v>
      </c>
      <c r="T333" s="5">
        <f t="shared" si="59"/>
        <v>2225.6362147378886</v>
      </c>
      <c r="U333" s="5">
        <f t="shared" si="59"/>
        <v>2225.6362147378886</v>
      </c>
      <c r="V333" s="5">
        <f t="shared" si="59"/>
        <v>2205.9616176050868</v>
      </c>
      <c r="W333" s="5">
        <f t="shared" si="59"/>
        <v>2205.9616176050868</v>
      </c>
    </row>
    <row r="337" spans="1:23" x14ac:dyDescent="0.2">
      <c r="B337" t="s">
        <v>46</v>
      </c>
    </row>
    <row r="339" spans="1:23" x14ac:dyDescent="0.2">
      <c r="A339">
        <v>1</v>
      </c>
      <c r="B339" s="1">
        <v>36586</v>
      </c>
      <c r="D339" s="19">
        <f t="shared" ref="D339:E351" si="60">((D51*$G$16)*(1+$M$14/12)^($A$64-$A51+1))-(D51*$G$16)</f>
        <v>95.189898518621703</v>
      </c>
      <c r="E339" s="19">
        <f t="shared" si="60"/>
        <v>0</v>
      </c>
      <c r="F339" s="19">
        <f t="shared" ref="F339:G355" si="61">((F51*$G$16)*(1+$M$14/12)^($A$68-$A51+1))-(F51*$G$16)</f>
        <v>0</v>
      </c>
      <c r="G339" s="19">
        <f t="shared" si="61"/>
        <v>0</v>
      </c>
      <c r="H339" s="19">
        <f t="shared" ref="H339:I357" si="62">((H51*$G$16)*(1+$M$14/12)^($A$70-$A51+1))-(H51*$G$16)</f>
        <v>0</v>
      </c>
      <c r="I339" s="19">
        <f t="shared" si="62"/>
        <v>0</v>
      </c>
      <c r="J339" s="19">
        <f t="shared" ref="J339:M361" si="63">((J51*$G$16)*(1+$M$14/12)^($A$74-$A51+1))-(J51*$G$16)</f>
        <v>0</v>
      </c>
      <c r="K339" s="19">
        <f t="shared" si="63"/>
        <v>0</v>
      </c>
      <c r="L339" s="19">
        <f t="shared" si="63"/>
        <v>0</v>
      </c>
      <c r="M339" s="19">
        <f t="shared" si="63"/>
        <v>0</v>
      </c>
      <c r="N339" s="19">
        <f t="shared" ref="N339:O363" si="64">((N51*$G$16)*(1+$M$14/12)^($A$76-$A51+1))-(N51*$G$16)</f>
        <v>0</v>
      </c>
      <c r="O339" s="19">
        <f t="shared" si="64"/>
        <v>0</v>
      </c>
      <c r="P339" s="19">
        <f t="shared" ref="P339:Q370" si="65">((P51*$G$16)*(1+$M$14/12)^($A$83-$A51+1))-(P51*$G$16)</f>
        <v>0</v>
      </c>
      <c r="Q339" s="19">
        <f t="shared" si="65"/>
        <v>0</v>
      </c>
      <c r="R339" s="19">
        <f t="shared" ref="R339:U358" si="66">((R51*$G$16)*(1+$M$14/12)^($A$85-$A51+1))-(R51*$G$16)</f>
        <v>0</v>
      </c>
      <c r="S339" s="19">
        <f t="shared" si="66"/>
        <v>0</v>
      </c>
      <c r="T339" s="19">
        <f t="shared" si="66"/>
        <v>0</v>
      </c>
      <c r="U339" s="19">
        <f t="shared" si="66"/>
        <v>0</v>
      </c>
      <c r="V339" s="19">
        <f t="shared" ref="V339:W358" si="67">((V51*$G$16)*(1+$M$14/12)^($A$88-$A51+1))-(V51*$G$16)</f>
        <v>0</v>
      </c>
      <c r="W339" s="19">
        <f t="shared" si="67"/>
        <v>0</v>
      </c>
    </row>
    <row r="340" spans="1:23" x14ac:dyDescent="0.2">
      <c r="A340">
        <v>2</v>
      </c>
      <c r="B340" s="1">
        <v>36617</v>
      </c>
      <c r="D340" s="19">
        <f t="shared" si="60"/>
        <v>96.947796594361307</v>
      </c>
      <c r="E340" s="19">
        <f t="shared" si="60"/>
        <v>72.201832358643856</v>
      </c>
      <c r="F340" s="19">
        <f t="shared" si="61"/>
        <v>0</v>
      </c>
      <c r="G340" s="19">
        <f t="shared" si="61"/>
        <v>0</v>
      </c>
      <c r="H340" s="19">
        <f t="shared" si="62"/>
        <v>0</v>
      </c>
      <c r="I340" s="19">
        <f t="shared" si="62"/>
        <v>0</v>
      </c>
      <c r="J340" s="19">
        <f t="shared" si="63"/>
        <v>82.635131829792726</v>
      </c>
      <c r="K340" s="19">
        <f t="shared" si="63"/>
        <v>82.635131829792726</v>
      </c>
      <c r="L340" s="19">
        <f t="shared" si="63"/>
        <v>82.635131829792726</v>
      </c>
      <c r="M340" s="19">
        <f t="shared" si="63"/>
        <v>82.635131829792726</v>
      </c>
      <c r="N340" s="19">
        <f t="shared" si="64"/>
        <v>89.848367135631747</v>
      </c>
      <c r="O340" s="19">
        <f t="shared" si="64"/>
        <v>89.848367135631747</v>
      </c>
      <c r="P340" s="19">
        <f t="shared" si="65"/>
        <v>117.49195859276358</v>
      </c>
      <c r="Q340" s="19">
        <f t="shared" si="65"/>
        <v>117.49195859276358</v>
      </c>
      <c r="R340" s="19">
        <f t="shared" si="66"/>
        <v>0</v>
      </c>
      <c r="S340" s="19">
        <f t="shared" si="66"/>
        <v>0</v>
      </c>
      <c r="T340" s="19">
        <f t="shared" si="66"/>
        <v>0</v>
      </c>
      <c r="U340" s="19">
        <f t="shared" si="66"/>
        <v>0</v>
      </c>
      <c r="V340" s="19">
        <f t="shared" si="67"/>
        <v>0</v>
      </c>
      <c r="W340" s="19">
        <f t="shared" si="67"/>
        <v>0</v>
      </c>
    </row>
    <row r="341" spans="1:23" x14ac:dyDescent="0.2">
      <c r="A341">
        <v>3</v>
      </c>
      <c r="B341" s="1">
        <v>36647</v>
      </c>
      <c r="D341" s="19">
        <f t="shared" si="60"/>
        <v>89.221478469566591</v>
      </c>
      <c r="E341" s="19">
        <f t="shared" si="60"/>
        <v>83.84032306375525</v>
      </c>
      <c r="F341" s="19">
        <f t="shared" si="61"/>
        <v>109.64105528181972</v>
      </c>
      <c r="G341" s="19">
        <f t="shared" si="61"/>
        <v>109.64105528181972</v>
      </c>
      <c r="H341" s="19">
        <f t="shared" si="62"/>
        <v>0</v>
      </c>
      <c r="I341" s="19">
        <f t="shared" si="62"/>
        <v>0</v>
      </c>
      <c r="J341" s="19">
        <f t="shared" si="63"/>
        <v>0</v>
      </c>
      <c r="K341" s="19">
        <f t="shared" si="63"/>
        <v>0</v>
      </c>
      <c r="L341" s="19">
        <f t="shared" si="63"/>
        <v>0</v>
      </c>
      <c r="M341" s="19">
        <f t="shared" si="63"/>
        <v>0</v>
      </c>
      <c r="N341" s="19">
        <f t="shared" si="64"/>
        <v>0</v>
      </c>
      <c r="O341" s="19">
        <f t="shared" si="64"/>
        <v>0</v>
      </c>
      <c r="P341" s="19">
        <f t="shared" si="65"/>
        <v>0</v>
      </c>
      <c r="Q341" s="19">
        <f t="shared" si="65"/>
        <v>0</v>
      </c>
      <c r="R341" s="19">
        <f t="shared" si="66"/>
        <v>126.74644242770955</v>
      </c>
      <c r="S341" s="19">
        <f t="shared" si="66"/>
        <v>126.74644242770955</v>
      </c>
      <c r="T341" s="19">
        <f t="shared" si="66"/>
        <v>126.74644242770955</v>
      </c>
      <c r="U341" s="19">
        <f t="shared" si="66"/>
        <v>126.74644242770955</v>
      </c>
      <c r="V341" s="19">
        <f t="shared" si="67"/>
        <v>138.46398297351789</v>
      </c>
      <c r="W341" s="19">
        <f t="shared" si="67"/>
        <v>138.46398297351789</v>
      </c>
    </row>
    <row r="342" spans="1:23" x14ac:dyDescent="0.2">
      <c r="A342">
        <v>4</v>
      </c>
      <c r="B342" s="1">
        <v>36678</v>
      </c>
      <c r="D342" s="19">
        <f t="shared" si="60"/>
        <v>81.540939556915646</v>
      </c>
      <c r="E342" s="19">
        <f t="shared" si="60"/>
        <v>76.623015361775742</v>
      </c>
      <c r="F342" s="19">
        <f t="shared" si="61"/>
        <v>0</v>
      </c>
      <c r="G342" s="19">
        <f t="shared" si="61"/>
        <v>0</v>
      </c>
      <c r="H342" s="19">
        <f t="shared" si="62"/>
        <v>116.84595363423909</v>
      </c>
      <c r="I342" s="19">
        <f t="shared" si="62"/>
        <v>116.84595363423909</v>
      </c>
      <c r="J342" s="19">
        <f t="shared" si="63"/>
        <v>0</v>
      </c>
      <c r="K342" s="19">
        <f t="shared" si="63"/>
        <v>0</v>
      </c>
      <c r="L342" s="19">
        <f t="shared" si="63"/>
        <v>0</v>
      </c>
      <c r="M342" s="19">
        <f t="shared" si="63"/>
        <v>0</v>
      </c>
      <c r="N342" s="19">
        <f t="shared" si="64"/>
        <v>0</v>
      </c>
      <c r="O342" s="19">
        <f t="shared" si="64"/>
        <v>0</v>
      </c>
      <c r="P342" s="19">
        <f t="shared" si="65"/>
        <v>0</v>
      </c>
      <c r="Q342" s="19">
        <f t="shared" si="65"/>
        <v>0</v>
      </c>
      <c r="R342" s="19">
        <f t="shared" si="66"/>
        <v>0</v>
      </c>
      <c r="S342" s="19">
        <f t="shared" si="66"/>
        <v>0</v>
      </c>
      <c r="T342" s="19">
        <f t="shared" si="66"/>
        <v>0</v>
      </c>
      <c r="U342" s="19">
        <f t="shared" si="66"/>
        <v>0</v>
      </c>
      <c r="V342" s="19">
        <f t="shared" si="67"/>
        <v>0</v>
      </c>
      <c r="W342" s="19">
        <f t="shared" si="67"/>
        <v>0</v>
      </c>
    </row>
    <row r="343" spans="1:23" x14ac:dyDescent="0.2">
      <c r="A343">
        <v>5</v>
      </c>
      <c r="B343" s="1">
        <v>36708</v>
      </c>
      <c r="D343" s="19">
        <f t="shared" si="60"/>
        <v>73.90590860997122</v>
      </c>
      <c r="E343" s="19">
        <f t="shared" si="60"/>
        <v>69.448470933979479</v>
      </c>
      <c r="F343" s="19">
        <f t="shared" si="61"/>
        <v>0</v>
      </c>
      <c r="G343" s="19">
        <f t="shared" si="61"/>
        <v>0</v>
      </c>
      <c r="H343" s="19">
        <f t="shared" si="62"/>
        <v>0</v>
      </c>
      <c r="I343" s="19">
        <f t="shared" si="62"/>
        <v>0</v>
      </c>
      <c r="J343" s="19">
        <f t="shared" si="63"/>
        <v>0</v>
      </c>
      <c r="K343" s="19">
        <f t="shared" si="63"/>
        <v>0</v>
      </c>
      <c r="L343" s="19">
        <f t="shared" si="63"/>
        <v>0</v>
      </c>
      <c r="M343" s="19">
        <f t="shared" si="63"/>
        <v>0</v>
      </c>
      <c r="N343" s="19">
        <f t="shared" si="64"/>
        <v>0</v>
      </c>
      <c r="O343" s="19">
        <f t="shared" si="64"/>
        <v>0</v>
      </c>
      <c r="P343" s="19">
        <f t="shared" si="65"/>
        <v>0</v>
      </c>
      <c r="Q343" s="19">
        <f t="shared" si="65"/>
        <v>0</v>
      </c>
      <c r="R343" s="19">
        <f t="shared" si="66"/>
        <v>0</v>
      </c>
      <c r="S343" s="19">
        <f t="shared" si="66"/>
        <v>0</v>
      </c>
      <c r="T343" s="19">
        <f t="shared" si="66"/>
        <v>0</v>
      </c>
      <c r="U343" s="19">
        <f t="shared" si="66"/>
        <v>0</v>
      </c>
      <c r="V343" s="19">
        <f t="shared" si="67"/>
        <v>0</v>
      </c>
      <c r="W343" s="19">
        <f t="shared" si="67"/>
        <v>0</v>
      </c>
    </row>
    <row r="344" spans="1:23" x14ac:dyDescent="0.2">
      <c r="A344">
        <v>6</v>
      </c>
      <c r="B344" s="1">
        <v>36739</v>
      </c>
      <c r="D344" s="19">
        <f t="shared" si="60"/>
        <v>66.316115989459149</v>
      </c>
      <c r="E344" s="19">
        <f t="shared" si="60"/>
        <v>62.316436403665193</v>
      </c>
      <c r="F344" s="19">
        <f t="shared" si="61"/>
        <v>88.281488444299839</v>
      </c>
      <c r="G344" s="19">
        <f t="shared" si="61"/>
        <v>88.281488444299839</v>
      </c>
      <c r="H344" s="19">
        <f t="shared" si="62"/>
        <v>0</v>
      </c>
      <c r="I344" s="19">
        <f t="shared" si="62"/>
        <v>0</v>
      </c>
      <c r="J344" s="19">
        <f t="shared" si="63"/>
        <v>94.478985271403189</v>
      </c>
      <c r="K344" s="19">
        <f t="shared" si="63"/>
        <v>94.478985271403189</v>
      </c>
      <c r="L344" s="19">
        <f t="shared" si="63"/>
        <v>94.478985271403189</v>
      </c>
      <c r="M344" s="19">
        <f t="shared" si="63"/>
        <v>94.478985271403189</v>
      </c>
      <c r="N344" s="19">
        <f t="shared" si="64"/>
        <v>0</v>
      </c>
      <c r="O344" s="19">
        <f t="shared" si="64"/>
        <v>0</v>
      </c>
      <c r="P344" s="19">
        <f t="shared" si="65"/>
        <v>0</v>
      </c>
      <c r="Q344" s="19">
        <f t="shared" si="65"/>
        <v>0</v>
      </c>
      <c r="R344" s="19">
        <f t="shared" si="66"/>
        <v>0</v>
      </c>
      <c r="S344" s="19">
        <f t="shared" si="66"/>
        <v>0</v>
      </c>
      <c r="T344" s="19">
        <f t="shared" si="66"/>
        <v>0</v>
      </c>
      <c r="U344" s="19">
        <f t="shared" si="66"/>
        <v>0</v>
      </c>
      <c r="V344" s="19">
        <f t="shared" si="67"/>
        <v>0</v>
      </c>
      <c r="W344" s="19">
        <f t="shared" si="67"/>
        <v>0</v>
      </c>
    </row>
    <row r="345" spans="1:23" x14ac:dyDescent="0.2">
      <c r="A345">
        <v>7</v>
      </c>
      <c r="B345" s="1">
        <v>36770</v>
      </c>
      <c r="D345" s="19">
        <f t="shared" si="60"/>
        <v>58.771293653743669</v>
      </c>
      <c r="E345" s="19">
        <f t="shared" si="60"/>
        <v>55.226659895413604</v>
      </c>
      <c r="F345" s="19">
        <f t="shared" si="61"/>
        <v>89.365616560793569</v>
      </c>
      <c r="G345" s="19">
        <f t="shared" si="61"/>
        <v>89.365616560793569</v>
      </c>
      <c r="H345" s="19">
        <f t="shared" si="62"/>
        <v>0</v>
      </c>
      <c r="I345" s="19">
        <f t="shared" si="62"/>
        <v>0</v>
      </c>
      <c r="J345" s="19">
        <f t="shared" si="63"/>
        <v>89.235988266340541</v>
      </c>
      <c r="K345" s="19">
        <f t="shared" si="63"/>
        <v>89.235988266340541</v>
      </c>
      <c r="L345" s="19">
        <f t="shared" si="63"/>
        <v>89.235988266340541</v>
      </c>
      <c r="M345" s="19">
        <f t="shared" si="63"/>
        <v>89.235988266340541</v>
      </c>
      <c r="N345" s="19">
        <f t="shared" si="64"/>
        <v>0</v>
      </c>
      <c r="O345" s="19">
        <f t="shared" si="64"/>
        <v>0</v>
      </c>
      <c r="P345" s="19">
        <f t="shared" si="65"/>
        <v>0</v>
      </c>
      <c r="Q345" s="19">
        <f t="shared" si="65"/>
        <v>0</v>
      </c>
      <c r="R345" s="19">
        <f t="shared" si="66"/>
        <v>110.02709692493272</v>
      </c>
      <c r="S345" s="19">
        <f t="shared" si="66"/>
        <v>110.02709692493272</v>
      </c>
      <c r="T345" s="19">
        <f t="shared" si="66"/>
        <v>110.02709692493272</v>
      </c>
      <c r="U345" s="19">
        <f t="shared" si="66"/>
        <v>110.02709692493272</v>
      </c>
      <c r="V345" s="19">
        <f t="shared" si="67"/>
        <v>121.5762676979582</v>
      </c>
      <c r="W345" s="19">
        <f t="shared" si="67"/>
        <v>121.5762676979582</v>
      </c>
    </row>
    <row r="346" spans="1:23" x14ac:dyDescent="0.2">
      <c r="A346">
        <v>8</v>
      </c>
      <c r="B346" s="1">
        <v>36800</v>
      </c>
      <c r="D346" s="19">
        <f t="shared" si="60"/>
        <v>51.271175149363671</v>
      </c>
      <c r="E346" s="19">
        <f t="shared" si="60"/>
        <v>48.178891026192559</v>
      </c>
      <c r="F346" s="19">
        <f t="shared" si="61"/>
        <v>81.672669669285369</v>
      </c>
      <c r="G346" s="19">
        <f t="shared" si="61"/>
        <v>81.672669669285369</v>
      </c>
      <c r="H346" s="19">
        <f t="shared" si="62"/>
        <v>88.281488444299839</v>
      </c>
      <c r="I346" s="19">
        <f t="shared" si="62"/>
        <v>88.281488444299839</v>
      </c>
      <c r="J346" s="19">
        <f t="shared" si="63"/>
        <v>84.024056545969643</v>
      </c>
      <c r="K346" s="19">
        <f t="shared" si="63"/>
        <v>84.024056545969643</v>
      </c>
      <c r="L346" s="19">
        <f t="shared" si="63"/>
        <v>84.024056545969643</v>
      </c>
      <c r="M346" s="19">
        <f t="shared" si="63"/>
        <v>84.024056545969643</v>
      </c>
      <c r="N346" s="19">
        <f t="shared" si="64"/>
        <v>93.857412999880808</v>
      </c>
      <c r="O346" s="19">
        <f t="shared" si="64"/>
        <v>93.857412999880808</v>
      </c>
      <c r="P346" s="19">
        <f t="shared" si="65"/>
        <v>0</v>
      </c>
      <c r="Q346" s="19">
        <f t="shared" si="65"/>
        <v>0</v>
      </c>
      <c r="R346" s="19">
        <f t="shared" si="66"/>
        <v>0</v>
      </c>
      <c r="S346" s="19">
        <f t="shared" si="66"/>
        <v>0</v>
      </c>
      <c r="T346" s="19">
        <f t="shared" si="66"/>
        <v>0</v>
      </c>
      <c r="U346" s="19">
        <f t="shared" si="66"/>
        <v>0</v>
      </c>
      <c r="V346" s="19">
        <f t="shared" si="67"/>
        <v>0</v>
      </c>
      <c r="W346" s="19">
        <f t="shared" si="67"/>
        <v>0</v>
      </c>
    </row>
    <row r="347" spans="1:23" x14ac:dyDescent="0.2">
      <c r="A347">
        <v>9</v>
      </c>
      <c r="B347" s="1">
        <v>36831</v>
      </c>
      <c r="D347" s="19">
        <f t="shared" si="60"/>
        <v>43.815495601621478</v>
      </c>
      <c r="E347" s="19">
        <f t="shared" si="60"/>
        <v>41.172880896515608</v>
      </c>
      <c r="F347" s="19">
        <f t="shared" si="61"/>
        <v>74.025304262006784</v>
      </c>
      <c r="G347" s="19">
        <f t="shared" si="61"/>
        <v>74.025304262006784</v>
      </c>
      <c r="H347" s="19">
        <f t="shared" si="62"/>
        <v>89.365616560793569</v>
      </c>
      <c r="I347" s="19">
        <f t="shared" si="62"/>
        <v>89.365616560793569</v>
      </c>
      <c r="J347" s="19">
        <f t="shared" si="63"/>
        <v>78.843006045353491</v>
      </c>
      <c r="K347" s="19">
        <f t="shared" si="63"/>
        <v>78.843006045353491</v>
      </c>
      <c r="L347" s="19">
        <f t="shared" si="63"/>
        <v>78.843006045353491</v>
      </c>
      <c r="M347" s="19">
        <f t="shared" si="63"/>
        <v>78.843006045353491</v>
      </c>
      <c r="N347" s="19">
        <f t="shared" si="64"/>
        <v>88.648909396167255</v>
      </c>
      <c r="O347" s="19">
        <f t="shared" si="64"/>
        <v>88.648909396167255</v>
      </c>
      <c r="P347" s="19">
        <f t="shared" si="65"/>
        <v>0</v>
      </c>
      <c r="Q347" s="19">
        <f t="shared" si="65"/>
        <v>0</v>
      </c>
      <c r="R347" s="19">
        <f t="shared" si="66"/>
        <v>0</v>
      </c>
      <c r="S347" s="19">
        <f t="shared" si="66"/>
        <v>0</v>
      </c>
      <c r="T347" s="19">
        <f t="shared" si="66"/>
        <v>0</v>
      </c>
      <c r="U347" s="19">
        <f t="shared" si="66"/>
        <v>0</v>
      </c>
      <c r="V347" s="19">
        <f t="shared" si="67"/>
        <v>0</v>
      </c>
      <c r="W347" s="19">
        <f t="shared" si="67"/>
        <v>0</v>
      </c>
    </row>
    <row r="348" spans="1:23" x14ac:dyDescent="0.2">
      <c r="A348">
        <v>10</v>
      </c>
      <c r="B348" s="1">
        <v>36861</v>
      </c>
      <c r="D348" s="19">
        <f t="shared" si="60"/>
        <v>36.403991705228236</v>
      </c>
      <c r="E348" s="19">
        <f t="shared" si="60"/>
        <v>34.208382081649688</v>
      </c>
      <c r="F348" s="19">
        <f t="shared" si="61"/>
        <v>66.423250264078661</v>
      </c>
      <c r="G348" s="19">
        <f t="shared" si="61"/>
        <v>66.423250264078661</v>
      </c>
      <c r="H348" s="19">
        <f t="shared" si="62"/>
        <v>81.672669669285369</v>
      </c>
      <c r="I348" s="19">
        <f t="shared" si="62"/>
        <v>81.672669669285369</v>
      </c>
      <c r="J348" s="19">
        <f t="shared" si="63"/>
        <v>73.692653790158261</v>
      </c>
      <c r="K348" s="19">
        <f t="shared" si="63"/>
        <v>73.692653790158261</v>
      </c>
      <c r="L348" s="19">
        <f t="shared" si="63"/>
        <v>73.692653790158261</v>
      </c>
      <c r="M348" s="19">
        <f t="shared" si="63"/>
        <v>73.692653790158261</v>
      </c>
      <c r="N348" s="19">
        <f t="shared" si="64"/>
        <v>83.471266700272508</v>
      </c>
      <c r="O348" s="19">
        <f t="shared" si="64"/>
        <v>83.471266700272508</v>
      </c>
      <c r="P348" s="19">
        <f t="shared" si="65"/>
        <v>0</v>
      </c>
      <c r="Q348" s="19">
        <f t="shared" si="65"/>
        <v>0</v>
      </c>
      <c r="R348" s="19">
        <f t="shared" si="66"/>
        <v>0</v>
      </c>
      <c r="S348" s="19">
        <f t="shared" si="66"/>
        <v>0</v>
      </c>
      <c r="T348" s="19">
        <f t="shared" si="66"/>
        <v>0</v>
      </c>
      <c r="U348" s="19">
        <f t="shared" si="66"/>
        <v>0</v>
      </c>
      <c r="V348" s="19">
        <f t="shared" si="67"/>
        <v>0</v>
      </c>
      <c r="W348" s="19">
        <f t="shared" si="67"/>
        <v>0</v>
      </c>
    </row>
    <row r="349" spans="1:23" x14ac:dyDescent="0.2">
      <c r="A349">
        <v>11</v>
      </c>
      <c r="B349" s="1">
        <v>36892</v>
      </c>
      <c r="D349" s="19">
        <f t="shared" si="60"/>
        <v>29.03640171500615</v>
      </c>
      <c r="E349" s="19">
        <f t="shared" si="60"/>
        <v>27.285148622878523</v>
      </c>
      <c r="F349" s="19">
        <f t="shared" si="61"/>
        <v>58.866239200841846</v>
      </c>
      <c r="G349" s="19">
        <f t="shared" si="61"/>
        <v>58.866239200841846</v>
      </c>
      <c r="H349" s="19">
        <f t="shared" si="62"/>
        <v>74.025304262006784</v>
      </c>
      <c r="I349" s="19">
        <f t="shared" si="62"/>
        <v>74.025304262006784</v>
      </c>
      <c r="J349" s="19">
        <f t="shared" si="63"/>
        <v>68.572817890191914</v>
      </c>
      <c r="K349" s="19">
        <f t="shared" si="63"/>
        <v>68.572817890191914</v>
      </c>
      <c r="L349" s="19">
        <f t="shared" si="63"/>
        <v>68.572817890191914</v>
      </c>
      <c r="M349" s="19">
        <f t="shared" si="63"/>
        <v>68.572817890191914</v>
      </c>
      <c r="N349" s="19">
        <f t="shared" si="64"/>
        <v>78.324302058212993</v>
      </c>
      <c r="O349" s="19">
        <f t="shared" si="64"/>
        <v>78.324302058212993</v>
      </c>
      <c r="P349" s="19">
        <f t="shared" si="65"/>
        <v>0</v>
      </c>
      <c r="Q349" s="19">
        <f t="shared" si="65"/>
        <v>0</v>
      </c>
      <c r="R349" s="19">
        <f t="shared" si="66"/>
        <v>0</v>
      </c>
      <c r="S349" s="19">
        <f t="shared" si="66"/>
        <v>0</v>
      </c>
      <c r="T349" s="19">
        <f t="shared" si="66"/>
        <v>0</v>
      </c>
      <c r="U349" s="19">
        <f t="shared" si="66"/>
        <v>0</v>
      </c>
      <c r="V349" s="19">
        <f t="shared" si="67"/>
        <v>0</v>
      </c>
      <c r="W349" s="19">
        <f t="shared" si="67"/>
        <v>0</v>
      </c>
    </row>
    <row r="350" spans="1:23" x14ac:dyDescent="0.2">
      <c r="A350">
        <v>12</v>
      </c>
      <c r="B350" s="1">
        <v>36923</v>
      </c>
      <c r="D350" s="19">
        <f t="shared" si="60"/>
        <v>21.712465436643015</v>
      </c>
      <c r="E350" s="19">
        <f t="shared" si="60"/>
        <v>20.402936018816263</v>
      </c>
      <c r="F350" s="19">
        <f t="shared" si="61"/>
        <v>51.354004188377303</v>
      </c>
      <c r="G350" s="19">
        <f t="shared" si="61"/>
        <v>51.354004188377303</v>
      </c>
      <c r="H350" s="19">
        <f t="shared" si="62"/>
        <v>66.423250264078661</v>
      </c>
      <c r="I350" s="19">
        <f t="shared" si="62"/>
        <v>66.423250264078661</v>
      </c>
      <c r="J350" s="19">
        <f t="shared" si="63"/>
        <v>63.48331753297964</v>
      </c>
      <c r="K350" s="19">
        <f t="shared" si="63"/>
        <v>63.48331753297964</v>
      </c>
      <c r="L350" s="19">
        <f t="shared" si="63"/>
        <v>63.48331753297964</v>
      </c>
      <c r="M350" s="19">
        <f t="shared" si="63"/>
        <v>63.48331753297964</v>
      </c>
      <c r="N350" s="19">
        <f t="shared" si="64"/>
        <v>73.207833699433536</v>
      </c>
      <c r="O350" s="19">
        <f t="shared" si="64"/>
        <v>73.207833699433536</v>
      </c>
      <c r="P350" s="19">
        <f t="shared" si="65"/>
        <v>0</v>
      </c>
      <c r="Q350" s="19">
        <f t="shared" si="65"/>
        <v>0</v>
      </c>
      <c r="R350" s="19">
        <f t="shared" si="66"/>
        <v>0</v>
      </c>
      <c r="S350" s="19">
        <f t="shared" si="66"/>
        <v>0</v>
      </c>
      <c r="T350" s="19">
        <f t="shared" si="66"/>
        <v>0</v>
      </c>
      <c r="U350" s="19">
        <f t="shared" si="66"/>
        <v>0</v>
      </c>
      <c r="V350" s="19">
        <f t="shared" si="67"/>
        <v>0</v>
      </c>
      <c r="W350" s="19">
        <f t="shared" si="67"/>
        <v>0</v>
      </c>
    </row>
    <row r="351" spans="1:23" x14ac:dyDescent="0.2">
      <c r="A351">
        <v>13</v>
      </c>
      <c r="B351" s="1">
        <v>36951</v>
      </c>
      <c r="D351" s="19">
        <f t="shared" si="60"/>
        <v>65.592590412353275</v>
      </c>
      <c r="E351" s="19">
        <f t="shared" si="60"/>
        <v>61.64460037331537</v>
      </c>
      <c r="F351" s="19">
        <f t="shared" si="61"/>
        <v>43.886279924079645</v>
      </c>
      <c r="G351" s="19">
        <f t="shared" si="61"/>
        <v>43.886279924079645</v>
      </c>
      <c r="H351" s="19">
        <f t="shared" si="62"/>
        <v>58.866239200841846</v>
      </c>
      <c r="I351" s="19">
        <f t="shared" si="62"/>
        <v>58.866239200841846</v>
      </c>
      <c r="J351" s="19">
        <f t="shared" si="63"/>
        <v>58.423972977379094</v>
      </c>
      <c r="K351" s="19">
        <f t="shared" si="63"/>
        <v>58.423972977379094</v>
      </c>
      <c r="L351" s="19">
        <f t="shared" si="63"/>
        <v>58.423972977379094</v>
      </c>
      <c r="M351" s="19">
        <f t="shared" si="63"/>
        <v>58.423972977379094</v>
      </c>
      <c r="N351" s="19">
        <f t="shared" si="64"/>
        <v>68.121680930388038</v>
      </c>
      <c r="O351" s="19">
        <f t="shared" si="64"/>
        <v>68.121680930388038</v>
      </c>
      <c r="P351" s="19">
        <f t="shared" si="65"/>
        <v>0</v>
      </c>
      <c r="Q351" s="19">
        <f t="shared" si="65"/>
        <v>0</v>
      </c>
      <c r="R351" s="19">
        <f t="shared" si="66"/>
        <v>0</v>
      </c>
      <c r="S351" s="19">
        <f t="shared" si="66"/>
        <v>0</v>
      </c>
      <c r="T351" s="19">
        <f t="shared" si="66"/>
        <v>0</v>
      </c>
      <c r="U351" s="19">
        <f t="shared" si="66"/>
        <v>0</v>
      </c>
      <c r="V351" s="19">
        <f t="shared" si="67"/>
        <v>0</v>
      </c>
      <c r="W351" s="19">
        <f t="shared" si="67"/>
        <v>0</v>
      </c>
    </row>
    <row r="352" spans="1:23" x14ac:dyDescent="0.2">
      <c r="A352">
        <v>14</v>
      </c>
      <c r="B352" s="1">
        <v>36982</v>
      </c>
      <c r="F352" s="19">
        <f t="shared" si="61"/>
        <v>36.462802677288437</v>
      </c>
      <c r="G352" s="19">
        <f t="shared" si="61"/>
        <v>36.462802677288437</v>
      </c>
      <c r="H352" s="19">
        <f t="shared" si="62"/>
        <v>51.354004188377303</v>
      </c>
      <c r="I352" s="19">
        <f t="shared" si="62"/>
        <v>51.354004188377303</v>
      </c>
      <c r="J352" s="19">
        <f t="shared" si="63"/>
        <v>53.394605547231777</v>
      </c>
      <c r="K352" s="19">
        <f t="shared" si="63"/>
        <v>53.394605547231777</v>
      </c>
      <c r="L352" s="19">
        <f t="shared" si="63"/>
        <v>53.394605547231777</v>
      </c>
      <c r="M352" s="19">
        <f t="shared" si="63"/>
        <v>53.394605547231777</v>
      </c>
      <c r="N352" s="19">
        <f t="shared" si="64"/>
        <v>63.065664128157437</v>
      </c>
      <c r="O352" s="19">
        <f t="shared" si="64"/>
        <v>63.065664128157437</v>
      </c>
      <c r="P352" s="19">
        <f t="shared" si="65"/>
        <v>0</v>
      </c>
      <c r="Q352" s="19">
        <f t="shared" si="65"/>
        <v>0</v>
      </c>
      <c r="R352" s="19">
        <f t="shared" si="66"/>
        <v>0</v>
      </c>
      <c r="S352" s="19">
        <f t="shared" si="66"/>
        <v>0</v>
      </c>
      <c r="T352" s="19">
        <f t="shared" si="66"/>
        <v>0</v>
      </c>
      <c r="U352" s="19">
        <f t="shared" si="66"/>
        <v>0</v>
      </c>
      <c r="V352" s="19">
        <f t="shared" si="67"/>
        <v>0</v>
      </c>
      <c r="W352" s="19">
        <f t="shared" si="67"/>
        <v>0</v>
      </c>
    </row>
    <row r="353" spans="1:23" x14ac:dyDescent="0.2">
      <c r="A353">
        <v>15</v>
      </c>
      <c r="B353" s="1">
        <v>37012</v>
      </c>
      <c r="F353" s="19">
        <f t="shared" si="61"/>
        <v>29.08331027997383</v>
      </c>
      <c r="G353" s="19">
        <f t="shared" si="61"/>
        <v>29.08331027997383</v>
      </c>
      <c r="H353" s="19">
        <f t="shared" si="62"/>
        <v>43.886279924079645</v>
      </c>
      <c r="I353" s="19">
        <f t="shared" si="62"/>
        <v>43.886279924079645</v>
      </c>
      <c r="J353" s="19">
        <f t="shared" si="63"/>
        <v>48.395037625053874</v>
      </c>
      <c r="K353" s="19">
        <f t="shared" si="63"/>
        <v>48.395037625053874</v>
      </c>
      <c r="L353" s="19">
        <f t="shared" si="63"/>
        <v>48.395037625053874</v>
      </c>
      <c r="M353" s="19">
        <f t="shared" si="63"/>
        <v>48.395037625053874</v>
      </c>
      <c r="N353" s="19">
        <f t="shared" si="64"/>
        <v>58.039604734106888</v>
      </c>
      <c r="O353" s="19">
        <f t="shared" si="64"/>
        <v>58.039604734106888</v>
      </c>
      <c r="P353" s="19">
        <f t="shared" si="65"/>
        <v>93.857412999880808</v>
      </c>
      <c r="Q353" s="19">
        <f t="shared" si="65"/>
        <v>93.857412999880808</v>
      </c>
      <c r="R353" s="19">
        <f t="shared" si="66"/>
        <v>0</v>
      </c>
      <c r="S353" s="19">
        <f t="shared" si="66"/>
        <v>0</v>
      </c>
      <c r="T353" s="19">
        <f t="shared" si="66"/>
        <v>0</v>
      </c>
      <c r="U353" s="19">
        <f t="shared" si="66"/>
        <v>0</v>
      </c>
      <c r="V353" s="19">
        <f t="shared" si="67"/>
        <v>0</v>
      </c>
      <c r="W353" s="19">
        <f t="shared" si="67"/>
        <v>0</v>
      </c>
    </row>
    <row r="354" spans="1:23" x14ac:dyDescent="0.2">
      <c r="A354">
        <v>16</v>
      </c>
      <c r="B354" s="1">
        <v>37043</v>
      </c>
      <c r="F354" s="19">
        <f t="shared" si="61"/>
        <v>21.747542117477678</v>
      </c>
      <c r="G354" s="19">
        <f t="shared" si="61"/>
        <v>21.747542117477678</v>
      </c>
      <c r="H354" s="19">
        <f t="shared" si="62"/>
        <v>36.462802677288437</v>
      </c>
      <c r="I354" s="19">
        <f t="shared" si="62"/>
        <v>36.462802677288437</v>
      </c>
      <c r="J354" s="19">
        <f t="shared" si="63"/>
        <v>43.425092645763243</v>
      </c>
      <c r="K354" s="19">
        <f t="shared" si="63"/>
        <v>43.425092645763243</v>
      </c>
      <c r="L354" s="19">
        <f t="shared" si="63"/>
        <v>43.425092645763243</v>
      </c>
      <c r="M354" s="19">
        <f t="shared" si="63"/>
        <v>43.425092645763243</v>
      </c>
      <c r="N354" s="19">
        <f t="shared" si="64"/>
        <v>53.043325247578878</v>
      </c>
      <c r="O354" s="19">
        <f t="shared" si="64"/>
        <v>53.043325247578878</v>
      </c>
      <c r="P354" s="19">
        <f t="shared" si="65"/>
        <v>88.648909396167255</v>
      </c>
      <c r="Q354" s="19">
        <f t="shared" si="65"/>
        <v>88.648909396167255</v>
      </c>
      <c r="R354" s="19">
        <f t="shared" si="66"/>
        <v>0</v>
      </c>
      <c r="S354" s="19">
        <f t="shared" si="66"/>
        <v>0</v>
      </c>
      <c r="T354" s="19">
        <f t="shared" si="66"/>
        <v>51.681362348367429</v>
      </c>
      <c r="U354" s="19">
        <f t="shared" si="66"/>
        <v>51.681362348367429</v>
      </c>
      <c r="V354" s="19">
        <f t="shared" si="67"/>
        <v>0</v>
      </c>
      <c r="W354" s="19">
        <f t="shared" si="67"/>
        <v>0</v>
      </c>
    </row>
    <row r="355" spans="1:23" x14ac:dyDescent="0.2">
      <c r="A355">
        <v>17</v>
      </c>
      <c r="B355" s="1">
        <v>37073</v>
      </c>
      <c r="F355" s="19">
        <f t="shared" si="61"/>
        <v>65.701393287445171</v>
      </c>
      <c r="G355" s="19">
        <f t="shared" si="61"/>
        <v>65.701393287445171</v>
      </c>
      <c r="H355" s="19">
        <f t="shared" si="62"/>
        <v>29.08331027997383</v>
      </c>
      <c r="I355" s="19">
        <f t="shared" si="62"/>
        <v>29.08331027997383</v>
      </c>
      <c r="J355" s="19">
        <f t="shared" si="63"/>
        <v>38.484595090442895</v>
      </c>
      <c r="K355" s="19">
        <f t="shared" si="63"/>
        <v>38.484595090442895</v>
      </c>
      <c r="L355" s="19">
        <f t="shared" si="63"/>
        <v>38.484595090442895</v>
      </c>
      <c r="M355" s="19">
        <f t="shared" si="63"/>
        <v>38.484595090442895</v>
      </c>
      <c r="N355" s="19">
        <f t="shared" si="64"/>
        <v>48.076649219625892</v>
      </c>
      <c r="O355" s="19">
        <f t="shared" si="64"/>
        <v>48.076649219625892</v>
      </c>
      <c r="P355" s="19">
        <f t="shared" si="65"/>
        <v>83.471266700272508</v>
      </c>
      <c r="Q355" s="19">
        <f t="shared" si="65"/>
        <v>83.471266700272508</v>
      </c>
      <c r="R355" s="19">
        <f t="shared" si="66"/>
        <v>97.89763276477629</v>
      </c>
      <c r="S355" s="19">
        <f t="shared" si="66"/>
        <v>97.89763276477629</v>
      </c>
      <c r="T355" s="19">
        <f t="shared" si="66"/>
        <v>97.89763276477629</v>
      </c>
      <c r="U355" s="19">
        <f t="shared" si="66"/>
        <v>97.89763276477629</v>
      </c>
      <c r="V355" s="19">
        <f t="shared" si="67"/>
        <v>0</v>
      </c>
      <c r="W355" s="19">
        <f t="shared" si="67"/>
        <v>0</v>
      </c>
    </row>
    <row r="356" spans="1:23" x14ac:dyDescent="0.2">
      <c r="A356">
        <v>18</v>
      </c>
      <c r="B356" s="1">
        <v>37104</v>
      </c>
      <c r="H356" s="19">
        <f t="shared" si="62"/>
        <v>21.747542117477678</v>
      </c>
      <c r="I356" s="19">
        <f t="shared" si="62"/>
        <v>21.747542117477678</v>
      </c>
      <c r="J356" s="19">
        <f t="shared" si="63"/>
        <v>33.573370480143467</v>
      </c>
      <c r="K356" s="19">
        <f t="shared" si="63"/>
        <v>33.573370480143467</v>
      </c>
      <c r="L356" s="19">
        <f t="shared" si="63"/>
        <v>33.573370480143467</v>
      </c>
      <c r="M356" s="19">
        <f t="shared" si="63"/>
        <v>33.573370480143467</v>
      </c>
      <c r="N356" s="19">
        <f t="shared" si="64"/>
        <v>43.139401246777879</v>
      </c>
      <c r="O356" s="19">
        <f t="shared" si="64"/>
        <v>43.139401246777879</v>
      </c>
      <c r="P356" s="19">
        <f t="shared" si="65"/>
        <v>78.324302058212993</v>
      </c>
      <c r="Q356" s="19">
        <f t="shared" si="65"/>
        <v>78.324302058212993</v>
      </c>
      <c r="R356" s="19">
        <f t="shared" si="66"/>
        <v>92.464922052293673</v>
      </c>
      <c r="S356" s="19">
        <f t="shared" si="66"/>
        <v>92.464922052293673</v>
      </c>
      <c r="T356" s="19">
        <f t="shared" si="66"/>
        <v>92.464922052293673</v>
      </c>
      <c r="U356" s="19">
        <f t="shared" si="66"/>
        <v>92.464922052293673</v>
      </c>
      <c r="V356" s="19">
        <f t="shared" si="67"/>
        <v>0</v>
      </c>
      <c r="W356" s="19">
        <f t="shared" si="67"/>
        <v>0</v>
      </c>
    </row>
    <row r="357" spans="1:23" x14ac:dyDescent="0.2">
      <c r="A357">
        <v>19</v>
      </c>
      <c r="B357" s="1">
        <v>37135</v>
      </c>
      <c r="H357" s="19">
        <f t="shared" si="62"/>
        <v>65.701393287445171</v>
      </c>
      <c r="I357" s="19">
        <f t="shared" si="62"/>
        <v>65.701393287445171</v>
      </c>
      <c r="J357" s="19">
        <f t="shared" si="63"/>
        <v>28.691245369720946</v>
      </c>
      <c r="K357" s="19">
        <f t="shared" si="63"/>
        <v>28.691245369720946</v>
      </c>
      <c r="L357" s="19">
        <f t="shared" si="63"/>
        <v>28.691245369720946</v>
      </c>
      <c r="M357" s="19">
        <f t="shared" si="63"/>
        <v>28.691245369720946</v>
      </c>
      <c r="N357" s="19">
        <f t="shared" si="64"/>
        <v>38.231406964847906</v>
      </c>
      <c r="O357" s="19">
        <f t="shared" si="64"/>
        <v>38.231406964847906</v>
      </c>
      <c r="P357" s="19">
        <f t="shared" si="65"/>
        <v>73.207833699433536</v>
      </c>
      <c r="Q357" s="19">
        <f t="shared" si="65"/>
        <v>73.207833699433536</v>
      </c>
      <c r="R357" s="19">
        <f t="shared" si="66"/>
        <v>87.064400697304109</v>
      </c>
      <c r="S357" s="19">
        <f t="shared" si="66"/>
        <v>87.064400697304109</v>
      </c>
      <c r="T357" s="19">
        <f t="shared" si="66"/>
        <v>87.064400697304109</v>
      </c>
      <c r="U357" s="19">
        <f t="shared" si="66"/>
        <v>87.064400697304109</v>
      </c>
      <c r="V357" s="19">
        <f t="shared" si="67"/>
        <v>0</v>
      </c>
      <c r="W357" s="19">
        <f t="shared" si="67"/>
        <v>0</v>
      </c>
    </row>
    <row r="358" spans="1:23" x14ac:dyDescent="0.2">
      <c r="A358">
        <v>20</v>
      </c>
      <c r="B358" s="1">
        <v>37165</v>
      </c>
      <c r="J358" s="19">
        <f t="shared" si="63"/>
        <v>23.838047341711217</v>
      </c>
      <c r="K358" s="19">
        <f t="shared" si="63"/>
        <v>23.838047341711217</v>
      </c>
      <c r="L358" s="19">
        <f t="shared" si="63"/>
        <v>23.838047341711217</v>
      </c>
      <c r="M358" s="19">
        <f t="shared" si="63"/>
        <v>23.838047341711217</v>
      </c>
      <c r="N358" s="19">
        <f t="shared" si="64"/>
        <v>33.352493042774086</v>
      </c>
      <c r="O358" s="19">
        <f t="shared" si="64"/>
        <v>33.352493042774086</v>
      </c>
      <c r="P358" s="19">
        <f t="shared" si="65"/>
        <v>68.121680930388038</v>
      </c>
      <c r="Q358" s="19">
        <f t="shared" si="65"/>
        <v>68.121680930388038</v>
      </c>
      <c r="R358" s="19">
        <f t="shared" si="66"/>
        <v>81.695877974626114</v>
      </c>
      <c r="S358" s="19">
        <f t="shared" si="66"/>
        <v>81.695877974626114</v>
      </c>
      <c r="T358" s="19">
        <f t="shared" si="66"/>
        <v>81.695877974626114</v>
      </c>
      <c r="U358" s="19">
        <f t="shared" si="66"/>
        <v>81.695877974626114</v>
      </c>
      <c r="V358" s="19">
        <f t="shared" si="67"/>
        <v>97.120667425373313</v>
      </c>
      <c r="W358" s="19">
        <f t="shared" si="67"/>
        <v>97.120667425373313</v>
      </c>
    </row>
    <row r="359" spans="1:23" x14ac:dyDescent="0.2">
      <c r="A359">
        <v>21</v>
      </c>
      <c r="B359" s="1">
        <v>37196</v>
      </c>
      <c r="J359" s="19">
        <f t="shared" si="63"/>
        <v>19.013605000240887</v>
      </c>
      <c r="K359" s="19">
        <f t="shared" si="63"/>
        <v>19.013605000240887</v>
      </c>
      <c r="L359" s="19">
        <f t="shared" si="63"/>
        <v>19.013605000240887</v>
      </c>
      <c r="M359" s="19">
        <f t="shared" si="63"/>
        <v>19.013605000240887</v>
      </c>
      <c r="N359" s="19">
        <f t="shared" si="64"/>
        <v>28.502487176499017</v>
      </c>
      <c r="O359" s="19">
        <f t="shared" si="64"/>
        <v>28.502487176499017</v>
      </c>
      <c r="P359" s="19">
        <f t="shared" si="65"/>
        <v>63.065664128157437</v>
      </c>
      <c r="Q359" s="19">
        <f t="shared" si="65"/>
        <v>63.065664128157437</v>
      </c>
      <c r="R359" s="19">
        <f t="shared" ref="R359:U372" si="68">((R71*$G$16)*(1+$M$14/12)^($A$85-$A71+1))-(R71*$G$16)</f>
        <v>76.359164289144246</v>
      </c>
      <c r="S359" s="19">
        <f t="shared" si="68"/>
        <v>76.359164289144246</v>
      </c>
      <c r="T359" s="19">
        <f t="shared" si="68"/>
        <v>76.359164289144246</v>
      </c>
      <c r="U359" s="19">
        <f t="shared" si="68"/>
        <v>76.359164289144246</v>
      </c>
      <c r="V359" s="19">
        <f t="shared" ref="V359:W375" si="69">((V71*$G$16)*(1+$M$14/12)^($A$88-$A71+1))-(V71*$G$16)</f>
        <v>91.731073464577094</v>
      </c>
      <c r="W359" s="19">
        <f t="shared" si="69"/>
        <v>91.731073464577094</v>
      </c>
    </row>
    <row r="360" spans="1:23" x14ac:dyDescent="0.2">
      <c r="A360">
        <v>22</v>
      </c>
      <c r="B360" s="1">
        <v>37226</v>
      </c>
      <c r="J360" s="19">
        <f t="shared" si="63"/>
        <v>16.25219545338382</v>
      </c>
      <c r="K360" s="19">
        <f t="shared" si="63"/>
        <v>16.25219545338382</v>
      </c>
      <c r="L360" s="19">
        <f t="shared" si="63"/>
        <v>16.25219545338382</v>
      </c>
      <c r="M360" s="19">
        <f t="shared" si="63"/>
        <v>16.25219545338382</v>
      </c>
      <c r="N360" s="19">
        <f t="shared" si="64"/>
        <v>23.681218082884129</v>
      </c>
      <c r="O360" s="19">
        <f t="shared" si="64"/>
        <v>23.681218082884129</v>
      </c>
      <c r="P360" s="19">
        <f t="shared" si="65"/>
        <v>58.039604734106888</v>
      </c>
      <c r="Q360" s="19">
        <f t="shared" si="65"/>
        <v>58.039604734106888</v>
      </c>
      <c r="R360" s="19">
        <f t="shared" si="68"/>
        <v>71.054071169113286</v>
      </c>
      <c r="S360" s="19">
        <f t="shared" si="68"/>
        <v>71.054071169113286</v>
      </c>
      <c r="T360" s="19">
        <f t="shared" si="68"/>
        <v>71.054071169113286</v>
      </c>
      <c r="U360" s="19">
        <f t="shared" si="68"/>
        <v>71.054071169113286</v>
      </c>
      <c r="V360" s="19">
        <f t="shared" si="69"/>
        <v>86.373413390182577</v>
      </c>
      <c r="W360" s="19">
        <f t="shared" si="69"/>
        <v>86.373413390182577</v>
      </c>
    </row>
    <row r="361" spans="1:23" x14ac:dyDescent="0.2">
      <c r="A361">
        <v>23</v>
      </c>
      <c r="B361" s="1">
        <v>37257</v>
      </c>
      <c r="J361" s="19">
        <f t="shared" si="63"/>
        <v>67.496640726455553</v>
      </c>
      <c r="K361" s="19">
        <f t="shared" si="63"/>
        <v>67.496640726455553</v>
      </c>
      <c r="L361" s="19">
        <f t="shared" si="63"/>
        <v>67.496640726455553</v>
      </c>
      <c r="M361" s="19">
        <f t="shared" si="63"/>
        <v>67.496640726455553</v>
      </c>
      <c r="N361" s="19">
        <f t="shared" si="64"/>
        <v>18.888515493660407</v>
      </c>
      <c r="O361" s="19">
        <f t="shared" si="64"/>
        <v>18.888515493660407</v>
      </c>
      <c r="P361" s="19">
        <f t="shared" si="65"/>
        <v>53.043325247578878</v>
      </c>
      <c r="Q361" s="19">
        <f t="shared" si="65"/>
        <v>53.043325247578878</v>
      </c>
      <c r="R361" s="19">
        <f t="shared" si="68"/>
        <v>65.780411259501989</v>
      </c>
      <c r="S361" s="19">
        <f t="shared" si="68"/>
        <v>65.780411259501989</v>
      </c>
      <c r="T361" s="19">
        <f t="shared" si="68"/>
        <v>65.780411259501989</v>
      </c>
      <c r="U361" s="19">
        <f t="shared" si="68"/>
        <v>65.780411259501989</v>
      </c>
      <c r="V361" s="19">
        <f t="shared" si="69"/>
        <v>81.047497990700549</v>
      </c>
      <c r="W361" s="19">
        <f t="shared" si="69"/>
        <v>81.047497990700549</v>
      </c>
    </row>
    <row r="362" spans="1:23" x14ac:dyDescent="0.2">
      <c r="A362">
        <v>24</v>
      </c>
      <c r="B362" s="1">
        <v>37288</v>
      </c>
      <c r="N362" s="19">
        <f t="shared" si="64"/>
        <v>16.135273183934942</v>
      </c>
      <c r="O362" s="19">
        <f t="shared" si="64"/>
        <v>16.135273183934942</v>
      </c>
      <c r="P362" s="19">
        <f t="shared" si="65"/>
        <v>48.076649219625892</v>
      </c>
      <c r="Q362" s="19">
        <f t="shared" si="65"/>
        <v>48.076649219625892</v>
      </c>
      <c r="R362" s="19">
        <f t="shared" si="68"/>
        <v>60.537998315376285</v>
      </c>
      <c r="S362" s="19">
        <f t="shared" si="68"/>
        <v>60.537998315376285</v>
      </c>
      <c r="T362" s="19">
        <f t="shared" si="68"/>
        <v>60.537998315376285</v>
      </c>
      <c r="U362" s="19">
        <f t="shared" si="68"/>
        <v>60.537998315376285</v>
      </c>
      <c r="V362" s="19">
        <f t="shared" si="69"/>
        <v>75.753139175738397</v>
      </c>
      <c r="W362" s="19">
        <f t="shared" si="69"/>
        <v>75.753139175738397</v>
      </c>
    </row>
    <row r="363" spans="1:23" x14ac:dyDescent="0.2">
      <c r="A363">
        <v>25</v>
      </c>
      <c r="B363" s="1">
        <v>37316</v>
      </c>
      <c r="N363" s="19">
        <f t="shared" si="64"/>
        <v>67.030342690349244</v>
      </c>
      <c r="O363" s="19">
        <f t="shared" si="64"/>
        <v>67.030342690349244</v>
      </c>
      <c r="P363" s="19">
        <f t="shared" si="65"/>
        <v>43.139401246777879</v>
      </c>
      <c r="Q363" s="19">
        <f t="shared" si="65"/>
        <v>43.139401246777879</v>
      </c>
      <c r="R363" s="19">
        <f t="shared" si="68"/>
        <v>55.32664719532238</v>
      </c>
      <c r="S363" s="19">
        <f t="shared" si="68"/>
        <v>55.32664719532238</v>
      </c>
      <c r="T363" s="19">
        <f t="shared" si="68"/>
        <v>55.32664719532238</v>
      </c>
      <c r="U363" s="19">
        <f t="shared" si="68"/>
        <v>55.32664719532238</v>
      </c>
      <c r="V363" s="19">
        <f t="shared" si="69"/>
        <v>70.490149969358413</v>
      </c>
      <c r="W363" s="19">
        <f t="shared" si="69"/>
        <v>70.490149969358413</v>
      </c>
    </row>
    <row r="364" spans="1:23" x14ac:dyDescent="0.2">
      <c r="A364">
        <v>26</v>
      </c>
      <c r="B364" s="1">
        <v>37347</v>
      </c>
      <c r="P364" s="19">
        <f t="shared" si="65"/>
        <v>38.231406964847906</v>
      </c>
      <c r="Q364" s="19">
        <f t="shared" si="65"/>
        <v>38.231406964847906</v>
      </c>
      <c r="R364" s="19">
        <f t="shared" si="68"/>
        <v>50.146173854907829</v>
      </c>
      <c r="S364" s="19">
        <f t="shared" si="68"/>
        <v>50.146173854907829</v>
      </c>
      <c r="T364" s="19">
        <f t="shared" si="68"/>
        <v>50.146173854907829</v>
      </c>
      <c r="U364" s="19">
        <f t="shared" si="68"/>
        <v>50.146173854907829</v>
      </c>
      <c r="V364" s="19">
        <f t="shared" si="69"/>
        <v>65.258344503474177</v>
      </c>
      <c r="W364" s="19">
        <f t="shared" si="69"/>
        <v>65.258344503474177</v>
      </c>
    </row>
    <row r="365" spans="1:23" x14ac:dyDescent="0.2">
      <c r="A365">
        <v>27</v>
      </c>
      <c r="B365" s="1">
        <v>37377</v>
      </c>
      <c r="P365" s="19">
        <f t="shared" si="65"/>
        <v>33.352493042774086</v>
      </c>
      <c r="Q365" s="19">
        <f t="shared" si="65"/>
        <v>33.352493042774086</v>
      </c>
      <c r="R365" s="19">
        <f t="shared" si="68"/>
        <v>44.996395340182289</v>
      </c>
      <c r="S365" s="19">
        <f t="shared" si="68"/>
        <v>44.996395340182289</v>
      </c>
      <c r="T365" s="19">
        <f t="shared" si="68"/>
        <v>44.996395340182289</v>
      </c>
      <c r="U365" s="19">
        <f t="shared" si="68"/>
        <v>44.996395340182289</v>
      </c>
      <c r="V365" s="19">
        <f t="shared" si="69"/>
        <v>60.057538011286056</v>
      </c>
      <c r="W365" s="19">
        <f t="shared" si="69"/>
        <v>60.057538011286056</v>
      </c>
    </row>
    <row r="366" spans="1:23" x14ac:dyDescent="0.2">
      <c r="A366">
        <v>28</v>
      </c>
      <c r="B366" s="1">
        <v>37408</v>
      </c>
      <c r="P366" s="19">
        <f t="shared" si="65"/>
        <v>28.502487176499017</v>
      </c>
      <c r="Q366" s="19">
        <f t="shared" si="65"/>
        <v>28.502487176499017</v>
      </c>
      <c r="R366" s="19">
        <f t="shared" si="68"/>
        <v>39.877129781215444</v>
      </c>
      <c r="S366" s="19">
        <f t="shared" si="68"/>
        <v>39.877129781215444</v>
      </c>
      <c r="T366" s="19">
        <f t="shared" si="68"/>
        <v>39.877129781215444</v>
      </c>
      <c r="U366" s="19">
        <f t="shared" si="68"/>
        <v>39.877129781215444</v>
      </c>
      <c r="V366" s="19">
        <f t="shared" si="69"/>
        <v>54.88754682075637</v>
      </c>
      <c r="W366" s="19">
        <f t="shared" si="69"/>
        <v>54.88754682075637</v>
      </c>
    </row>
    <row r="367" spans="1:23" x14ac:dyDescent="0.2">
      <c r="A367">
        <v>29</v>
      </c>
      <c r="B367" s="1">
        <v>37438</v>
      </c>
      <c r="P367" s="19">
        <f t="shared" si="65"/>
        <v>23.681218082884129</v>
      </c>
      <c r="Q367" s="19">
        <f t="shared" si="65"/>
        <v>23.681218082884129</v>
      </c>
      <c r="R367" s="19">
        <f t="shared" si="68"/>
        <v>34.788196385674951</v>
      </c>
      <c r="S367" s="19">
        <f t="shared" si="68"/>
        <v>34.788196385674951</v>
      </c>
      <c r="T367" s="19">
        <f t="shared" si="68"/>
        <v>34.788196385674951</v>
      </c>
      <c r="U367" s="19">
        <f t="shared" si="68"/>
        <v>34.788196385674951</v>
      </c>
      <c r="V367" s="19">
        <f t="shared" si="69"/>
        <v>49.748188348122881</v>
      </c>
      <c r="W367" s="19">
        <f t="shared" si="69"/>
        <v>49.748188348122881</v>
      </c>
    </row>
    <row r="368" spans="1:23" x14ac:dyDescent="0.2">
      <c r="A368">
        <v>30</v>
      </c>
      <c r="B368" s="1">
        <v>37469</v>
      </c>
      <c r="P368" s="19">
        <f t="shared" si="65"/>
        <v>18.888515493660407</v>
      </c>
      <c r="Q368" s="19">
        <f t="shared" si="65"/>
        <v>18.888515493660407</v>
      </c>
      <c r="R368" s="19">
        <f t="shared" si="68"/>
        <v>29.729415432441101</v>
      </c>
      <c r="S368" s="19">
        <f t="shared" si="68"/>
        <v>29.729415432441101</v>
      </c>
      <c r="T368" s="19">
        <f t="shared" si="68"/>
        <v>29.729415432441101</v>
      </c>
      <c r="U368" s="19">
        <f t="shared" si="68"/>
        <v>29.729415432441101</v>
      </c>
      <c r="V368" s="19">
        <f t="shared" si="69"/>
        <v>44.639281091450698</v>
      </c>
      <c r="W368" s="19">
        <f t="shared" si="69"/>
        <v>44.639281091450698</v>
      </c>
    </row>
    <row r="369" spans="1:23" x14ac:dyDescent="0.2">
      <c r="A369">
        <v>31</v>
      </c>
      <c r="B369" s="1">
        <v>37500</v>
      </c>
      <c r="P369" s="19">
        <f t="shared" si="65"/>
        <v>16.135273183934942</v>
      </c>
      <c r="Q369" s="19">
        <f t="shared" si="65"/>
        <v>16.135273183934942</v>
      </c>
      <c r="R369" s="19">
        <f t="shared" si="68"/>
        <v>24.700608265259916</v>
      </c>
      <c r="S369" s="19">
        <f t="shared" si="68"/>
        <v>24.700608265259916</v>
      </c>
      <c r="T369" s="19">
        <f t="shared" si="68"/>
        <v>24.700608265259916</v>
      </c>
      <c r="U369" s="19">
        <f t="shared" si="68"/>
        <v>24.700608265259916</v>
      </c>
      <c r="V369" s="19">
        <f t="shared" si="69"/>
        <v>39.560644624221709</v>
      </c>
      <c r="W369" s="19">
        <f t="shared" si="69"/>
        <v>39.560644624221709</v>
      </c>
    </row>
    <row r="370" spans="1:23" x14ac:dyDescent="0.2">
      <c r="A370">
        <v>32</v>
      </c>
      <c r="B370" s="1">
        <v>37530</v>
      </c>
      <c r="P370" s="19">
        <f t="shared" si="65"/>
        <v>67.030342690349244</v>
      </c>
      <c r="Q370" s="19">
        <f t="shared" si="65"/>
        <v>67.030342690349244</v>
      </c>
      <c r="R370" s="19">
        <f t="shared" si="68"/>
        <v>19.701597286433866</v>
      </c>
      <c r="S370" s="19">
        <f t="shared" si="68"/>
        <v>19.701597286433866</v>
      </c>
      <c r="T370" s="19">
        <f t="shared" si="68"/>
        <v>21.108854235464833</v>
      </c>
      <c r="U370" s="19">
        <f t="shared" si="68"/>
        <v>21.108854235464833</v>
      </c>
      <c r="V370" s="19">
        <f t="shared" si="69"/>
        <v>34.512099588963224</v>
      </c>
      <c r="W370" s="19">
        <f t="shared" si="69"/>
        <v>34.512099588963224</v>
      </c>
    </row>
    <row r="371" spans="1:23" x14ac:dyDescent="0.2">
      <c r="A371">
        <v>33</v>
      </c>
      <c r="B371" s="1">
        <v>37561</v>
      </c>
      <c r="R371" s="19">
        <f t="shared" si="68"/>
        <v>16.836806800627755</v>
      </c>
      <c r="S371" s="19">
        <f t="shared" si="68"/>
        <v>16.836806800627755</v>
      </c>
      <c r="T371" s="19">
        <f t="shared" si="68"/>
        <v>61.033424652275698</v>
      </c>
      <c r="U371" s="19">
        <f t="shared" si="68"/>
        <v>61.033424652275698</v>
      </c>
      <c r="V371" s="19">
        <f t="shared" si="69"/>
        <v>29.493467690913803</v>
      </c>
      <c r="W371" s="19">
        <f t="shared" si="69"/>
        <v>29.493467690913803</v>
      </c>
    </row>
    <row r="372" spans="1:23" x14ac:dyDescent="0.2">
      <c r="A372">
        <v>34</v>
      </c>
      <c r="B372" s="1">
        <v>37591</v>
      </c>
      <c r="R372" s="19">
        <f t="shared" si="68"/>
        <v>69.944705416016404</v>
      </c>
      <c r="S372" s="19">
        <f t="shared" si="68"/>
        <v>69.944705416016404</v>
      </c>
      <c r="T372" s="19">
        <f t="shared" si="68"/>
        <v>41.966823249609661</v>
      </c>
      <c r="U372" s="19">
        <f t="shared" si="68"/>
        <v>41.966823249609661</v>
      </c>
      <c r="V372" s="19">
        <f t="shared" si="69"/>
        <v>24.504571691726142</v>
      </c>
      <c r="W372" s="19">
        <f t="shared" si="69"/>
        <v>24.504571691726142</v>
      </c>
    </row>
    <row r="373" spans="1:23" x14ac:dyDescent="0.2">
      <c r="A373">
        <v>35</v>
      </c>
      <c r="B373" s="1">
        <v>37622</v>
      </c>
      <c r="V373" s="19">
        <f t="shared" si="69"/>
        <v>19.545235403208153</v>
      </c>
      <c r="W373" s="19">
        <f t="shared" si="69"/>
        <v>19.545235403208153</v>
      </c>
    </row>
    <row r="374" spans="1:23" x14ac:dyDescent="0.2">
      <c r="A374">
        <v>36</v>
      </c>
      <c r="B374" s="1">
        <v>37653</v>
      </c>
      <c r="V374" s="19">
        <f t="shared" si="69"/>
        <v>16.696500077289215</v>
      </c>
      <c r="W374" s="19">
        <f t="shared" si="69"/>
        <v>16.696500077289215</v>
      </c>
    </row>
    <row r="375" spans="1:23" x14ac:dyDescent="0.2">
      <c r="A375">
        <v>37</v>
      </c>
      <c r="B375" s="1">
        <v>37681</v>
      </c>
      <c r="V375" s="19">
        <f t="shared" si="69"/>
        <v>69.361832870882608</v>
      </c>
      <c r="W375" s="19">
        <f t="shared" si="69"/>
        <v>69.361832870882608</v>
      </c>
    </row>
    <row r="376" spans="1:23" x14ac:dyDescent="0.2">
      <c r="A376">
        <v>38</v>
      </c>
      <c r="B376" s="1">
        <v>37712</v>
      </c>
    </row>
    <row r="377" spans="1:23" x14ac:dyDescent="0.2">
      <c r="A377">
        <v>39</v>
      </c>
      <c r="B377" s="1">
        <v>37742</v>
      </c>
    </row>
    <row r="378" spans="1:23" x14ac:dyDescent="0.2">
      <c r="A378">
        <v>40</v>
      </c>
      <c r="B378" s="1">
        <v>37773</v>
      </c>
    </row>
    <row r="379" spans="1:23" x14ac:dyDescent="0.2">
      <c r="A379">
        <v>41</v>
      </c>
      <c r="B379" s="1">
        <v>37803</v>
      </c>
    </row>
    <row r="380" spans="1:23" x14ac:dyDescent="0.2">
      <c r="A380">
        <v>42</v>
      </c>
      <c r="B380" s="1">
        <v>37834</v>
      </c>
    </row>
    <row r="381" spans="1:23" x14ac:dyDescent="0.2">
      <c r="A381">
        <v>43</v>
      </c>
      <c r="B381" s="1">
        <v>37865</v>
      </c>
    </row>
    <row r="382" spans="1:23" x14ac:dyDescent="0.2">
      <c r="A382">
        <v>44</v>
      </c>
      <c r="B382" s="1">
        <v>37895</v>
      </c>
    </row>
    <row r="383" spans="1:23" x14ac:dyDescent="0.2">
      <c r="A383">
        <v>45</v>
      </c>
      <c r="B383" s="1">
        <v>37926</v>
      </c>
    </row>
    <row r="384" spans="1:23" x14ac:dyDescent="0.2">
      <c r="A384">
        <v>46</v>
      </c>
      <c r="B384" s="1">
        <v>37956</v>
      </c>
    </row>
    <row r="385" spans="1:23" x14ac:dyDescent="0.2">
      <c r="B385" s="3" t="s">
        <v>34</v>
      </c>
      <c r="C385" s="3"/>
      <c r="D385" s="5">
        <f t="shared" ref="D385:W385" si="70">SUM(D339:D384)</f>
        <v>809.72555141285511</v>
      </c>
      <c r="E385" s="5">
        <f t="shared" si="70"/>
        <v>652.54957703660114</v>
      </c>
      <c r="F385" s="5">
        <f t="shared" si="70"/>
        <v>816.51095615776785</v>
      </c>
      <c r="G385" s="5">
        <f t="shared" si="70"/>
        <v>816.51095615776785</v>
      </c>
      <c r="H385" s="5">
        <f t="shared" si="70"/>
        <v>823.71585451018723</v>
      </c>
      <c r="I385" s="5">
        <f t="shared" si="70"/>
        <v>823.71585451018723</v>
      </c>
      <c r="J385" s="5">
        <f t="shared" si="70"/>
        <v>1065.9543654297163</v>
      </c>
      <c r="K385" s="5">
        <f t="shared" si="70"/>
        <v>1065.9543654297163</v>
      </c>
      <c r="L385" s="5">
        <f t="shared" si="70"/>
        <v>1065.9543654297163</v>
      </c>
      <c r="M385" s="5">
        <f t="shared" si="70"/>
        <v>1065.9543654297163</v>
      </c>
      <c r="N385" s="5">
        <f t="shared" si="70"/>
        <v>1066.6661541311837</v>
      </c>
      <c r="O385" s="5">
        <f t="shared" si="70"/>
        <v>1066.6661541311837</v>
      </c>
      <c r="P385" s="5">
        <f t="shared" si="70"/>
        <v>1094.3097455883153</v>
      </c>
      <c r="Q385" s="5">
        <f t="shared" si="70"/>
        <v>1094.3097455883153</v>
      </c>
      <c r="R385" s="5">
        <f t="shared" si="70"/>
        <v>1255.67569363286</v>
      </c>
      <c r="S385" s="5">
        <f t="shared" si="70"/>
        <v>1255.67569363286</v>
      </c>
      <c r="T385" s="5">
        <f t="shared" si="70"/>
        <v>1324.9830486154999</v>
      </c>
      <c r="U385" s="5">
        <f t="shared" si="70"/>
        <v>1324.9830486154999</v>
      </c>
      <c r="V385" s="5">
        <f t="shared" si="70"/>
        <v>1270.8214428097017</v>
      </c>
      <c r="W385" s="5">
        <f t="shared" si="70"/>
        <v>1270.8214428097017</v>
      </c>
    </row>
    <row r="388" spans="1:23" x14ac:dyDescent="0.2">
      <c r="B388" t="s">
        <v>62</v>
      </c>
    </row>
    <row r="390" spans="1:23" x14ac:dyDescent="0.2">
      <c r="A390">
        <v>1</v>
      </c>
      <c r="B390" s="1">
        <v>36586</v>
      </c>
      <c r="D390" s="4">
        <f t="shared" ref="D390:W390" si="71">D51*$M$17</f>
        <v>590.79999999999995</v>
      </c>
      <c r="E390" s="4">
        <f t="shared" si="71"/>
        <v>0</v>
      </c>
      <c r="F390" s="4">
        <f t="shared" si="71"/>
        <v>0</v>
      </c>
      <c r="G390" s="4">
        <f t="shared" si="71"/>
        <v>0</v>
      </c>
      <c r="H390" s="4">
        <f t="shared" si="71"/>
        <v>0</v>
      </c>
      <c r="I390" s="4">
        <f t="shared" si="71"/>
        <v>0</v>
      </c>
      <c r="J390" s="4">
        <f t="shared" si="71"/>
        <v>0</v>
      </c>
      <c r="K390" s="4">
        <f t="shared" si="71"/>
        <v>0</v>
      </c>
      <c r="L390" s="4">
        <f t="shared" si="71"/>
        <v>0</v>
      </c>
      <c r="M390" s="4">
        <f t="shared" si="71"/>
        <v>0</v>
      </c>
      <c r="N390" s="4">
        <f t="shared" si="71"/>
        <v>0</v>
      </c>
      <c r="O390" s="4">
        <f t="shared" si="71"/>
        <v>0</v>
      </c>
      <c r="P390" s="4">
        <f t="shared" si="71"/>
        <v>0</v>
      </c>
      <c r="Q390" s="4">
        <f t="shared" si="71"/>
        <v>0</v>
      </c>
      <c r="R390" s="4">
        <f t="shared" si="71"/>
        <v>0</v>
      </c>
      <c r="S390" s="4">
        <f t="shared" si="71"/>
        <v>0</v>
      </c>
      <c r="T390" s="4">
        <f t="shared" si="71"/>
        <v>0</v>
      </c>
      <c r="U390" s="4">
        <f t="shared" si="71"/>
        <v>0</v>
      </c>
      <c r="V390" s="4">
        <f t="shared" si="71"/>
        <v>0</v>
      </c>
      <c r="W390" s="4">
        <f t="shared" si="71"/>
        <v>0</v>
      </c>
    </row>
    <row r="391" spans="1:23" x14ac:dyDescent="0.2">
      <c r="A391">
        <v>2</v>
      </c>
      <c r="B391" s="1">
        <v>36617</v>
      </c>
      <c r="D391" s="4">
        <f t="shared" ref="D391:W391" si="72">D52*$M$17</f>
        <v>649.94999999999993</v>
      </c>
      <c r="E391" s="4">
        <f t="shared" si="72"/>
        <v>484.04999999999995</v>
      </c>
      <c r="F391" s="4">
        <f t="shared" si="72"/>
        <v>0</v>
      </c>
      <c r="G391" s="4">
        <f t="shared" si="72"/>
        <v>0</v>
      </c>
      <c r="H391" s="4">
        <f t="shared" si="72"/>
        <v>0</v>
      </c>
      <c r="I391" s="4">
        <f t="shared" si="72"/>
        <v>0</v>
      </c>
      <c r="J391" s="4">
        <f t="shared" si="72"/>
        <v>303.79999999999995</v>
      </c>
      <c r="K391" s="4">
        <f t="shared" si="72"/>
        <v>303.79999999999995</v>
      </c>
      <c r="L391" s="4">
        <f t="shared" si="72"/>
        <v>303.79999999999995</v>
      </c>
      <c r="M391" s="4">
        <f t="shared" si="72"/>
        <v>303.79999999999995</v>
      </c>
      <c r="N391" s="4">
        <f t="shared" si="72"/>
        <v>302.04999999999995</v>
      </c>
      <c r="O391" s="4">
        <f t="shared" si="72"/>
        <v>302.04999999999995</v>
      </c>
      <c r="P391" s="4">
        <f t="shared" si="72"/>
        <v>302.04999999999995</v>
      </c>
      <c r="Q391" s="4">
        <f t="shared" si="72"/>
        <v>302.04999999999995</v>
      </c>
      <c r="R391" s="4">
        <f t="shared" si="72"/>
        <v>0</v>
      </c>
      <c r="S391" s="4">
        <f t="shared" si="72"/>
        <v>0</v>
      </c>
      <c r="T391" s="4">
        <f t="shared" si="72"/>
        <v>0</v>
      </c>
      <c r="U391" s="4">
        <f t="shared" si="72"/>
        <v>0</v>
      </c>
      <c r="V391" s="4">
        <f t="shared" si="72"/>
        <v>0</v>
      </c>
      <c r="W391" s="4">
        <f t="shared" si="72"/>
        <v>0</v>
      </c>
    </row>
    <row r="392" spans="1:23" x14ac:dyDescent="0.2">
      <c r="A392">
        <v>3</v>
      </c>
      <c r="B392" s="1">
        <v>36647</v>
      </c>
      <c r="D392" s="4">
        <f t="shared" ref="D392:W392" si="73">D53*$M$17</f>
        <v>649.94999999999993</v>
      </c>
      <c r="E392" s="4">
        <f t="shared" si="73"/>
        <v>610.75</v>
      </c>
      <c r="F392" s="4">
        <f t="shared" si="73"/>
        <v>591.84999999999991</v>
      </c>
      <c r="G392" s="4">
        <f t="shared" si="73"/>
        <v>591.84999999999991</v>
      </c>
      <c r="H392" s="4">
        <f t="shared" si="73"/>
        <v>0</v>
      </c>
      <c r="I392" s="4">
        <f t="shared" si="73"/>
        <v>0</v>
      </c>
      <c r="J392" s="4">
        <f t="shared" si="73"/>
        <v>0</v>
      </c>
      <c r="K392" s="4">
        <f t="shared" si="73"/>
        <v>0</v>
      </c>
      <c r="L392" s="4">
        <f t="shared" si="73"/>
        <v>0</v>
      </c>
      <c r="M392" s="4">
        <f t="shared" si="73"/>
        <v>0</v>
      </c>
      <c r="N392" s="4">
        <f t="shared" si="73"/>
        <v>0</v>
      </c>
      <c r="O392" s="4">
        <f t="shared" si="73"/>
        <v>0</v>
      </c>
      <c r="P392" s="4">
        <f t="shared" si="73"/>
        <v>0</v>
      </c>
      <c r="Q392" s="4">
        <f t="shared" si="73"/>
        <v>0</v>
      </c>
      <c r="R392" s="4">
        <f t="shared" si="73"/>
        <v>315</v>
      </c>
      <c r="S392" s="4">
        <f t="shared" si="73"/>
        <v>315</v>
      </c>
      <c r="T392" s="4">
        <f t="shared" si="73"/>
        <v>315</v>
      </c>
      <c r="U392" s="4">
        <f t="shared" si="73"/>
        <v>315</v>
      </c>
      <c r="V392" s="4">
        <f t="shared" si="73"/>
        <v>312.54999999999995</v>
      </c>
      <c r="W392" s="4">
        <f t="shared" si="73"/>
        <v>312.54999999999995</v>
      </c>
    </row>
    <row r="393" spans="1:23" x14ac:dyDescent="0.2">
      <c r="A393">
        <v>4</v>
      </c>
      <c r="B393" s="1">
        <v>36678</v>
      </c>
      <c r="D393" s="4">
        <f t="shared" ref="D393:W393" si="74">D54*$M$17</f>
        <v>649.94999999999993</v>
      </c>
      <c r="E393" s="4">
        <f t="shared" si="74"/>
        <v>610.75</v>
      </c>
      <c r="F393" s="4">
        <f t="shared" si="74"/>
        <v>0</v>
      </c>
      <c r="G393" s="4">
        <f t="shared" si="74"/>
        <v>0</v>
      </c>
      <c r="H393" s="4">
        <f t="shared" si="74"/>
        <v>591.84999999999991</v>
      </c>
      <c r="I393" s="4">
        <f t="shared" si="74"/>
        <v>591.84999999999991</v>
      </c>
      <c r="J393" s="4">
        <f t="shared" si="74"/>
        <v>0</v>
      </c>
      <c r="K393" s="4">
        <f t="shared" si="74"/>
        <v>0</v>
      </c>
      <c r="L393" s="4">
        <f t="shared" si="74"/>
        <v>0</v>
      </c>
      <c r="M393" s="4">
        <f t="shared" si="74"/>
        <v>0</v>
      </c>
      <c r="N393" s="4">
        <f t="shared" si="74"/>
        <v>0</v>
      </c>
      <c r="O393" s="4">
        <f t="shared" si="74"/>
        <v>0</v>
      </c>
      <c r="P393" s="4">
        <f t="shared" si="74"/>
        <v>0</v>
      </c>
      <c r="Q393" s="4">
        <f t="shared" si="74"/>
        <v>0</v>
      </c>
      <c r="R393" s="4">
        <f t="shared" si="74"/>
        <v>0</v>
      </c>
      <c r="S393" s="4">
        <f t="shared" si="74"/>
        <v>0</v>
      </c>
      <c r="T393" s="4">
        <f t="shared" si="74"/>
        <v>0</v>
      </c>
      <c r="U393" s="4">
        <f t="shared" si="74"/>
        <v>0</v>
      </c>
      <c r="V393" s="4">
        <f t="shared" si="74"/>
        <v>0</v>
      </c>
      <c r="W393" s="4">
        <f t="shared" si="74"/>
        <v>0</v>
      </c>
    </row>
    <row r="394" spans="1:23" x14ac:dyDescent="0.2">
      <c r="A394">
        <v>5</v>
      </c>
      <c r="B394" s="1">
        <v>36708</v>
      </c>
      <c r="D394" s="4">
        <f t="shared" ref="D394:W394" si="75">D55*$M$17</f>
        <v>649.94999999999993</v>
      </c>
      <c r="E394" s="4">
        <f t="shared" si="75"/>
        <v>610.75</v>
      </c>
      <c r="F394" s="4">
        <f t="shared" si="75"/>
        <v>0</v>
      </c>
      <c r="G394" s="4">
        <f t="shared" si="75"/>
        <v>0</v>
      </c>
      <c r="H394" s="4">
        <f t="shared" si="75"/>
        <v>0</v>
      </c>
      <c r="I394" s="4">
        <f t="shared" si="75"/>
        <v>0</v>
      </c>
      <c r="J394" s="4">
        <f t="shared" si="75"/>
        <v>0</v>
      </c>
      <c r="K394" s="4">
        <f t="shared" si="75"/>
        <v>0</v>
      </c>
      <c r="L394" s="4">
        <f t="shared" si="75"/>
        <v>0</v>
      </c>
      <c r="M394" s="4">
        <f t="shared" si="75"/>
        <v>0</v>
      </c>
      <c r="N394" s="4">
        <f t="shared" si="75"/>
        <v>0</v>
      </c>
      <c r="O394" s="4">
        <f t="shared" si="75"/>
        <v>0</v>
      </c>
      <c r="P394" s="4">
        <f t="shared" si="75"/>
        <v>0</v>
      </c>
      <c r="Q394" s="4">
        <f t="shared" si="75"/>
        <v>0</v>
      </c>
      <c r="R394" s="4">
        <f t="shared" si="75"/>
        <v>0</v>
      </c>
      <c r="S394" s="4">
        <f t="shared" si="75"/>
        <v>0</v>
      </c>
      <c r="T394" s="4">
        <f t="shared" si="75"/>
        <v>0</v>
      </c>
      <c r="U394" s="4">
        <f t="shared" si="75"/>
        <v>0</v>
      </c>
      <c r="V394" s="4">
        <f t="shared" si="75"/>
        <v>0</v>
      </c>
      <c r="W394" s="4">
        <f t="shared" si="75"/>
        <v>0</v>
      </c>
    </row>
    <row r="395" spans="1:23" x14ac:dyDescent="0.2">
      <c r="A395">
        <v>6</v>
      </c>
      <c r="B395" s="1">
        <v>36739</v>
      </c>
      <c r="D395" s="4">
        <f t="shared" ref="D395:W395" si="76">D56*$M$17</f>
        <v>649.94999999999993</v>
      </c>
      <c r="E395" s="4">
        <f t="shared" si="76"/>
        <v>610.75</v>
      </c>
      <c r="F395" s="4">
        <f t="shared" si="76"/>
        <v>591.84999999999991</v>
      </c>
      <c r="G395" s="4">
        <f t="shared" si="76"/>
        <v>591.84999999999991</v>
      </c>
      <c r="H395" s="4">
        <f t="shared" si="76"/>
        <v>0</v>
      </c>
      <c r="I395" s="4">
        <f t="shared" si="76"/>
        <v>0</v>
      </c>
      <c r="J395" s="4">
        <f t="shared" si="76"/>
        <v>425.59999999999997</v>
      </c>
      <c r="K395" s="4">
        <f t="shared" si="76"/>
        <v>425.59999999999997</v>
      </c>
      <c r="L395" s="4">
        <f t="shared" si="76"/>
        <v>425.59999999999997</v>
      </c>
      <c r="M395" s="4">
        <f t="shared" si="76"/>
        <v>425.59999999999997</v>
      </c>
      <c r="N395" s="4">
        <f t="shared" si="76"/>
        <v>0</v>
      </c>
      <c r="O395" s="4">
        <f t="shared" si="76"/>
        <v>0</v>
      </c>
      <c r="P395" s="4">
        <f t="shared" si="76"/>
        <v>0</v>
      </c>
      <c r="Q395" s="4">
        <f t="shared" si="76"/>
        <v>0</v>
      </c>
      <c r="R395" s="4">
        <f t="shared" si="76"/>
        <v>0</v>
      </c>
      <c r="S395" s="4">
        <f t="shared" si="76"/>
        <v>0</v>
      </c>
      <c r="T395" s="4">
        <f t="shared" si="76"/>
        <v>0</v>
      </c>
      <c r="U395" s="4">
        <f t="shared" si="76"/>
        <v>0</v>
      </c>
      <c r="V395" s="4">
        <f t="shared" si="76"/>
        <v>0</v>
      </c>
      <c r="W395" s="4">
        <f t="shared" si="76"/>
        <v>0</v>
      </c>
    </row>
    <row r="396" spans="1:23" x14ac:dyDescent="0.2">
      <c r="A396">
        <v>7</v>
      </c>
      <c r="B396" s="1">
        <v>36770</v>
      </c>
      <c r="D396" s="4">
        <f t="shared" ref="D396:W396" si="77">D57*$M$17</f>
        <v>649.94999999999993</v>
      </c>
      <c r="E396" s="4">
        <f t="shared" si="77"/>
        <v>610.75</v>
      </c>
      <c r="F396" s="4">
        <f t="shared" si="77"/>
        <v>651</v>
      </c>
      <c r="G396" s="4">
        <f t="shared" si="77"/>
        <v>651</v>
      </c>
      <c r="H396" s="4">
        <f t="shared" si="77"/>
        <v>0</v>
      </c>
      <c r="I396" s="4">
        <f t="shared" si="77"/>
        <v>0</v>
      </c>
      <c r="J396" s="4">
        <f t="shared" si="77"/>
        <v>425.59999999999997</v>
      </c>
      <c r="K396" s="4">
        <f t="shared" si="77"/>
        <v>425.59999999999997</v>
      </c>
      <c r="L396" s="4">
        <f t="shared" si="77"/>
        <v>425.59999999999997</v>
      </c>
      <c r="M396" s="4">
        <f t="shared" si="77"/>
        <v>425.59999999999997</v>
      </c>
      <c r="N396" s="4">
        <f t="shared" si="77"/>
        <v>0</v>
      </c>
      <c r="O396" s="4">
        <f t="shared" si="77"/>
        <v>0</v>
      </c>
      <c r="P396" s="4">
        <f t="shared" si="77"/>
        <v>0</v>
      </c>
      <c r="Q396" s="4">
        <f t="shared" si="77"/>
        <v>0</v>
      </c>
      <c r="R396" s="4">
        <f t="shared" si="77"/>
        <v>315</v>
      </c>
      <c r="S396" s="4">
        <f t="shared" si="77"/>
        <v>315</v>
      </c>
      <c r="T396" s="4">
        <f t="shared" si="77"/>
        <v>315</v>
      </c>
      <c r="U396" s="4">
        <f t="shared" si="77"/>
        <v>315</v>
      </c>
      <c r="V396" s="4">
        <f t="shared" si="77"/>
        <v>312.54999999999995</v>
      </c>
      <c r="W396" s="4">
        <f t="shared" si="77"/>
        <v>312.54999999999995</v>
      </c>
    </row>
    <row r="397" spans="1:23" x14ac:dyDescent="0.2">
      <c r="A397">
        <v>8</v>
      </c>
      <c r="B397" s="1">
        <v>36800</v>
      </c>
      <c r="D397" s="4">
        <f t="shared" ref="D397:W397" si="78">D58*$M$17</f>
        <v>649.94999999999993</v>
      </c>
      <c r="E397" s="4">
        <f t="shared" si="78"/>
        <v>610.75</v>
      </c>
      <c r="F397" s="4">
        <f t="shared" si="78"/>
        <v>651</v>
      </c>
      <c r="G397" s="4">
        <f t="shared" si="78"/>
        <v>651</v>
      </c>
      <c r="H397" s="4">
        <f t="shared" si="78"/>
        <v>591.84999999999991</v>
      </c>
      <c r="I397" s="4">
        <f t="shared" si="78"/>
        <v>591.84999999999991</v>
      </c>
      <c r="J397" s="4">
        <f t="shared" si="78"/>
        <v>425.59999999999997</v>
      </c>
      <c r="K397" s="4">
        <f t="shared" si="78"/>
        <v>425.59999999999997</v>
      </c>
      <c r="L397" s="4">
        <f t="shared" si="78"/>
        <v>425.59999999999997</v>
      </c>
      <c r="M397" s="4">
        <f t="shared" si="78"/>
        <v>425.59999999999997</v>
      </c>
      <c r="N397" s="4">
        <f t="shared" si="78"/>
        <v>422.79999999999995</v>
      </c>
      <c r="O397" s="4">
        <f t="shared" si="78"/>
        <v>422.79999999999995</v>
      </c>
      <c r="P397" s="4">
        <f t="shared" si="78"/>
        <v>0</v>
      </c>
      <c r="Q397" s="4">
        <f t="shared" si="78"/>
        <v>0</v>
      </c>
      <c r="R397" s="4">
        <f t="shared" si="78"/>
        <v>0</v>
      </c>
      <c r="S397" s="4">
        <f t="shared" si="78"/>
        <v>0</v>
      </c>
      <c r="T397" s="4">
        <f t="shared" si="78"/>
        <v>0</v>
      </c>
      <c r="U397" s="4">
        <f t="shared" si="78"/>
        <v>0</v>
      </c>
      <c r="V397" s="4">
        <f t="shared" si="78"/>
        <v>0</v>
      </c>
      <c r="W397" s="4">
        <f t="shared" si="78"/>
        <v>0</v>
      </c>
    </row>
    <row r="398" spans="1:23" x14ac:dyDescent="0.2">
      <c r="A398">
        <v>9</v>
      </c>
      <c r="B398" s="1">
        <v>36831</v>
      </c>
      <c r="D398" s="4">
        <f t="shared" ref="D398:W398" si="79">D59*$M$17</f>
        <v>649.94999999999993</v>
      </c>
      <c r="E398" s="4">
        <f t="shared" si="79"/>
        <v>610.75</v>
      </c>
      <c r="F398" s="4">
        <f t="shared" si="79"/>
        <v>651</v>
      </c>
      <c r="G398" s="4">
        <f t="shared" si="79"/>
        <v>651</v>
      </c>
      <c r="H398" s="4">
        <f t="shared" si="79"/>
        <v>651</v>
      </c>
      <c r="I398" s="4">
        <f t="shared" si="79"/>
        <v>651</v>
      </c>
      <c r="J398" s="4">
        <f t="shared" si="79"/>
        <v>425.59999999999997</v>
      </c>
      <c r="K398" s="4">
        <f t="shared" si="79"/>
        <v>425.59999999999997</v>
      </c>
      <c r="L398" s="4">
        <f t="shared" si="79"/>
        <v>425.59999999999997</v>
      </c>
      <c r="M398" s="4">
        <f t="shared" si="79"/>
        <v>425.59999999999997</v>
      </c>
      <c r="N398" s="4">
        <f t="shared" si="79"/>
        <v>422.79999999999995</v>
      </c>
      <c r="O398" s="4">
        <f t="shared" si="79"/>
        <v>422.79999999999995</v>
      </c>
      <c r="P398" s="4">
        <f t="shared" si="79"/>
        <v>0</v>
      </c>
      <c r="Q398" s="4">
        <f t="shared" si="79"/>
        <v>0</v>
      </c>
      <c r="R398" s="4">
        <f t="shared" si="79"/>
        <v>0</v>
      </c>
      <c r="S398" s="4">
        <f t="shared" si="79"/>
        <v>0</v>
      </c>
      <c r="T398" s="4">
        <f t="shared" si="79"/>
        <v>0</v>
      </c>
      <c r="U398" s="4">
        <f t="shared" si="79"/>
        <v>0</v>
      </c>
      <c r="V398" s="4">
        <f t="shared" si="79"/>
        <v>0</v>
      </c>
      <c r="W398" s="4">
        <f t="shared" si="79"/>
        <v>0</v>
      </c>
    </row>
    <row r="399" spans="1:23" x14ac:dyDescent="0.2">
      <c r="A399">
        <v>10</v>
      </c>
      <c r="B399" s="1">
        <v>36861</v>
      </c>
      <c r="D399" s="4">
        <f t="shared" ref="D399:W399" si="80">D60*$M$17</f>
        <v>649.94999999999993</v>
      </c>
      <c r="E399" s="4">
        <f t="shared" si="80"/>
        <v>610.75</v>
      </c>
      <c r="F399" s="4">
        <f t="shared" si="80"/>
        <v>651</v>
      </c>
      <c r="G399" s="4">
        <f t="shared" si="80"/>
        <v>651</v>
      </c>
      <c r="H399" s="4">
        <f t="shared" si="80"/>
        <v>651</v>
      </c>
      <c r="I399" s="4">
        <f t="shared" si="80"/>
        <v>651</v>
      </c>
      <c r="J399" s="4">
        <f t="shared" si="80"/>
        <v>425.59999999999997</v>
      </c>
      <c r="K399" s="4">
        <f t="shared" si="80"/>
        <v>425.59999999999997</v>
      </c>
      <c r="L399" s="4">
        <f t="shared" si="80"/>
        <v>425.59999999999997</v>
      </c>
      <c r="M399" s="4">
        <f t="shared" si="80"/>
        <v>425.59999999999997</v>
      </c>
      <c r="N399" s="4">
        <f t="shared" si="80"/>
        <v>422.79999999999995</v>
      </c>
      <c r="O399" s="4">
        <f t="shared" si="80"/>
        <v>422.79999999999995</v>
      </c>
      <c r="P399" s="4">
        <f t="shared" si="80"/>
        <v>0</v>
      </c>
      <c r="Q399" s="4">
        <f t="shared" si="80"/>
        <v>0</v>
      </c>
      <c r="R399" s="4">
        <f t="shared" si="80"/>
        <v>0</v>
      </c>
      <c r="S399" s="4">
        <f t="shared" si="80"/>
        <v>0</v>
      </c>
      <c r="T399" s="4">
        <f t="shared" si="80"/>
        <v>0</v>
      </c>
      <c r="U399" s="4">
        <f t="shared" si="80"/>
        <v>0</v>
      </c>
      <c r="V399" s="4">
        <f t="shared" si="80"/>
        <v>0</v>
      </c>
      <c r="W399" s="4">
        <f t="shared" si="80"/>
        <v>0</v>
      </c>
    </row>
    <row r="400" spans="1:23" x14ac:dyDescent="0.2">
      <c r="A400">
        <v>11</v>
      </c>
      <c r="B400" s="1">
        <v>36892</v>
      </c>
      <c r="D400" s="4">
        <f t="shared" ref="D400:W400" si="81">D61*$M$17</f>
        <v>649.94999999999993</v>
      </c>
      <c r="E400" s="4">
        <f t="shared" si="81"/>
        <v>610.75</v>
      </c>
      <c r="F400" s="4">
        <f t="shared" si="81"/>
        <v>651</v>
      </c>
      <c r="G400" s="4">
        <f t="shared" si="81"/>
        <v>651</v>
      </c>
      <c r="H400" s="4">
        <f t="shared" si="81"/>
        <v>651</v>
      </c>
      <c r="I400" s="4">
        <f t="shared" si="81"/>
        <v>651</v>
      </c>
      <c r="J400" s="4">
        <f t="shared" si="81"/>
        <v>425.59999999999997</v>
      </c>
      <c r="K400" s="4">
        <f t="shared" si="81"/>
        <v>425.59999999999997</v>
      </c>
      <c r="L400" s="4">
        <f t="shared" si="81"/>
        <v>425.59999999999997</v>
      </c>
      <c r="M400" s="4">
        <f t="shared" si="81"/>
        <v>425.59999999999997</v>
      </c>
      <c r="N400" s="4">
        <f t="shared" si="81"/>
        <v>422.79999999999995</v>
      </c>
      <c r="O400" s="4">
        <f t="shared" si="81"/>
        <v>422.79999999999995</v>
      </c>
      <c r="P400" s="4">
        <f t="shared" si="81"/>
        <v>0</v>
      </c>
      <c r="Q400" s="4">
        <f t="shared" si="81"/>
        <v>0</v>
      </c>
      <c r="R400" s="4">
        <f t="shared" si="81"/>
        <v>0</v>
      </c>
      <c r="S400" s="4">
        <f t="shared" si="81"/>
        <v>0</v>
      </c>
      <c r="T400" s="4">
        <f t="shared" si="81"/>
        <v>0</v>
      </c>
      <c r="U400" s="4">
        <f t="shared" si="81"/>
        <v>0</v>
      </c>
      <c r="V400" s="4">
        <f t="shared" si="81"/>
        <v>0</v>
      </c>
      <c r="W400" s="4">
        <f t="shared" si="81"/>
        <v>0</v>
      </c>
    </row>
    <row r="401" spans="1:23" x14ac:dyDescent="0.2">
      <c r="A401">
        <v>12</v>
      </c>
      <c r="B401" s="1">
        <v>36923</v>
      </c>
      <c r="D401" s="4">
        <f t="shared" ref="D401:W401" si="82">D62*$M$17</f>
        <v>649.94999999999993</v>
      </c>
      <c r="E401" s="4">
        <f t="shared" si="82"/>
        <v>610.75</v>
      </c>
      <c r="F401" s="4">
        <f t="shared" si="82"/>
        <v>651</v>
      </c>
      <c r="G401" s="4">
        <f t="shared" si="82"/>
        <v>651</v>
      </c>
      <c r="H401" s="4">
        <f t="shared" si="82"/>
        <v>651</v>
      </c>
      <c r="I401" s="4">
        <f t="shared" si="82"/>
        <v>651</v>
      </c>
      <c r="J401" s="4">
        <f t="shared" si="82"/>
        <v>425.59999999999997</v>
      </c>
      <c r="K401" s="4">
        <f t="shared" si="82"/>
        <v>425.59999999999997</v>
      </c>
      <c r="L401" s="4">
        <f t="shared" si="82"/>
        <v>425.59999999999997</v>
      </c>
      <c r="M401" s="4">
        <f t="shared" si="82"/>
        <v>425.59999999999997</v>
      </c>
      <c r="N401" s="4">
        <f t="shared" si="82"/>
        <v>422.79999999999995</v>
      </c>
      <c r="O401" s="4">
        <f t="shared" si="82"/>
        <v>422.79999999999995</v>
      </c>
      <c r="P401" s="4">
        <f t="shared" si="82"/>
        <v>0</v>
      </c>
      <c r="Q401" s="4">
        <f t="shared" si="82"/>
        <v>0</v>
      </c>
      <c r="R401" s="4">
        <f t="shared" si="82"/>
        <v>0</v>
      </c>
      <c r="S401" s="4">
        <f t="shared" si="82"/>
        <v>0</v>
      </c>
      <c r="T401" s="4">
        <f t="shared" si="82"/>
        <v>0</v>
      </c>
      <c r="U401" s="4">
        <f t="shared" si="82"/>
        <v>0</v>
      </c>
      <c r="V401" s="4">
        <f t="shared" si="82"/>
        <v>0</v>
      </c>
      <c r="W401" s="4">
        <f t="shared" si="82"/>
        <v>0</v>
      </c>
    </row>
    <row r="402" spans="1:23" x14ac:dyDescent="0.2">
      <c r="A402">
        <v>13</v>
      </c>
      <c r="B402" s="1">
        <v>36951</v>
      </c>
      <c r="D402" s="4">
        <f t="shared" ref="D402:W402" si="83">D63*$M$17</f>
        <v>2954</v>
      </c>
      <c r="E402" s="4">
        <f t="shared" si="83"/>
        <v>2776.2</v>
      </c>
      <c r="F402" s="4">
        <f t="shared" si="83"/>
        <v>651</v>
      </c>
      <c r="G402" s="4">
        <f t="shared" si="83"/>
        <v>651</v>
      </c>
      <c r="H402" s="4">
        <f t="shared" si="83"/>
        <v>651</v>
      </c>
      <c r="I402" s="4">
        <f t="shared" si="83"/>
        <v>651</v>
      </c>
      <c r="J402" s="4">
        <f t="shared" si="83"/>
        <v>425.59999999999997</v>
      </c>
      <c r="K402" s="4">
        <f t="shared" si="83"/>
        <v>425.59999999999997</v>
      </c>
      <c r="L402" s="4">
        <f t="shared" si="83"/>
        <v>425.59999999999997</v>
      </c>
      <c r="M402" s="4">
        <f t="shared" si="83"/>
        <v>425.59999999999997</v>
      </c>
      <c r="N402" s="4">
        <f t="shared" si="83"/>
        <v>422.79999999999995</v>
      </c>
      <c r="O402" s="4">
        <f t="shared" si="83"/>
        <v>422.79999999999995</v>
      </c>
      <c r="P402" s="4">
        <f t="shared" si="83"/>
        <v>0</v>
      </c>
      <c r="Q402" s="4">
        <f t="shared" si="83"/>
        <v>0</v>
      </c>
      <c r="R402" s="4">
        <f t="shared" si="83"/>
        <v>0</v>
      </c>
      <c r="S402" s="4">
        <f t="shared" si="83"/>
        <v>0</v>
      </c>
      <c r="T402" s="4">
        <f t="shared" si="83"/>
        <v>0</v>
      </c>
      <c r="U402" s="4">
        <f t="shared" si="83"/>
        <v>0</v>
      </c>
      <c r="V402" s="4">
        <f t="shared" si="83"/>
        <v>0</v>
      </c>
      <c r="W402" s="4">
        <f t="shared" si="83"/>
        <v>0</v>
      </c>
    </row>
    <row r="403" spans="1:23" x14ac:dyDescent="0.2">
      <c r="A403">
        <v>14</v>
      </c>
      <c r="B403" s="1">
        <v>36982</v>
      </c>
      <c r="D403" s="4">
        <v>0</v>
      </c>
      <c r="E403" s="4">
        <v>0</v>
      </c>
      <c r="F403" s="4">
        <f t="shared" ref="F403:W403" si="84">F64*$M$17</f>
        <v>651</v>
      </c>
      <c r="G403" s="4">
        <f t="shared" si="84"/>
        <v>651</v>
      </c>
      <c r="H403" s="4">
        <f t="shared" si="84"/>
        <v>651</v>
      </c>
      <c r="I403" s="4">
        <f t="shared" si="84"/>
        <v>651</v>
      </c>
      <c r="J403" s="4">
        <f t="shared" si="84"/>
        <v>425.59999999999997</v>
      </c>
      <c r="K403" s="4">
        <f t="shared" si="84"/>
        <v>425.59999999999997</v>
      </c>
      <c r="L403" s="4">
        <f t="shared" si="84"/>
        <v>425.59999999999997</v>
      </c>
      <c r="M403" s="4">
        <f t="shared" si="84"/>
        <v>425.59999999999997</v>
      </c>
      <c r="N403" s="4">
        <f t="shared" si="84"/>
        <v>422.79999999999995</v>
      </c>
      <c r="O403" s="4">
        <f t="shared" si="84"/>
        <v>422.79999999999995</v>
      </c>
      <c r="P403" s="4">
        <f t="shared" si="84"/>
        <v>0</v>
      </c>
      <c r="Q403" s="4">
        <f t="shared" si="84"/>
        <v>0</v>
      </c>
      <c r="R403" s="4">
        <f t="shared" si="84"/>
        <v>0</v>
      </c>
      <c r="S403" s="4">
        <f t="shared" si="84"/>
        <v>0</v>
      </c>
      <c r="T403" s="4">
        <f t="shared" si="84"/>
        <v>0</v>
      </c>
      <c r="U403" s="4">
        <f t="shared" si="84"/>
        <v>0</v>
      </c>
      <c r="V403" s="4">
        <f t="shared" si="84"/>
        <v>0</v>
      </c>
      <c r="W403" s="4">
        <f t="shared" si="84"/>
        <v>0</v>
      </c>
    </row>
    <row r="404" spans="1:23" x14ac:dyDescent="0.2">
      <c r="A404">
        <v>15</v>
      </c>
      <c r="B404" s="1">
        <v>37012</v>
      </c>
      <c r="D404" s="4">
        <f t="shared" ref="D404:E435" si="85">D65*$M$17</f>
        <v>0</v>
      </c>
      <c r="E404" s="4">
        <f t="shared" si="85"/>
        <v>0</v>
      </c>
      <c r="F404" s="4">
        <f t="shared" ref="F404:W404" si="86">F65*$M$17</f>
        <v>651</v>
      </c>
      <c r="G404" s="4">
        <f t="shared" si="86"/>
        <v>651</v>
      </c>
      <c r="H404" s="4">
        <f t="shared" si="86"/>
        <v>651</v>
      </c>
      <c r="I404" s="4">
        <f t="shared" si="86"/>
        <v>651</v>
      </c>
      <c r="J404" s="4">
        <f t="shared" si="86"/>
        <v>425.59999999999997</v>
      </c>
      <c r="K404" s="4">
        <f t="shared" si="86"/>
        <v>425.59999999999997</v>
      </c>
      <c r="L404" s="4">
        <f t="shared" si="86"/>
        <v>425.59999999999997</v>
      </c>
      <c r="M404" s="4">
        <f t="shared" si="86"/>
        <v>425.59999999999997</v>
      </c>
      <c r="N404" s="4">
        <f t="shared" si="86"/>
        <v>422.79999999999995</v>
      </c>
      <c r="O404" s="4">
        <f t="shared" si="86"/>
        <v>422.79999999999995</v>
      </c>
      <c r="P404" s="4">
        <f t="shared" si="86"/>
        <v>422.79999999999995</v>
      </c>
      <c r="Q404" s="4">
        <f t="shared" si="86"/>
        <v>422.79999999999995</v>
      </c>
      <c r="R404" s="4">
        <f t="shared" si="86"/>
        <v>0</v>
      </c>
      <c r="S404" s="4">
        <f t="shared" si="86"/>
        <v>0</v>
      </c>
      <c r="T404" s="4">
        <f t="shared" si="86"/>
        <v>0</v>
      </c>
      <c r="U404" s="4">
        <f t="shared" si="86"/>
        <v>0</v>
      </c>
      <c r="V404" s="4">
        <f t="shared" si="86"/>
        <v>0</v>
      </c>
      <c r="W404" s="4">
        <f t="shared" si="86"/>
        <v>0</v>
      </c>
    </row>
    <row r="405" spans="1:23" x14ac:dyDescent="0.2">
      <c r="A405">
        <v>16</v>
      </c>
      <c r="B405" s="1">
        <v>37043</v>
      </c>
      <c r="D405" s="4">
        <f t="shared" si="85"/>
        <v>0</v>
      </c>
      <c r="E405" s="4">
        <f t="shared" si="85"/>
        <v>0</v>
      </c>
      <c r="F405" s="4">
        <f t="shared" ref="F405:W405" si="87">F66*$M$17</f>
        <v>651</v>
      </c>
      <c r="G405" s="4">
        <f t="shared" si="87"/>
        <v>651</v>
      </c>
      <c r="H405" s="4">
        <f t="shared" si="87"/>
        <v>651</v>
      </c>
      <c r="I405" s="4">
        <f t="shared" si="87"/>
        <v>651</v>
      </c>
      <c r="J405" s="4">
        <f t="shared" si="87"/>
        <v>425.59999999999997</v>
      </c>
      <c r="K405" s="4">
        <f t="shared" si="87"/>
        <v>425.59999999999997</v>
      </c>
      <c r="L405" s="4">
        <f t="shared" si="87"/>
        <v>425.59999999999997</v>
      </c>
      <c r="M405" s="4">
        <f t="shared" si="87"/>
        <v>425.59999999999997</v>
      </c>
      <c r="N405" s="4">
        <f t="shared" si="87"/>
        <v>422.79999999999995</v>
      </c>
      <c r="O405" s="4">
        <f t="shared" si="87"/>
        <v>422.79999999999995</v>
      </c>
      <c r="P405" s="4">
        <f t="shared" si="87"/>
        <v>422.79999999999995</v>
      </c>
      <c r="Q405" s="4">
        <f t="shared" si="87"/>
        <v>422.79999999999995</v>
      </c>
      <c r="R405" s="4">
        <f t="shared" si="87"/>
        <v>0</v>
      </c>
      <c r="S405" s="4">
        <f t="shared" si="87"/>
        <v>0</v>
      </c>
      <c r="T405" s="4">
        <f t="shared" si="87"/>
        <v>220.5</v>
      </c>
      <c r="U405" s="4">
        <f t="shared" si="87"/>
        <v>220.5</v>
      </c>
      <c r="V405" s="4">
        <f t="shared" si="87"/>
        <v>0</v>
      </c>
      <c r="W405" s="4">
        <f t="shared" si="87"/>
        <v>0</v>
      </c>
    </row>
    <row r="406" spans="1:23" x14ac:dyDescent="0.2">
      <c r="A406">
        <v>17</v>
      </c>
      <c r="B406" s="1">
        <v>37073</v>
      </c>
      <c r="D406" s="4">
        <f t="shared" si="85"/>
        <v>0</v>
      </c>
      <c r="E406" s="4">
        <f t="shared" si="85"/>
        <v>0</v>
      </c>
      <c r="F406" s="4">
        <f t="shared" ref="F406:W406" si="88">F67*$M$17</f>
        <v>2958.8999999999996</v>
      </c>
      <c r="G406" s="4">
        <f t="shared" si="88"/>
        <v>2958.8999999999996</v>
      </c>
      <c r="H406" s="4">
        <f t="shared" si="88"/>
        <v>651</v>
      </c>
      <c r="I406" s="4">
        <f t="shared" si="88"/>
        <v>651</v>
      </c>
      <c r="J406" s="4">
        <f t="shared" si="88"/>
        <v>425.59999999999997</v>
      </c>
      <c r="K406" s="4">
        <f t="shared" si="88"/>
        <v>425.59999999999997</v>
      </c>
      <c r="L406" s="4">
        <f t="shared" si="88"/>
        <v>425.59999999999997</v>
      </c>
      <c r="M406" s="4">
        <f t="shared" si="88"/>
        <v>425.59999999999997</v>
      </c>
      <c r="N406" s="4">
        <f t="shared" si="88"/>
        <v>422.79999999999995</v>
      </c>
      <c r="O406" s="4">
        <f t="shared" si="88"/>
        <v>422.79999999999995</v>
      </c>
      <c r="P406" s="4">
        <f t="shared" si="88"/>
        <v>422.79999999999995</v>
      </c>
      <c r="Q406" s="4">
        <f t="shared" si="88"/>
        <v>422.79999999999995</v>
      </c>
      <c r="R406" s="4">
        <f t="shared" si="88"/>
        <v>441</v>
      </c>
      <c r="S406" s="4">
        <f t="shared" si="88"/>
        <v>441</v>
      </c>
      <c r="T406" s="4">
        <f t="shared" si="88"/>
        <v>441</v>
      </c>
      <c r="U406" s="4">
        <f t="shared" si="88"/>
        <v>441</v>
      </c>
      <c r="V406" s="4">
        <f t="shared" si="88"/>
        <v>0</v>
      </c>
      <c r="W406" s="4">
        <f t="shared" si="88"/>
        <v>0</v>
      </c>
    </row>
    <row r="407" spans="1:23" x14ac:dyDescent="0.2">
      <c r="A407">
        <v>18</v>
      </c>
      <c r="B407" s="1">
        <v>37104</v>
      </c>
      <c r="D407" s="4">
        <f t="shared" si="85"/>
        <v>0</v>
      </c>
      <c r="E407" s="4">
        <f t="shared" si="85"/>
        <v>0</v>
      </c>
      <c r="F407" s="4">
        <v>0</v>
      </c>
      <c r="G407" s="4">
        <v>0</v>
      </c>
      <c r="H407" s="4">
        <f t="shared" ref="H407:W407" si="89">H68*$M$17</f>
        <v>651</v>
      </c>
      <c r="I407" s="4">
        <f t="shared" si="89"/>
        <v>651</v>
      </c>
      <c r="J407" s="4">
        <f t="shared" si="89"/>
        <v>425.59999999999997</v>
      </c>
      <c r="K407" s="4">
        <f t="shared" si="89"/>
        <v>425.59999999999997</v>
      </c>
      <c r="L407" s="4">
        <f t="shared" si="89"/>
        <v>425.59999999999997</v>
      </c>
      <c r="M407" s="4">
        <f t="shared" si="89"/>
        <v>425.59999999999997</v>
      </c>
      <c r="N407" s="4">
        <f t="shared" si="89"/>
        <v>422.79999999999995</v>
      </c>
      <c r="O407" s="4">
        <f t="shared" si="89"/>
        <v>422.79999999999995</v>
      </c>
      <c r="P407" s="4">
        <f t="shared" si="89"/>
        <v>422.79999999999995</v>
      </c>
      <c r="Q407" s="4">
        <f t="shared" si="89"/>
        <v>422.79999999999995</v>
      </c>
      <c r="R407" s="4">
        <f t="shared" si="89"/>
        <v>441</v>
      </c>
      <c r="S407" s="4">
        <f t="shared" si="89"/>
        <v>441</v>
      </c>
      <c r="T407" s="4">
        <f t="shared" si="89"/>
        <v>441</v>
      </c>
      <c r="U407" s="4">
        <f t="shared" si="89"/>
        <v>441</v>
      </c>
      <c r="V407" s="4">
        <f t="shared" si="89"/>
        <v>0</v>
      </c>
      <c r="W407" s="4">
        <f t="shared" si="89"/>
        <v>0</v>
      </c>
    </row>
    <row r="408" spans="1:23" x14ac:dyDescent="0.2">
      <c r="A408">
        <v>19</v>
      </c>
      <c r="B408" s="1">
        <v>37135</v>
      </c>
      <c r="D408" s="4">
        <f t="shared" si="85"/>
        <v>0</v>
      </c>
      <c r="E408" s="4">
        <f t="shared" si="85"/>
        <v>0</v>
      </c>
      <c r="F408" s="4">
        <f t="shared" ref="F408:G435" si="90">F69*$M$17</f>
        <v>0</v>
      </c>
      <c r="G408" s="4">
        <f t="shared" si="90"/>
        <v>0</v>
      </c>
      <c r="H408" s="4">
        <f t="shared" ref="H408:W408" si="91">H69*$M$17</f>
        <v>2958.8999999999996</v>
      </c>
      <c r="I408" s="4">
        <f t="shared" si="91"/>
        <v>2958.8999999999996</v>
      </c>
      <c r="J408" s="4">
        <f t="shared" si="91"/>
        <v>425.59999999999997</v>
      </c>
      <c r="K408" s="4">
        <f t="shared" si="91"/>
        <v>425.59999999999997</v>
      </c>
      <c r="L408" s="4">
        <f t="shared" si="91"/>
        <v>425.59999999999997</v>
      </c>
      <c r="M408" s="4">
        <f t="shared" si="91"/>
        <v>425.59999999999997</v>
      </c>
      <c r="N408" s="4">
        <f t="shared" si="91"/>
        <v>422.79999999999995</v>
      </c>
      <c r="O408" s="4">
        <f t="shared" si="91"/>
        <v>422.79999999999995</v>
      </c>
      <c r="P408" s="4">
        <f t="shared" si="91"/>
        <v>422.79999999999995</v>
      </c>
      <c r="Q408" s="4">
        <f t="shared" si="91"/>
        <v>422.79999999999995</v>
      </c>
      <c r="R408" s="4">
        <f t="shared" si="91"/>
        <v>441</v>
      </c>
      <c r="S408" s="4">
        <f t="shared" si="91"/>
        <v>441</v>
      </c>
      <c r="T408" s="4">
        <f t="shared" si="91"/>
        <v>441</v>
      </c>
      <c r="U408" s="4">
        <f t="shared" si="91"/>
        <v>441</v>
      </c>
      <c r="V408" s="4">
        <f t="shared" si="91"/>
        <v>0</v>
      </c>
      <c r="W408" s="4">
        <f t="shared" si="91"/>
        <v>0</v>
      </c>
    </row>
    <row r="409" spans="1:23" x14ac:dyDescent="0.2">
      <c r="A409">
        <v>20</v>
      </c>
      <c r="B409" s="1">
        <v>37165</v>
      </c>
      <c r="D409" s="4">
        <f t="shared" si="85"/>
        <v>0</v>
      </c>
      <c r="E409" s="4">
        <f t="shared" si="85"/>
        <v>0</v>
      </c>
      <c r="F409" s="4">
        <f t="shared" si="90"/>
        <v>0</v>
      </c>
      <c r="G409" s="4">
        <f t="shared" si="90"/>
        <v>0</v>
      </c>
      <c r="H409" s="4">
        <v>0</v>
      </c>
      <c r="I409" s="4">
        <v>0</v>
      </c>
      <c r="J409" s="4">
        <f t="shared" ref="J409:W409" si="92">J70*$M$17</f>
        <v>425.59999999999997</v>
      </c>
      <c r="K409" s="4">
        <f t="shared" si="92"/>
        <v>425.59999999999997</v>
      </c>
      <c r="L409" s="4">
        <f t="shared" si="92"/>
        <v>425.59999999999997</v>
      </c>
      <c r="M409" s="4">
        <f t="shared" si="92"/>
        <v>425.59999999999997</v>
      </c>
      <c r="N409" s="4">
        <f t="shared" si="92"/>
        <v>422.79999999999995</v>
      </c>
      <c r="O409" s="4">
        <f t="shared" si="92"/>
        <v>422.79999999999995</v>
      </c>
      <c r="P409" s="4">
        <f t="shared" si="92"/>
        <v>422.79999999999995</v>
      </c>
      <c r="Q409" s="4">
        <f t="shared" si="92"/>
        <v>422.79999999999995</v>
      </c>
      <c r="R409" s="4">
        <f t="shared" si="92"/>
        <v>441</v>
      </c>
      <c r="S409" s="4">
        <f t="shared" si="92"/>
        <v>441</v>
      </c>
      <c r="T409" s="4">
        <f t="shared" si="92"/>
        <v>441</v>
      </c>
      <c r="U409" s="4">
        <f t="shared" si="92"/>
        <v>441</v>
      </c>
      <c r="V409" s="4">
        <f t="shared" si="92"/>
        <v>437.5</v>
      </c>
      <c r="W409" s="4">
        <f t="shared" si="92"/>
        <v>437.5</v>
      </c>
    </row>
    <row r="410" spans="1:23" x14ac:dyDescent="0.2">
      <c r="A410">
        <v>21</v>
      </c>
      <c r="B410" s="1">
        <v>37196</v>
      </c>
      <c r="D410" s="4">
        <f t="shared" si="85"/>
        <v>0</v>
      </c>
      <c r="E410" s="4">
        <f t="shared" si="85"/>
        <v>0</v>
      </c>
      <c r="F410" s="4">
        <f t="shared" si="90"/>
        <v>0</v>
      </c>
      <c r="G410" s="4">
        <f t="shared" si="90"/>
        <v>0</v>
      </c>
      <c r="H410" s="4">
        <f t="shared" ref="H410:I435" si="93">H71*$M$17</f>
        <v>0</v>
      </c>
      <c r="I410" s="4">
        <f t="shared" si="93"/>
        <v>0</v>
      </c>
      <c r="J410" s="4">
        <f t="shared" ref="J410:W410" si="94">J71*$M$17</f>
        <v>425.59999999999997</v>
      </c>
      <c r="K410" s="4">
        <f t="shared" si="94"/>
        <v>425.59999999999997</v>
      </c>
      <c r="L410" s="4">
        <f t="shared" si="94"/>
        <v>425.59999999999997</v>
      </c>
      <c r="M410" s="4">
        <f t="shared" si="94"/>
        <v>425.59999999999997</v>
      </c>
      <c r="N410" s="4">
        <f t="shared" si="94"/>
        <v>422.79999999999995</v>
      </c>
      <c r="O410" s="4">
        <f t="shared" si="94"/>
        <v>422.79999999999995</v>
      </c>
      <c r="P410" s="4">
        <f t="shared" si="94"/>
        <v>422.79999999999995</v>
      </c>
      <c r="Q410" s="4">
        <f t="shared" si="94"/>
        <v>422.79999999999995</v>
      </c>
      <c r="R410" s="4">
        <f t="shared" si="94"/>
        <v>441</v>
      </c>
      <c r="S410" s="4">
        <f t="shared" si="94"/>
        <v>441</v>
      </c>
      <c r="T410" s="4">
        <f t="shared" si="94"/>
        <v>441</v>
      </c>
      <c r="U410" s="4">
        <f t="shared" si="94"/>
        <v>441</v>
      </c>
      <c r="V410" s="4">
        <f t="shared" si="94"/>
        <v>437.5</v>
      </c>
      <c r="W410" s="4">
        <f t="shared" si="94"/>
        <v>437.5</v>
      </c>
    </row>
    <row r="411" spans="1:23" x14ac:dyDescent="0.2">
      <c r="A411">
        <v>22</v>
      </c>
      <c r="B411" s="1">
        <v>37226</v>
      </c>
      <c r="D411" s="4">
        <f t="shared" si="85"/>
        <v>0</v>
      </c>
      <c r="E411" s="4">
        <f t="shared" si="85"/>
        <v>0</v>
      </c>
      <c r="F411" s="4">
        <f t="shared" si="90"/>
        <v>0</v>
      </c>
      <c r="G411" s="4">
        <f t="shared" si="90"/>
        <v>0</v>
      </c>
      <c r="H411" s="4">
        <f t="shared" si="93"/>
        <v>0</v>
      </c>
      <c r="I411" s="4">
        <f t="shared" si="93"/>
        <v>0</v>
      </c>
      <c r="J411" s="4">
        <f t="shared" ref="J411:W411" si="95">J72*$M$17</f>
        <v>486.49999999999994</v>
      </c>
      <c r="K411" s="4">
        <f t="shared" si="95"/>
        <v>486.49999999999994</v>
      </c>
      <c r="L411" s="4">
        <f t="shared" si="95"/>
        <v>486.49999999999994</v>
      </c>
      <c r="M411" s="4">
        <f t="shared" si="95"/>
        <v>486.49999999999994</v>
      </c>
      <c r="N411" s="4">
        <f t="shared" si="95"/>
        <v>422.79999999999995</v>
      </c>
      <c r="O411" s="4">
        <f t="shared" si="95"/>
        <v>422.79999999999995</v>
      </c>
      <c r="P411" s="4">
        <f t="shared" si="95"/>
        <v>422.79999999999995</v>
      </c>
      <c r="Q411" s="4">
        <f t="shared" si="95"/>
        <v>422.79999999999995</v>
      </c>
      <c r="R411" s="4">
        <f t="shared" si="95"/>
        <v>441</v>
      </c>
      <c r="S411" s="4">
        <f t="shared" si="95"/>
        <v>441</v>
      </c>
      <c r="T411" s="4">
        <f t="shared" si="95"/>
        <v>441</v>
      </c>
      <c r="U411" s="4">
        <f t="shared" si="95"/>
        <v>441</v>
      </c>
      <c r="V411" s="4">
        <f t="shared" si="95"/>
        <v>437.5</v>
      </c>
      <c r="W411" s="4">
        <f t="shared" si="95"/>
        <v>437.5</v>
      </c>
    </row>
    <row r="412" spans="1:23" x14ac:dyDescent="0.2">
      <c r="A412">
        <v>23</v>
      </c>
      <c r="B412" s="1">
        <v>37257</v>
      </c>
      <c r="D412" s="4">
        <f t="shared" si="85"/>
        <v>0</v>
      </c>
      <c r="E412" s="4">
        <f t="shared" si="85"/>
        <v>0</v>
      </c>
      <c r="F412" s="4">
        <f t="shared" si="90"/>
        <v>0</v>
      </c>
      <c r="G412" s="4">
        <f t="shared" si="90"/>
        <v>0</v>
      </c>
      <c r="H412" s="4">
        <f t="shared" si="93"/>
        <v>0</v>
      </c>
      <c r="I412" s="4">
        <f t="shared" si="93"/>
        <v>0</v>
      </c>
      <c r="J412" s="4">
        <f t="shared" ref="J412:W412" si="96">J73*$M$17</f>
        <v>3039.75</v>
      </c>
      <c r="K412" s="4">
        <f t="shared" si="96"/>
        <v>3039.75</v>
      </c>
      <c r="L412" s="4">
        <f t="shared" si="96"/>
        <v>3039.75</v>
      </c>
      <c r="M412" s="4">
        <f t="shared" si="96"/>
        <v>3039.75</v>
      </c>
      <c r="N412" s="4">
        <f t="shared" si="96"/>
        <v>422.79999999999995</v>
      </c>
      <c r="O412" s="4">
        <f t="shared" si="96"/>
        <v>422.79999999999995</v>
      </c>
      <c r="P412" s="4">
        <f t="shared" si="96"/>
        <v>422.79999999999995</v>
      </c>
      <c r="Q412" s="4">
        <f t="shared" si="96"/>
        <v>422.79999999999995</v>
      </c>
      <c r="R412" s="4">
        <f t="shared" si="96"/>
        <v>441</v>
      </c>
      <c r="S412" s="4">
        <f t="shared" si="96"/>
        <v>441</v>
      </c>
      <c r="T412" s="4">
        <f t="shared" si="96"/>
        <v>441</v>
      </c>
      <c r="U412" s="4">
        <f t="shared" si="96"/>
        <v>441</v>
      </c>
      <c r="V412" s="4">
        <f t="shared" si="96"/>
        <v>437.5</v>
      </c>
      <c r="W412" s="4">
        <f t="shared" si="96"/>
        <v>437.5</v>
      </c>
    </row>
    <row r="413" spans="1:23" x14ac:dyDescent="0.2">
      <c r="A413">
        <v>24</v>
      </c>
      <c r="B413" s="1">
        <v>37288</v>
      </c>
      <c r="D413" s="4">
        <f t="shared" si="85"/>
        <v>0</v>
      </c>
      <c r="E413" s="4">
        <f t="shared" si="85"/>
        <v>0</v>
      </c>
      <c r="F413" s="4">
        <f t="shared" si="90"/>
        <v>0</v>
      </c>
      <c r="G413" s="4">
        <f t="shared" si="90"/>
        <v>0</v>
      </c>
      <c r="H413" s="4">
        <f t="shared" si="93"/>
        <v>0</v>
      </c>
      <c r="I413" s="4">
        <f t="shared" si="93"/>
        <v>0</v>
      </c>
      <c r="J413" s="4">
        <v>0</v>
      </c>
      <c r="K413" s="4">
        <v>0</v>
      </c>
      <c r="L413" s="4">
        <v>0</v>
      </c>
      <c r="M413" s="4">
        <v>0</v>
      </c>
      <c r="N413" s="4">
        <f t="shared" ref="N413:W413" si="97">N74*$M$17</f>
        <v>482.99999999999994</v>
      </c>
      <c r="O413" s="4">
        <f t="shared" si="97"/>
        <v>482.99999999999994</v>
      </c>
      <c r="P413" s="4">
        <f t="shared" si="97"/>
        <v>422.79999999999995</v>
      </c>
      <c r="Q413" s="4">
        <f t="shared" si="97"/>
        <v>422.79999999999995</v>
      </c>
      <c r="R413" s="4">
        <f t="shared" si="97"/>
        <v>441</v>
      </c>
      <c r="S413" s="4">
        <f t="shared" si="97"/>
        <v>441</v>
      </c>
      <c r="T413" s="4">
        <f t="shared" si="97"/>
        <v>441</v>
      </c>
      <c r="U413" s="4">
        <f t="shared" si="97"/>
        <v>441</v>
      </c>
      <c r="V413" s="4">
        <f t="shared" si="97"/>
        <v>437.5</v>
      </c>
      <c r="W413" s="4">
        <f t="shared" si="97"/>
        <v>437.5</v>
      </c>
    </row>
    <row r="414" spans="1:23" x14ac:dyDescent="0.2">
      <c r="A414">
        <v>25</v>
      </c>
      <c r="B414" s="1">
        <v>37316</v>
      </c>
      <c r="D414" s="4">
        <f t="shared" si="85"/>
        <v>0</v>
      </c>
      <c r="E414" s="4">
        <f t="shared" si="85"/>
        <v>0</v>
      </c>
      <c r="F414" s="4">
        <f t="shared" si="90"/>
        <v>0</v>
      </c>
      <c r="G414" s="4">
        <f t="shared" si="90"/>
        <v>0</v>
      </c>
      <c r="H414" s="4">
        <f t="shared" si="93"/>
        <v>0</v>
      </c>
      <c r="I414" s="4">
        <f t="shared" si="93"/>
        <v>0</v>
      </c>
      <c r="J414" s="4">
        <f t="shared" ref="J414:M435" si="98">J75*$M$17</f>
        <v>0</v>
      </c>
      <c r="K414" s="4">
        <f t="shared" si="98"/>
        <v>0</v>
      </c>
      <c r="L414" s="4">
        <f t="shared" si="98"/>
        <v>0</v>
      </c>
      <c r="M414" s="4">
        <f t="shared" si="98"/>
        <v>0</v>
      </c>
      <c r="N414" s="4">
        <f t="shared" ref="N414:W414" si="99">N75*$M$17</f>
        <v>3018.75</v>
      </c>
      <c r="O414" s="4">
        <f t="shared" si="99"/>
        <v>3018.75</v>
      </c>
      <c r="P414" s="4">
        <f t="shared" si="99"/>
        <v>422.79999999999995</v>
      </c>
      <c r="Q414" s="4">
        <f t="shared" si="99"/>
        <v>422.79999999999995</v>
      </c>
      <c r="R414" s="4">
        <f t="shared" si="99"/>
        <v>441</v>
      </c>
      <c r="S414" s="4">
        <f t="shared" si="99"/>
        <v>441</v>
      </c>
      <c r="T414" s="4">
        <f t="shared" si="99"/>
        <v>441</v>
      </c>
      <c r="U414" s="4">
        <f t="shared" si="99"/>
        <v>441</v>
      </c>
      <c r="V414" s="4">
        <f t="shared" si="99"/>
        <v>437.5</v>
      </c>
      <c r="W414" s="4">
        <f t="shared" si="99"/>
        <v>437.5</v>
      </c>
    </row>
    <row r="415" spans="1:23" x14ac:dyDescent="0.2">
      <c r="A415">
        <v>26</v>
      </c>
      <c r="B415" s="1">
        <v>37347</v>
      </c>
      <c r="D415" s="4">
        <f t="shared" si="85"/>
        <v>0</v>
      </c>
      <c r="E415" s="4">
        <f t="shared" si="85"/>
        <v>0</v>
      </c>
      <c r="F415" s="4">
        <f t="shared" si="90"/>
        <v>0</v>
      </c>
      <c r="G415" s="4">
        <f t="shared" si="90"/>
        <v>0</v>
      </c>
      <c r="H415" s="4">
        <f t="shared" si="93"/>
        <v>0</v>
      </c>
      <c r="I415" s="4">
        <f t="shared" si="93"/>
        <v>0</v>
      </c>
      <c r="J415" s="4">
        <f t="shared" si="98"/>
        <v>0</v>
      </c>
      <c r="K415" s="4">
        <f t="shared" si="98"/>
        <v>0</v>
      </c>
      <c r="L415" s="4">
        <f t="shared" si="98"/>
        <v>0</v>
      </c>
      <c r="M415" s="4">
        <f t="shared" si="98"/>
        <v>0</v>
      </c>
      <c r="N415" s="4">
        <v>0</v>
      </c>
      <c r="O415" s="4">
        <v>0</v>
      </c>
      <c r="P415" s="4">
        <f t="shared" ref="P415:W421" si="100">P76*$M$17</f>
        <v>422.79999999999995</v>
      </c>
      <c r="Q415" s="4">
        <f t="shared" si="100"/>
        <v>422.79999999999995</v>
      </c>
      <c r="R415" s="4">
        <f t="shared" si="100"/>
        <v>441</v>
      </c>
      <c r="S415" s="4">
        <f t="shared" si="100"/>
        <v>441</v>
      </c>
      <c r="T415" s="4">
        <f t="shared" si="100"/>
        <v>441</v>
      </c>
      <c r="U415" s="4">
        <f t="shared" si="100"/>
        <v>441</v>
      </c>
      <c r="V415" s="4">
        <f t="shared" si="100"/>
        <v>437.5</v>
      </c>
      <c r="W415" s="4">
        <f t="shared" si="100"/>
        <v>437.5</v>
      </c>
    </row>
    <row r="416" spans="1:23" x14ac:dyDescent="0.2">
      <c r="A416">
        <v>27</v>
      </c>
      <c r="B416" s="1">
        <v>37377</v>
      </c>
      <c r="D416" s="4">
        <f t="shared" si="85"/>
        <v>0</v>
      </c>
      <c r="E416" s="4">
        <f t="shared" si="85"/>
        <v>0</v>
      </c>
      <c r="F416" s="4">
        <f t="shared" si="90"/>
        <v>0</v>
      </c>
      <c r="G416" s="4">
        <f t="shared" si="90"/>
        <v>0</v>
      </c>
      <c r="H416" s="4">
        <f t="shared" si="93"/>
        <v>0</v>
      </c>
      <c r="I416" s="4">
        <f t="shared" si="93"/>
        <v>0</v>
      </c>
      <c r="J416" s="4">
        <f t="shared" si="98"/>
        <v>0</v>
      </c>
      <c r="K416" s="4">
        <f t="shared" si="98"/>
        <v>0</v>
      </c>
      <c r="L416" s="4">
        <f t="shared" si="98"/>
        <v>0</v>
      </c>
      <c r="M416" s="4">
        <f t="shared" si="98"/>
        <v>0</v>
      </c>
      <c r="N416" s="4">
        <f t="shared" ref="N416:O435" si="101">N77*$M$17</f>
        <v>0</v>
      </c>
      <c r="O416" s="4">
        <f t="shared" si="101"/>
        <v>0</v>
      </c>
      <c r="P416" s="4">
        <f t="shared" si="100"/>
        <v>422.79999999999995</v>
      </c>
      <c r="Q416" s="4">
        <f t="shared" si="100"/>
        <v>422.79999999999995</v>
      </c>
      <c r="R416" s="4">
        <f t="shared" si="100"/>
        <v>441</v>
      </c>
      <c r="S416" s="4">
        <f t="shared" si="100"/>
        <v>441</v>
      </c>
      <c r="T416" s="4">
        <f t="shared" si="100"/>
        <v>441</v>
      </c>
      <c r="U416" s="4">
        <f t="shared" si="100"/>
        <v>441</v>
      </c>
      <c r="V416" s="4">
        <f t="shared" si="100"/>
        <v>437.5</v>
      </c>
      <c r="W416" s="4">
        <f t="shared" si="100"/>
        <v>437.5</v>
      </c>
    </row>
    <row r="417" spans="1:23" x14ac:dyDescent="0.2">
      <c r="A417">
        <v>28</v>
      </c>
      <c r="B417" s="1">
        <v>37408</v>
      </c>
      <c r="D417" s="4">
        <f t="shared" si="85"/>
        <v>0</v>
      </c>
      <c r="E417" s="4">
        <f t="shared" si="85"/>
        <v>0</v>
      </c>
      <c r="F417" s="4">
        <f t="shared" si="90"/>
        <v>0</v>
      </c>
      <c r="G417" s="4">
        <f t="shared" si="90"/>
        <v>0</v>
      </c>
      <c r="H417" s="4">
        <f t="shared" si="93"/>
        <v>0</v>
      </c>
      <c r="I417" s="4">
        <f t="shared" si="93"/>
        <v>0</v>
      </c>
      <c r="J417" s="4">
        <f t="shared" si="98"/>
        <v>0</v>
      </c>
      <c r="K417" s="4">
        <f t="shared" si="98"/>
        <v>0</v>
      </c>
      <c r="L417" s="4">
        <f t="shared" si="98"/>
        <v>0</v>
      </c>
      <c r="M417" s="4">
        <f t="shared" si="98"/>
        <v>0</v>
      </c>
      <c r="N417" s="4">
        <f t="shared" si="101"/>
        <v>0</v>
      </c>
      <c r="O417" s="4">
        <f t="shared" si="101"/>
        <v>0</v>
      </c>
      <c r="P417" s="4">
        <f t="shared" si="100"/>
        <v>422.79999999999995</v>
      </c>
      <c r="Q417" s="4">
        <f t="shared" si="100"/>
        <v>422.79999999999995</v>
      </c>
      <c r="R417" s="4">
        <f t="shared" si="100"/>
        <v>441</v>
      </c>
      <c r="S417" s="4">
        <f t="shared" si="100"/>
        <v>441</v>
      </c>
      <c r="T417" s="4">
        <f t="shared" si="100"/>
        <v>441</v>
      </c>
      <c r="U417" s="4">
        <f t="shared" si="100"/>
        <v>441</v>
      </c>
      <c r="V417" s="4">
        <f t="shared" si="100"/>
        <v>437.5</v>
      </c>
      <c r="W417" s="4">
        <f t="shared" si="100"/>
        <v>437.5</v>
      </c>
    </row>
    <row r="418" spans="1:23" x14ac:dyDescent="0.2">
      <c r="A418">
        <v>29</v>
      </c>
      <c r="B418" s="1">
        <v>37438</v>
      </c>
      <c r="D418" s="4">
        <f t="shared" si="85"/>
        <v>0</v>
      </c>
      <c r="E418" s="4">
        <f t="shared" si="85"/>
        <v>0</v>
      </c>
      <c r="F418" s="4">
        <f t="shared" si="90"/>
        <v>0</v>
      </c>
      <c r="G418" s="4">
        <f t="shared" si="90"/>
        <v>0</v>
      </c>
      <c r="H418" s="4">
        <f t="shared" si="93"/>
        <v>0</v>
      </c>
      <c r="I418" s="4">
        <f t="shared" si="93"/>
        <v>0</v>
      </c>
      <c r="J418" s="4">
        <f t="shared" si="98"/>
        <v>0</v>
      </c>
      <c r="K418" s="4">
        <f t="shared" si="98"/>
        <v>0</v>
      </c>
      <c r="L418" s="4">
        <f t="shared" si="98"/>
        <v>0</v>
      </c>
      <c r="M418" s="4">
        <f t="shared" si="98"/>
        <v>0</v>
      </c>
      <c r="N418" s="4">
        <f t="shared" si="101"/>
        <v>0</v>
      </c>
      <c r="O418" s="4">
        <f t="shared" si="101"/>
        <v>0</v>
      </c>
      <c r="P418" s="4">
        <f t="shared" si="100"/>
        <v>422.79999999999995</v>
      </c>
      <c r="Q418" s="4">
        <f t="shared" si="100"/>
        <v>422.79999999999995</v>
      </c>
      <c r="R418" s="4">
        <f t="shared" si="100"/>
        <v>441</v>
      </c>
      <c r="S418" s="4">
        <f t="shared" si="100"/>
        <v>441</v>
      </c>
      <c r="T418" s="4">
        <f t="shared" si="100"/>
        <v>441</v>
      </c>
      <c r="U418" s="4">
        <f t="shared" si="100"/>
        <v>441</v>
      </c>
      <c r="V418" s="4">
        <f t="shared" si="100"/>
        <v>437.5</v>
      </c>
      <c r="W418" s="4">
        <f t="shared" si="100"/>
        <v>437.5</v>
      </c>
    </row>
    <row r="419" spans="1:23" x14ac:dyDescent="0.2">
      <c r="A419">
        <v>30</v>
      </c>
      <c r="B419" s="1">
        <v>37469</v>
      </c>
      <c r="D419" s="4">
        <f t="shared" si="85"/>
        <v>0</v>
      </c>
      <c r="E419" s="4">
        <f t="shared" si="85"/>
        <v>0</v>
      </c>
      <c r="F419" s="4">
        <f t="shared" si="90"/>
        <v>0</v>
      </c>
      <c r="G419" s="4">
        <f t="shared" si="90"/>
        <v>0</v>
      </c>
      <c r="H419" s="4">
        <f t="shared" si="93"/>
        <v>0</v>
      </c>
      <c r="I419" s="4">
        <f t="shared" si="93"/>
        <v>0</v>
      </c>
      <c r="J419" s="4">
        <f t="shared" si="98"/>
        <v>0</v>
      </c>
      <c r="K419" s="4">
        <f t="shared" si="98"/>
        <v>0</v>
      </c>
      <c r="L419" s="4">
        <f t="shared" si="98"/>
        <v>0</v>
      </c>
      <c r="M419" s="4">
        <f t="shared" si="98"/>
        <v>0</v>
      </c>
      <c r="N419" s="4">
        <f t="shared" si="101"/>
        <v>0</v>
      </c>
      <c r="O419" s="4">
        <f t="shared" si="101"/>
        <v>0</v>
      </c>
      <c r="P419" s="4">
        <f t="shared" si="100"/>
        <v>422.79999999999995</v>
      </c>
      <c r="Q419" s="4">
        <f t="shared" si="100"/>
        <v>422.79999999999995</v>
      </c>
      <c r="R419" s="4">
        <f t="shared" si="100"/>
        <v>441</v>
      </c>
      <c r="S419" s="4">
        <f t="shared" si="100"/>
        <v>441</v>
      </c>
      <c r="T419" s="4">
        <f t="shared" si="100"/>
        <v>441</v>
      </c>
      <c r="U419" s="4">
        <f t="shared" si="100"/>
        <v>441</v>
      </c>
      <c r="V419" s="4">
        <f t="shared" si="100"/>
        <v>437.5</v>
      </c>
      <c r="W419" s="4">
        <f t="shared" si="100"/>
        <v>437.5</v>
      </c>
    </row>
    <row r="420" spans="1:23" x14ac:dyDescent="0.2">
      <c r="A420">
        <v>31</v>
      </c>
      <c r="B420" s="1">
        <v>37500</v>
      </c>
      <c r="D420" s="4">
        <f t="shared" si="85"/>
        <v>0</v>
      </c>
      <c r="E420" s="4">
        <f t="shared" si="85"/>
        <v>0</v>
      </c>
      <c r="F420" s="4">
        <f t="shared" si="90"/>
        <v>0</v>
      </c>
      <c r="G420" s="4">
        <f t="shared" si="90"/>
        <v>0</v>
      </c>
      <c r="H420" s="4">
        <f t="shared" si="93"/>
        <v>0</v>
      </c>
      <c r="I420" s="4">
        <f t="shared" si="93"/>
        <v>0</v>
      </c>
      <c r="J420" s="4">
        <f t="shared" si="98"/>
        <v>0</v>
      </c>
      <c r="K420" s="4">
        <f t="shared" si="98"/>
        <v>0</v>
      </c>
      <c r="L420" s="4">
        <f t="shared" si="98"/>
        <v>0</v>
      </c>
      <c r="M420" s="4">
        <f t="shared" si="98"/>
        <v>0</v>
      </c>
      <c r="N420" s="4">
        <f t="shared" si="101"/>
        <v>0</v>
      </c>
      <c r="O420" s="4">
        <f t="shared" si="101"/>
        <v>0</v>
      </c>
      <c r="P420" s="4">
        <f t="shared" si="100"/>
        <v>482.99999999999994</v>
      </c>
      <c r="Q420" s="4">
        <f t="shared" si="100"/>
        <v>482.99999999999994</v>
      </c>
      <c r="R420" s="4">
        <f t="shared" si="100"/>
        <v>441</v>
      </c>
      <c r="S420" s="4">
        <f t="shared" si="100"/>
        <v>441</v>
      </c>
      <c r="T420" s="4">
        <f t="shared" si="100"/>
        <v>441</v>
      </c>
      <c r="U420" s="4">
        <f t="shared" si="100"/>
        <v>441</v>
      </c>
      <c r="V420" s="4">
        <f t="shared" si="100"/>
        <v>437.5</v>
      </c>
      <c r="W420" s="4">
        <f t="shared" si="100"/>
        <v>437.5</v>
      </c>
    </row>
    <row r="421" spans="1:23" x14ac:dyDescent="0.2">
      <c r="A421">
        <v>32</v>
      </c>
      <c r="B421" s="1">
        <v>37530</v>
      </c>
      <c r="D421" s="4">
        <f t="shared" si="85"/>
        <v>0</v>
      </c>
      <c r="E421" s="4">
        <f t="shared" si="85"/>
        <v>0</v>
      </c>
      <c r="F421" s="4">
        <f t="shared" si="90"/>
        <v>0</v>
      </c>
      <c r="G421" s="4">
        <f t="shared" si="90"/>
        <v>0</v>
      </c>
      <c r="H421" s="4">
        <f t="shared" si="93"/>
        <v>0</v>
      </c>
      <c r="I421" s="4">
        <f t="shared" si="93"/>
        <v>0</v>
      </c>
      <c r="J421" s="4">
        <f t="shared" si="98"/>
        <v>0</v>
      </c>
      <c r="K421" s="4">
        <f t="shared" si="98"/>
        <v>0</v>
      </c>
      <c r="L421" s="4">
        <f t="shared" si="98"/>
        <v>0</v>
      </c>
      <c r="M421" s="4">
        <f t="shared" si="98"/>
        <v>0</v>
      </c>
      <c r="N421" s="4">
        <f t="shared" si="101"/>
        <v>0</v>
      </c>
      <c r="O421" s="4">
        <f t="shared" si="101"/>
        <v>0</v>
      </c>
      <c r="P421" s="4">
        <f t="shared" si="100"/>
        <v>3018.75</v>
      </c>
      <c r="Q421" s="4">
        <f t="shared" si="100"/>
        <v>3018.75</v>
      </c>
      <c r="R421" s="4">
        <f t="shared" si="100"/>
        <v>441</v>
      </c>
      <c r="S421" s="4">
        <f t="shared" si="100"/>
        <v>441</v>
      </c>
      <c r="T421" s="4">
        <f t="shared" si="100"/>
        <v>472.49999999999994</v>
      </c>
      <c r="U421" s="4">
        <f t="shared" si="100"/>
        <v>472.49999999999994</v>
      </c>
      <c r="V421" s="4">
        <f t="shared" si="100"/>
        <v>437.5</v>
      </c>
      <c r="W421" s="4">
        <f t="shared" si="100"/>
        <v>437.5</v>
      </c>
    </row>
    <row r="422" spans="1:23" x14ac:dyDescent="0.2">
      <c r="A422">
        <v>33</v>
      </c>
      <c r="B422" s="1">
        <v>37561</v>
      </c>
      <c r="D422" s="4">
        <f t="shared" si="85"/>
        <v>0</v>
      </c>
      <c r="E422" s="4">
        <f t="shared" si="85"/>
        <v>0</v>
      </c>
      <c r="F422" s="4">
        <f t="shared" si="90"/>
        <v>0</v>
      </c>
      <c r="G422" s="4">
        <f t="shared" si="90"/>
        <v>0</v>
      </c>
      <c r="H422" s="4">
        <f t="shared" si="93"/>
        <v>0</v>
      </c>
      <c r="I422" s="4">
        <f t="shared" si="93"/>
        <v>0</v>
      </c>
      <c r="J422" s="4">
        <f t="shared" si="98"/>
        <v>0</v>
      </c>
      <c r="K422" s="4">
        <f t="shared" si="98"/>
        <v>0</v>
      </c>
      <c r="L422" s="4">
        <f t="shared" si="98"/>
        <v>0</v>
      </c>
      <c r="M422" s="4">
        <f t="shared" si="98"/>
        <v>0</v>
      </c>
      <c r="N422" s="4">
        <f t="shared" si="101"/>
        <v>0</v>
      </c>
      <c r="O422" s="4">
        <f t="shared" si="101"/>
        <v>0</v>
      </c>
      <c r="P422" s="4">
        <v>0</v>
      </c>
      <c r="Q422" s="4">
        <v>0</v>
      </c>
      <c r="R422" s="4">
        <f t="shared" ref="R422:W423" si="102">R83*$M$17</f>
        <v>503.99999999999994</v>
      </c>
      <c r="S422" s="4">
        <f t="shared" si="102"/>
        <v>503.99999999999994</v>
      </c>
      <c r="T422" s="4">
        <f t="shared" si="102"/>
        <v>1826.9999999999998</v>
      </c>
      <c r="U422" s="4">
        <f t="shared" si="102"/>
        <v>1826.9999999999998</v>
      </c>
      <c r="V422" s="4">
        <f t="shared" si="102"/>
        <v>437.5</v>
      </c>
      <c r="W422" s="4">
        <f t="shared" si="102"/>
        <v>437.5</v>
      </c>
    </row>
    <row r="423" spans="1:23" x14ac:dyDescent="0.2">
      <c r="A423">
        <v>34</v>
      </c>
      <c r="B423" s="1">
        <v>37591</v>
      </c>
      <c r="D423" s="4">
        <f t="shared" si="85"/>
        <v>0</v>
      </c>
      <c r="E423" s="4">
        <f t="shared" si="85"/>
        <v>0</v>
      </c>
      <c r="F423" s="4">
        <f t="shared" si="90"/>
        <v>0</v>
      </c>
      <c r="G423" s="4">
        <f t="shared" si="90"/>
        <v>0</v>
      </c>
      <c r="H423" s="4">
        <f t="shared" si="93"/>
        <v>0</v>
      </c>
      <c r="I423" s="4">
        <f t="shared" si="93"/>
        <v>0</v>
      </c>
      <c r="J423" s="4">
        <f t="shared" si="98"/>
        <v>0</v>
      </c>
      <c r="K423" s="4">
        <f t="shared" si="98"/>
        <v>0</v>
      </c>
      <c r="L423" s="4">
        <f t="shared" si="98"/>
        <v>0</v>
      </c>
      <c r="M423" s="4">
        <f t="shared" si="98"/>
        <v>0</v>
      </c>
      <c r="N423" s="4">
        <f t="shared" si="101"/>
        <v>0</v>
      </c>
      <c r="O423" s="4">
        <f t="shared" si="101"/>
        <v>0</v>
      </c>
      <c r="P423" s="4">
        <f t="shared" ref="P423:Q435" si="103">P84*$M$17</f>
        <v>0</v>
      </c>
      <c r="Q423" s="4">
        <f t="shared" si="103"/>
        <v>0</v>
      </c>
      <c r="R423" s="4">
        <f t="shared" si="102"/>
        <v>3150</v>
      </c>
      <c r="S423" s="4">
        <f t="shared" si="102"/>
        <v>3150</v>
      </c>
      <c r="T423" s="4">
        <f t="shared" si="102"/>
        <v>1889.9999999999998</v>
      </c>
      <c r="U423" s="4">
        <f t="shared" si="102"/>
        <v>1889.9999999999998</v>
      </c>
      <c r="V423" s="4">
        <f t="shared" si="102"/>
        <v>437.5</v>
      </c>
      <c r="W423" s="4">
        <f t="shared" si="102"/>
        <v>437.5</v>
      </c>
    </row>
    <row r="424" spans="1:23" x14ac:dyDescent="0.2">
      <c r="A424">
        <v>35</v>
      </c>
      <c r="B424" s="1">
        <v>37622</v>
      </c>
      <c r="D424" s="4">
        <f t="shared" si="85"/>
        <v>0</v>
      </c>
      <c r="E424" s="4">
        <f t="shared" si="85"/>
        <v>0</v>
      </c>
      <c r="F424" s="4">
        <f t="shared" si="90"/>
        <v>0</v>
      </c>
      <c r="G424" s="4">
        <f t="shared" si="90"/>
        <v>0</v>
      </c>
      <c r="H424" s="4">
        <f t="shared" si="93"/>
        <v>0</v>
      </c>
      <c r="I424" s="4">
        <f t="shared" si="93"/>
        <v>0</v>
      </c>
      <c r="J424" s="4">
        <f t="shared" si="98"/>
        <v>0</v>
      </c>
      <c r="K424" s="4">
        <f t="shared" si="98"/>
        <v>0</v>
      </c>
      <c r="L424" s="4">
        <f t="shared" si="98"/>
        <v>0</v>
      </c>
      <c r="M424" s="4">
        <f t="shared" si="98"/>
        <v>0</v>
      </c>
      <c r="N424" s="4">
        <f t="shared" si="101"/>
        <v>0</v>
      </c>
      <c r="O424" s="4">
        <f t="shared" si="101"/>
        <v>0</v>
      </c>
      <c r="P424" s="4">
        <f t="shared" si="103"/>
        <v>0</v>
      </c>
      <c r="Q424" s="4">
        <f t="shared" si="103"/>
        <v>0</v>
      </c>
      <c r="R424" s="4">
        <v>0</v>
      </c>
      <c r="S424" s="4">
        <v>0</v>
      </c>
      <c r="T424" s="4">
        <v>0</v>
      </c>
      <c r="U424" s="4">
        <v>0</v>
      </c>
      <c r="V424" s="4">
        <f t="shared" ref="V424:W426" si="104">V85*$M$17</f>
        <v>437.5</v>
      </c>
      <c r="W424" s="4">
        <f t="shared" si="104"/>
        <v>437.5</v>
      </c>
    </row>
    <row r="425" spans="1:23" x14ac:dyDescent="0.2">
      <c r="A425">
        <v>36</v>
      </c>
      <c r="B425" s="1">
        <v>37653</v>
      </c>
      <c r="D425" s="4">
        <f t="shared" si="85"/>
        <v>0</v>
      </c>
      <c r="E425" s="4">
        <f t="shared" si="85"/>
        <v>0</v>
      </c>
      <c r="F425" s="4">
        <f t="shared" si="90"/>
        <v>0</v>
      </c>
      <c r="G425" s="4">
        <f t="shared" si="90"/>
        <v>0</v>
      </c>
      <c r="H425" s="4">
        <f t="shared" si="93"/>
        <v>0</v>
      </c>
      <c r="I425" s="4">
        <f t="shared" si="93"/>
        <v>0</v>
      </c>
      <c r="J425" s="4">
        <f t="shared" si="98"/>
        <v>0</v>
      </c>
      <c r="K425" s="4">
        <f t="shared" si="98"/>
        <v>0</v>
      </c>
      <c r="L425" s="4">
        <f t="shared" si="98"/>
        <v>0</v>
      </c>
      <c r="M425" s="4">
        <f t="shared" si="98"/>
        <v>0</v>
      </c>
      <c r="N425" s="4">
        <f t="shared" si="101"/>
        <v>0</v>
      </c>
      <c r="O425" s="4">
        <f t="shared" si="101"/>
        <v>0</v>
      </c>
      <c r="P425" s="4">
        <f t="shared" si="103"/>
        <v>0</v>
      </c>
      <c r="Q425" s="4">
        <f t="shared" si="103"/>
        <v>0</v>
      </c>
      <c r="R425" s="4">
        <f t="shared" ref="R425:U435" si="105">R86*$M$17</f>
        <v>0</v>
      </c>
      <c r="S425" s="4">
        <f t="shared" si="105"/>
        <v>0</v>
      </c>
      <c r="T425" s="4">
        <f t="shared" si="105"/>
        <v>0</v>
      </c>
      <c r="U425" s="4">
        <f t="shared" si="105"/>
        <v>0</v>
      </c>
      <c r="V425" s="4">
        <f t="shared" si="104"/>
        <v>499.79999999999995</v>
      </c>
      <c r="W425" s="4">
        <f t="shared" si="104"/>
        <v>499.79999999999995</v>
      </c>
    </row>
    <row r="426" spans="1:23" x14ac:dyDescent="0.2">
      <c r="A426">
        <v>37</v>
      </c>
      <c r="B426" s="1">
        <v>37681</v>
      </c>
      <c r="D426" s="4">
        <f t="shared" si="85"/>
        <v>0</v>
      </c>
      <c r="E426" s="4">
        <f t="shared" si="85"/>
        <v>0</v>
      </c>
      <c r="F426" s="4">
        <f t="shared" si="90"/>
        <v>0</v>
      </c>
      <c r="G426" s="4">
        <f t="shared" si="90"/>
        <v>0</v>
      </c>
      <c r="H426" s="4">
        <f t="shared" si="93"/>
        <v>0</v>
      </c>
      <c r="I426" s="4">
        <f t="shared" si="93"/>
        <v>0</v>
      </c>
      <c r="J426" s="4">
        <f t="shared" si="98"/>
        <v>0</v>
      </c>
      <c r="K426" s="4">
        <f t="shared" si="98"/>
        <v>0</v>
      </c>
      <c r="L426" s="4">
        <f t="shared" si="98"/>
        <v>0</v>
      </c>
      <c r="M426" s="4">
        <f t="shared" si="98"/>
        <v>0</v>
      </c>
      <c r="N426" s="4">
        <f t="shared" si="101"/>
        <v>0</v>
      </c>
      <c r="O426" s="4">
        <f t="shared" si="101"/>
        <v>0</v>
      </c>
      <c r="P426" s="4">
        <f t="shared" si="103"/>
        <v>0</v>
      </c>
      <c r="Q426" s="4">
        <f t="shared" si="103"/>
        <v>0</v>
      </c>
      <c r="R426" s="4">
        <f t="shared" si="105"/>
        <v>0</v>
      </c>
      <c r="S426" s="4">
        <f t="shared" si="105"/>
        <v>0</v>
      </c>
      <c r="T426" s="4">
        <f t="shared" si="105"/>
        <v>0</v>
      </c>
      <c r="U426" s="4">
        <f t="shared" si="105"/>
        <v>0</v>
      </c>
      <c r="V426" s="4">
        <f t="shared" si="104"/>
        <v>3123.75</v>
      </c>
      <c r="W426" s="4">
        <f t="shared" si="104"/>
        <v>3123.75</v>
      </c>
    </row>
    <row r="427" spans="1:23" x14ac:dyDescent="0.2">
      <c r="A427">
        <v>38</v>
      </c>
      <c r="B427" s="1">
        <v>37712</v>
      </c>
      <c r="D427" s="4">
        <f t="shared" si="85"/>
        <v>0</v>
      </c>
      <c r="E427" s="4">
        <f t="shared" si="85"/>
        <v>0</v>
      </c>
      <c r="F427" s="4">
        <f t="shared" si="90"/>
        <v>0</v>
      </c>
      <c r="G427" s="4">
        <f t="shared" si="90"/>
        <v>0</v>
      </c>
      <c r="H427" s="4">
        <f t="shared" si="93"/>
        <v>0</v>
      </c>
      <c r="I427" s="4">
        <f t="shared" si="93"/>
        <v>0</v>
      </c>
      <c r="J427" s="4">
        <f t="shared" si="98"/>
        <v>0</v>
      </c>
      <c r="K427" s="4">
        <f t="shared" si="98"/>
        <v>0</v>
      </c>
      <c r="L427" s="4">
        <f t="shared" si="98"/>
        <v>0</v>
      </c>
      <c r="M427" s="4">
        <f t="shared" si="98"/>
        <v>0</v>
      </c>
      <c r="N427" s="4">
        <f t="shared" si="101"/>
        <v>0</v>
      </c>
      <c r="O427" s="4">
        <f t="shared" si="101"/>
        <v>0</v>
      </c>
      <c r="P427" s="4">
        <f t="shared" si="103"/>
        <v>0</v>
      </c>
      <c r="Q427" s="4">
        <f t="shared" si="103"/>
        <v>0</v>
      </c>
      <c r="R427" s="4">
        <f t="shared" si="105"/>
        <v>0</v>
      </c>
      <c r="S427" s="4">
        <f t="shared" si="105"/>
        <v>0</v>
      </c>
      <c r="T427" s="4">
        <f t="shared" si="105"/>
        <v>0</v>
      </c>
      <c r="U427" s="4">
        <f t="shared" si="105"/>
        <v>0</v>
      </c>
      <c r="V427" s="4">
        <v>0</v>
      </c>
      <c r="W427" s="4">
        <v>0</v>
      </c>
    </row>
    <row r="428" spans="1:23" x14ac:dyDescent="0.2">
      <c r="A428">
        <v>39</v>
      </c>
      <c r="B428" s="1">
        <v>37742</v>
      </c>
      <c r="D428" s="4">
        <f t="shared" si="85"/>
        <v>0</v>
      </c>
      <c r="E428" s="4">
        <f t="shared" si="85"/>
        <v>0</v>
      </c>
      <c r="F428" s="4">
        <f t="shared" si="90"/>
        <v>0</v>
      </c>
      <c r="G428" s="4">
        <f t="shared" si="90"/>
        <v>0</v>
      </c>
      <c r="H428" s="4">
        <f t="shared" si="93"/>
        <v>0</v>
      </c>
      <c r="I428" s="4">
        <f t="shared" si="93"/>
        <v>0</v>
      </c>
      <c r="J428" s="4">
        <f t="shared" si="98"/>
        <v>0</v>
      </c>
      <c r="K428" s="4">
        <f t="shared" si="98"/>
        <v>0</v>
      </c>
      <c r="L428" s="4">
        <f t="shared" si="98"/>
        <v>0</v>
      </c>
      <c r="M428" s="4">
        <f t="shared" si="98"/>
        <v>0</v>
      </c>
      <c r="N428" s="4">
        <f t="shared" si="101"/>
        <v>0</v>
      </c>
      <c r="O428" s="4">
        <f t="shared" si="101"/>
        <v>0</v>
      </c>
      <c r="P428" s="4">
        <f t="shared" si="103"/>
        <v>0</v>
      </c>
      <c r="Q428" s="4">
        <f t="shared" si="103"/>
        <v>0</v>
      </c>
      <c r="R428" s="4">
        <f t="shared" si="105"/>
        <v>0</v>
      </c>
      <c r="S428" s="4">
        <f t="shared" si="105"/>
        <v>0</v>
      </c>
      <c r="T428" s="4">
        <f t="shared" si="105"/>
        <v>0</v>
      </c>
      <c r="U428" s="4">
        <f t="shared" si="105"/>
        <v>0</v>
      </c>
      <c r="V428" s="4">
        <f t="shared" ref="V428:W435" si="106">V89*$M$17</f>
        <v>0</v>
      </c>
      <c r="W428" s="4">
        <f t="shared" si="106"/>
        <v>0</v>
      </c>
    </row>
    <row r="429" spans="1:23" x14ac:dyDescent="0.2">
      <c r="A429">
        <v>40</v>
      </c>
      <c r="B429" s="1">
        <v>37773</v>
      </c>
      <c r="D429" s="4">
        <f t="shared" si="85"/>
        <v>0</v>
      </c>
      <c r="E429" s="4">
        <f t="shared" si="85"/>
        <v>0</v>
      </c>
      <c r="F429" s="4">
        <f t="shared" si="90"/>
        <v>0</v>
      </c>
      <c r="G429" s="4">
        <f t="shared" si="90"/>
        <v>0</v>
      </c>
      <c r="H429" s="4">
        <f t="shared" si="93"/>
        <v>0</v>
      </c>
      <c r="I429" s="4">
        <f t="shared" si="93"/>
        <v>0</v>
      </c>
      <c r="J429" s="4">
        <f t="shared" si="98"/>
        <v>0</v>
      </c>
      <c r="K429" s="4">
        <f t="shared" si="98"/>
        <v>0</v>
      </c>
      <c r="L429" s="4">
        <f t="shared" si="98"/>
        <v>0</v>
      </c>
      <c r="M429" s="4">
        <f t="shared" si="98"/>
        <v>0</v>
      </c>
      <c r="N429" s="4">
        <f t="shared" si="101"/>
        <v>0</v>
      </c>
      <c r="O429" s="4">
        <f t="shared" si="101"/>
        <v>0</v>
      </c>
      <c r="P429" s="4">
        <f t="shared" si="103"/>
        <v>0</v>
      </c>
      <c r="Q429" s="4">
        <f t="shared" si="103"/>
        <v>0</v>
      </c>
      <c r="R429" s="4">
        <f t="shared" si="105"/>
        <v>0</v>
      </c>
      <c r="S429" s="4">
        <f t="shared" si="105"/>
        <v>0</v>
      </c>
      <c r="T429" s="4">
        <f t="shared" si="105"/>
        <v>0</v>
      </c>
      <c r="U429" s="4">
        <f t="shared" si="105"/>
        <v>0</v>
      </c>
      <c r="V429" s="4">
        <f t="shared" si="106"/>
        <v>0</v>
      </c>
      <c r="W429" s="4">
        <f t="shared" si="106"/>
        <v>0</v>
      </c>
    </row>
    <row r="430" spans="1:23" x14ac:dyDescent="0.2">
      <c r="A430">
        <v>41</v>
      </c>
      <c r="B430" s="1">
        <v>37803</v>
      </c>
      <c r="D430" s="4">
        <f t="shared" si="85"/>
        <v>0</v>
      </c>
      <c r="E430" s="4">
        <f t="shared" si="85"/>
        <v>0</v>
      </c>
      <c r="F430" s="4">
        <f t="shared" si="90"/>
        <v>0</v>
      </c>
      <c r="G430" s="4">
        <f t="shared" si="90"/>
        <v>0</v>
      </c>
      <c r="H430" s="4">
        <f t="shared" si="93"/>
        <v>0</v>
      </c>
      <c r="I430" s="4">
        <f t="shared" si="93"/>
        <v>0</v>
      </c>
      <c r="J430" s="4">
        <f t="shared" si="98"/>
        <v>0</v>
      </c>
      <c r="K430" s="4">
        <f t="shared" si="98"/>
        <v>0</v>
      </c>
      <c r="L430" s="4">
        <f t="shared" si="98"/>
        <v>0</v>
      </c>
      <c r="M430" s="4">
        <f t="shared" si="98"/>
        <v>0</v>
      </c>
      <c r="N430" s="4">
        <f t="shared" si="101"/>
        <v>0</v>
      </c>
      <c r="O430" s="4">
        <f t="shared" si="101"/>
        <v>0</v>
      </c>
      <c r="P430" s="4">
        <f t="shared" si="103"/>
        <v>0</v>
      </c>
      <c r="Q430" s="4">
        <f t="shared" si="103"/>
        <v>0</v>
      </c>
      <c r="R430" s="4">
        <f t="shared" si="105"/>
        <v>0</v>
      </c>
      <c r="S430" s="4">
        <f t="shared" si="105"/>
        <v>0</v>
      </c>
      <c r="T430" s="4">
        <f t="shared" si="105"/>
        <v>0</v>
      </c>
      <c r="U430" s="4">
        <f t="shared" si="105"/>
        <v>0</v>
      </c>
      <c r="V430" s="4">
        <f t="shared" si="106"/>
        <v>0</v>
      </c>
      <c r="W430" s="4">
        <f t="shared" si="106"/>
        <v>0</v>
      </c>
    </row>
    <row r="431" spans="1:23" x14ac:dyDescent="0.2">
      <c r="A431">
        <v>42</v>
      </c>
      <c r="B431" s="1">
        <v>37834</v>
      </c>
      <c r="D431" s="4">
        <f t="shared" si="85"/>
        <v>0</v>
      </c>
      <c r="E431" s="4">
        <f t="shared" si="85"/>
        <v>0</v>
      </c>
      <c r="F431" s="4">
        <f t="shared" si="90"/>
        <v>0</v>
      </c>
      <c r="G431" s="4">
        <f t="shared" si="90"/>
        <v>0</v>
      </c>
      <c r="H431" s="4">
        <f t="shared" si="93"/>
        <v>0</v>
      </c>
      <c r="I431" s="4">
        <f t="shared" si="93"/>
        <v>0</v>
      </c>
      <c r="J431" s="4">
        <f t="shared" si="98"/>
        <v>0</v>
      </c>
      <c r="K431" s="4">
        <f t="shared" si="98"/>
        <v>0</v>
      </c>
      <c r="L431" s="4">
        <f t="shared" si="98"/>
        <v>0</v>
      </c>
      <c r="M431" s="4">
        <f t="shared" si="98"/>
        <v>0</v>
      </c>
      <c r="N431" s="4">
        <f t="shared" si="101"/>
        <v>0</v>
      </c>
      <c r="O431" s="4">
        <f t="shared" si="101"/>
        <v>0</v>
      </c>
      <c r="P431" s="4">
        <f t="shared" si="103"/>
        <v>0</v>
      </c>
      <c r="Q431" s="4">
        <f t="shared" si="103"/>
        <v>0</v>
      </c>
      <c r="R431" s="4">
        <f t="shared" si="105"/>
        <v>0</v>
      </c>
      <c r="S431" s="4">
        <f t="shared" si="105"/>
        <v>0</v>
      </c>
      <c r="T431" s="4">
        <f t="shared" si="105"/>
        <v>0</v>
      </c>
      <c r="U431" s="4">
        <f t="shared" si="105"/>
        <v>0</v>
      </c>
      <c r="V431" s="4">
        <f t="shared" si="106"/>
        <v>0</v>
      </c>
      <c r="W431" s="4">
        <f t="shared" si="106"/>
        <v>0</v>
      </c>
    </row>
    <row r="432" spans="1:23" x14ac:dyDescent="0.2">
      <c r="A432">
        <v>43</v>
      </c>
      <c r="B432" s="1">
        <v>37865</v>
      </c>
      <c r="D432" s="4">
        <f t="shared" si="85"/>
        <v>0</v>
      </c>
      <c r="E432" s="4">
        <f t="shared" si="85"/>
        <v>0</v>
      </c>
      <c r="F432" s="4">
        <f t="shared" si="90"/>
        <v>0</v>
      </c>
      <c r="G432" s="4">
        <f t="shared" si="90"/>
        <v>0</v>
      </c>
      <c r="H432" s="4">
        <f t="shared" si="93"/>
        <v>0</v>
      </c>
      <c r="I432" s="4">
        <f t="shared" si="93"/>
        <v>0</v>
      </c>
      <c r="J432" s="4">
        <f t="shared" si="98"/>
        <v>0</v>
      </c>
      <c r="K432" s="4">
        <f t="shared" si="98"/>
        <v>0</v>
      </c>
      <c r="L432" s="4">
        <f t="shared" si="98"/>
        <v>0</v>
      </c>
      <c r="M432" s="4">
        <f t="shared" si="98"/>
        <v>0</v>
      </c>
      <c r="N432" s="4">
        <f t="shared" si="101"/>
        <v>0</v>
      </c>
      <c r="O432" s="4">
        <f t="shared" si="101"/>
        <v>0</v>
      </c>
      <c r="P432" s="4">
        <f t="shared" si="103"/>
        <v>0</v>
      </c>
      <c r="Q432" s="4">
        <f t="shared" si="103"/>
        <v>0</v>
      </c>
      <c r="R432" s="4">
        <f t="shared" si="105"/>
        <v>0</v>
      </c>
      <c r="S432" s="4">
        <f t="shared" si="105"/>
        <v>0</v>
      </c>
      <c r="T432" s="4">
        <f t="shared" si="105"/>
        <v>0</v>
      </c>
      <c r="U432" s="4">
        <f t="shared" si="105"/>
        <v>0</v>
      </c>
      <c r="V432" s="4">
        <f t="shared" si="106"/>
        <v>0</v>
      </c>
      <c r="W432" s="4">
        <f t="shared" si="106"/>
        <v>0</v>
      </c>
    </row>
    <row r="433" spans="1:23" x14ac:dyDescent="0.2">
      <c r="A433">
        <v>44</v>
      </c>
      <c r="B433" s="1">
        <v>37895</v>
      </c>
      <c r="D433" s="4">
        <f t="shared" si="85"/>
        <v>0</v>
      </c>
      <c r="E433" s="4">
        <f t="shared" si="85"/>
        <v>0</v>
      </c>
      <c r="F433" s="4">
        <f t="shared" si="90"/>
        <v>0</v>
      </c>
      <c r="G433" s="4">
        <f t="shared" si="90"/>
        <v>0</v>
      </c>
      <c r="H433" s="4">
        <f t="shared" si="93"/>
        <v>0</v>
      </c>
      <c r="I433" s="4">
        <f t="shared" si="93"/>
        <v>0</v>
      </c>
      <c r="J433" s="4">
        <f t="shared" si="98"/>
        <v>0</v>
      </c>
      <c r="K433" s="4">
        <f t="shared" si="98"/>
        <v>0</v>
      </c>
      <c r="L433" s="4">
        <f t="shared" si="98"/>
        <v>0</v>
      </c>
      <c r="M433" s="4">
        <f t="shared" si="98"/>
        <v>0</v>
      </c>
      <c r="N433" s="4">
        <f t="shared" si="101"/>
        <v>0</v>
      </c>
      <c r="O433" s="4">
        <f t="shared" si="101"/>
        <v>0</v>
      </c>
      <c r="P433" s="4">
        <f t="shared" si="103"/>
        <v>0</v>
      </c>
      <c r="Q433" s="4">
        <f t="shared" si="103"/>
        <v>0</v>
      </c>
      <c r="R433" s="4">
        <f t="shared" si="105"/>
        <v>0</v>
      </c>
      <c r="S433" s="4">
        <f t="shared" si="105"/>
        <v>0</v>
      </c>
      <c r="T433" s="4">
        <f t="shared" si="105"/>
        <v>0</v>
      </c>
      <c r="U433" s="4">
        <f t="shared" si="105"/>
        <v>0</v>
      </c>
      <c r="V433" s="4">
        <f t="shared" si="106"/>
        <v>0</v>
      </c>
      <c r="W433" s="4">
        <f t="shared" si="106"/>
        <v>0</v>
      </c>
    </row>
    <row r="434" spans="1:23" x14ac:dyDescent="0.2">
      <c r="A434">
        <v>45</v>
      </c>
      <c r="B434" s="1">
        <v>37926</v>
      </c>
      <c r="D434" s="4">
        <f t="shared" si="85"/>
        <v>0</v>
      </c>
      <c r="E434" s="4">
        <f t="shared" si="85"/>
        <v>0</v>
      </c>
      <c r="F434" s="4">
        <f t="shared" si="90"/>
        <v>0</v>
      </c>
      <c r="G434" s="4">
        <f t="shared" si="90"/>
        <v>0</v>
      </c>
      <c r="H434" s="4">
        <f t="shared" si="93"/>
        <v>0</v>
      </c>
      <c r="I434" s="4">
        <f t="shared" si="93"/>
        <v>0</v>
      </c>
      <c r="J434" s="4">
        <f t="shared" si="98"/>
        <v>0</v>
      </c>
      <c r="K434" s="4">
        <f t="shared" si="98"/>
        <v>0</v>
      </c>
      <c r="L434" s="4">
        <f t="shared" si="98"/>
        <v>0</v>
      </c>
      <c r="M434" s="4">
        <f t="shared" si="98"/>
        <v>0</v>
      </c>
      <c r="N434" s="4">
        <f t="shared" si="101"/>
        <v>0</v>
      </c>
      <c r="O434" s="4">
        <f t="shared" si="101"/>
        <v>0</v>
      </c>
      <c r="P434" s="4">
        <f t="shared" si="103"/>
        <v>0</v>
      </c>
      <c r="Q434" s="4">
        <f t="shared" si="103"/>
        <v>0</v>
      </c>
      <c r="R434" s="4">
        <f t="shared" si="105"/>
        <v>0</v>
      </c>
      <c r="S434" s="4">
        <f t="shared" si="105"/>
        <v>0</v>
      </c>
      <c r="T434" s="4">
        <f t="shared" si="105"/>
        <v>0</v>
      </c>
      <c r="U434" s="4">
        <f t="shared" si="105"/>
        <v>0</v>
      </c>
      <c r="V434" s="4">
        <f t="shared" si="106"/>
        <v>0</v>
      </c>
      <c r="W434" s="4">
        <f t="shared" si="106"/>
        <v>0</v>
      </c>
    </row>
    <row r="435" spans="1:23" x14ac:dyDescent="0.2">
      <c r="A435">
        <v>46</v>
      </c>
      <c r="B435" s="1">
        <v>37956</v>
      </c>
      <c r="D435" s="4">
        <f t="shared" si="85"/>
        <v>0</v>
      </c>
      <c r="E435" s="4">
        <f t="shared" si="85"/>
        <v>0</v>
      </c>
      <c r="F435" s="4">
        <f t="shared" si="90"/>
        <v>0</v>
      </c>
      <c r="G435" s="4">
        <f t="shared" si="90"/>
        <v>0</v>
      </c>
      <c r="H435" s="4">
        <f t="shared" si="93"/>
        <v>0</v>
      </c>
      <c r="I435" s="4">
        <f t="shared" si="93"/>
        <v>0</v>
      </c>
      <c r="J435" s="4">
        <f t="shared" si="98"/>
        <v>0</v>
      </c>
      <c r="K435" s="4">
        <f t="shared" si="98"/>
        <v>0</v>
      </c>
      <c r="L435" s="4">
        <f t="shared" si="98"/>
        <v>0</v>
      </c>
      <c r="M435" s="4">
        <f t="shared" si="98"/>
        <v>0</v>
      </c>
      <c r="N435" s="4">
        <f t="shared" si="101"/>
        <v>0</v>
      </c>
      <c r="O435" s="4">
        <f t="shared" si="101"/>
        <v>0</v>
      </c>
      <c r="P435" s="4">
        <f t="shared" si="103"/>
        <v>0</v>
      </c>
      <c r="Q435" s="4">
        <f t="shared" si="103"/>
        <v>0</v>
      </c>
      <c r="R435" s="4">
        <f t="shared" si="105"/>
        <v>0</v>
      </c>
      <c r="S435" s="4">
        <f t="shared" si="105"/>
        <v>0</v>
      </c>
      <c r="T435" s="4">
        <f t="shared" si="105"/>
        <v>0</v>
      </c>
      <c r="U435" s="4">
        <f t="shared" si="105"/>
        <v>0</v>
      </c>
      <c r="V435" s="4">
        <f t="shared" si="106"/>
        <v>0</v>
      </c>
      <c r="W435" s="4">
        <f t="shared" si="106"/>
        <v>0</v>
      </c>
    </row>
    <row r="436" spans="1:23" x14ac:dyDescent="0.2">
      <c r="B436" s="3" t="s">
        <v>63</v>
      </c>
      <c r="C436" s="3"/>
      <c r="D436" s="5">
        <f t="shared" ref="D436:W436" si="107">SUM(D390:D435)</f>
        <v>10694.249999999998</v>
      </c>
      <c r="E436" s="5">
        <f t="shared" si="107"/>
        <v>9367.75</v>
      </c>
      <c r="F436" s="5">
        <f t="shared" si="107"/>
        <v>10652.599999999999</v>
      </c>
      <c r="G436" s="5">
        <f t="shared" si="107"/>
        <v>10652.599999999999</v>
      </c>
      <c r="H436" s="5">
        <f t="shared" si="107"/>
        <v>10652.599999999999</v>
      </c>
      <c r="I436" s="5">
        <f t="shared" si="107"/>
        <v>10652.599999999999</v>
      </c>
      <c r="J436" s="5">
        <f t="shared" si="107"/>
        <v>10639.650000000001</v>
      </c>
      <c r="K436" s="5">
        <f t="shared" si="107"/>
        <v>10639.650000000001</v>
      </c>
      <c r="L436" s="5">
        <f t="shared" si="107"/>
        <v>10639.650000000001</v>
      </c>
      <c r="M436" s="5">
        <f t="shared" si="107"/>
        <v>10639.650000000001</v>
      </c>
      <c r="N436" s="5">
        <f t="shared" si="107"/>
        <v>10568.600000000002</v>
      </c>
      <c r="O436" s="5">
        <f t="shared" si="107"/>
        <v>10568.600000000002</v>
      </c>
      <c r="P436" s="5">
        <f t="shared" si="107"/>
        <v>10568.600000000002</v>
      </c>
      <c r="Q436" s="5">
        <f t="shared" si="107"/>
        <v>10568.600000000002</v>
      </c>
      <c r="R436" s="5">
        <f t="shared" si="107"/>
        <v>11340</v>
      </c>
      <c r="S436" s="5">
        <f t="shared" si="107"/>
        <v>11340</v>
      </c>
      <c r="T436" s="5">
        <f t="shared" si="107"/>
        <v>11655</v>
      </c>
      <c r="U436" s="5">
        <f t="shared" si="107"/>
        <v>11655</v>
      </c>
      <c r="V436" s="5">
        <f t="shared" si="107"/>
        <v>11248.650000000001</v>
      </c>
      <c r="W436" s="5">
        <f t="shared" si="107"/>
        <v>11248.650000000001</v>
      </c>
    </row>
    <row r="437" spans="1:23" x14ac:dyDescent="0.2">
      <c r="B437" s="21"/>
      <c r="C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9" spans="1:23" x14ac:dyDescent="0.2">
      <c r="B439" t="s">
        <v>69</v>
      </c>
    </row>
    <row r="441" spans="1:23" x14ac:dyDescent="0.2">
      <c r="A441">
        <v>1</v>
      </c>
      <c r="B441" s="1">
        <v>36586</v>
      </c>
      <c r="D441" s="19">
        <f t="shared" ref="D441:E453" si="108">(D390*(1+$M$18/12)^($A$64-$A51+1))-D390</f>
        <v>153.83024368656754</v>
      </c>
      <c r="E441" s="19">
        <f t="shared" si="108"/>
        <v>0</v>
      </c>
      <c r="F441" s="19">
        <f t="shared" ref="F441:G457" si="109">(F390*(1+$M$18/12)^($A$68-$A51+1))-F390</f>
        <v>0</v>
      </c>
      <c r="G441" s="19">
        <f t="shared" si="109"/>
        <v>0</v>
      </c>
      <c r="H441" s="19">
        <f t="shared" ref="H441:I459" si="110">(H390*(1+$M$18/12)^($A$70-$A51+1))-H390</f>
        <v>0</v>
      </c>
      <c r="I441" s="19">
        <f t="shared" si="110"/>
        <v>0</v>
      </c>
      <c r="J441" s="19">
        <f t="shared" ref="J441:M463" si="111">(J390*(1+$M$18/12)^($A$74-$A51+1))-J390</f>
        <v>0</v>
      </c>
      <c r="K441" s="19">
        <f t="shared" si="111"/>
        <v>0</v>
      </c>
      <c r="L441" s="19">
        <f t="shared" si="111"/>
        <v>0</v>
      </c>
      <c r="M441" s="19">
        <f t="shared" si="111"/>
        <v>0</v>
      </c>
      <c r="N441" s="19">
        <f t="shared" ref="N441:O465" si="112">(N390*(1+$M$18/12)^($A$76-$A51+1))-N390</f>
        <v>0</v>
      </c>
      <c r="O441" s="19">
        <f t="shared" si="112"/>
        <v>0</v>
      </c>
      <c r="P441" s="19">
        <f t="shared" ref="P441:Q472" si="113">(P390*(1+$M$18/12)^($A$83-$A51+1))-P390</f>
        <v>0</v>
      </c>
      <c r="Q441" s="19">
        <f t="shared" si="113"/>
        <v>0</v>
      </c>
      <c r="R441" s="19">
        <f t="shared" ref="R441:U460" si="114">(R390*(1+$M$18/12)^($A$85-$A51+1))-R390</f>
        <v>0</v>
      </c>
      <c r="S441" s="19">
        <f t="shared" si="114"/>
        <v>0</v>
      </c>
      <c r="T441" s="19">
        <f t="shared" si="114"/>
        <v>0</v>
      </c>
      <c r="U441" s="19">
        <f t="shared" si="114"/>
        <v>0</v>
      </c>
      <c r="V441" s="19">
        <f t="shared" ref="V441:W460" si="115">(V390*(1+$M$18/12)^($A$88-$A51+1))-V390</f>
        <v>0</v>
      </c>
      <c r="W441" s="19">
        <f t="shared" si="115"/>
        <v>0</v>
      </c>
    </row>
    <row r="442" spans="1:23" x14ac:dyDescent="0.2">
      <c r="A442">
        <v>2</v>
      </c>
      <c r="B442" s="1">
        <v>36617</v>
      </c>
      <c r="D442" s="19">
        <f t="shared" si="108"/>
        <v>155.80228956139138</v>
      </c>
      <c r="E442" s="19">
        <f t="shared" si="108"/>
        <v>116.03369222585047</v>
      </c>
      <c r="F442" s="19">
        <f t="shared" si="109"/>
        <v>0</v>
      </c>
      <c r="G442" s="19">
        <f t="shared" si="109"/>
        <v>0</v>
      </c>
      <c r="H442" s="19">
        <f t="shared" si="110"/>
        <v>0</v>
      </c>
      <c r="I442" s="19">
        <f t="shared" si="110"/>
        <v>0</v>
      </c>
      <c r="J442" s="19">
        <f t="shared" si="111"/>
        <v>140.51933862174127</v>
      </c>
      <c r="K442" s="19">
        <f t="shared" si="111"/>
        <v>140.51933862174127</v>
      </c>
      <c r="L442" s="19">
        <f t="shared" si="111"/>
        <v>140.51933862174127</v>
      </c>
      <c r="M442" s="19">
        <f t="shared" si="111"/>
        <v>140.51933862174127</v>
      </c>
      <c r="N442" s="19">
        <f t="shared" si="112"/>
        <v>154.55793635654243</v>
      </c>
      <c r="O442" s="19">
        <f t="shared" si="112"/>
        <v>154.55793635654243</v>
      </c>
      <c r="P442" s="19">
        <f t="shared" si="113"/>
        <v>210.56764148050127</v>
      </c>
      <c r="Q442" s="19">
        <f t="shared" si="113"/>
        <v>210.56764148050127</v>
      </c>
      <c r="R442" s="19">
        <f t="shared" si="114"/>
        <v>0</v>
      </c>
      <c r="S442" s="19">
        <f t="shared" si="114"/>
        <v>0</v>
      </c>
      <c r="T442" s="19">
        <f t="shared" si="114"/>
        <v>0</v>
      </c>
      <c r="U442" s="19">
        <f t="shared" si="114"/>
        <v>0</v>
      </c>
      <c r="V442" s="19">
        <f t="shared" si="115"/>
        <v>0</v>
      </c>
      <c r="W442" s="19">
        <f t="shared" si="115"/>
        <v>0</v>
      </c>
    </row>
    <row r="443" spans="1:23" x14ac:dyDescent="0.2">
      <c r="A443">
        <v>3</v>
      </c>
      <c r="B443" s="1">
        <v>36647</v>
      </c>
      <c r="D443" s="19">
        <f t="shared" si="108"/>
        <v>142.59323563415546</v>
      </c>
      <c r="E443" s="19">
        <f t="shared" si="108"/>
        <v>133.99310510587031</v>
      </c>
      <c r="F443" s="19">
        <f t="shared" si="109"/>
        <v>179.17596930247817</v>
      </c>
      <c r="G443" s="19">
        <f t="shared" si="109"/>
        <v>179.17596930247817</v>
      </c>
      <c r="H443" s="19">
        <f t="shared" si="110"/>
        <v>0</v>
      </c>
      <c r="I443" s="19">
        <f t="shared" si="110"/>
        <v>0</v>
      </c>
      <c r="J443" s="19">
        <f t="shared" si="111"/>
        <v>0</v>
      </c>
      <c r="K443" s="19">
        <f t="shared" si="111"/>
        <v>0</v>
      </c>
      <c r="L443" s="19">
        <f t="shared" si="111"/>
        <v>0</v>
      </c>
      <c r="M443" s="19">
        <f t="shared" si="111"/>
        <v>0</v>
      </c>
      <c r="N443" s="19">
        <f t="shared" si="112"/>
        <v>0</v>
      </c>
      <c r="O443" s="19">
        <f t="shared" si="112"/>
        <v>0</v>
      </c>
      <c r="P443" s="19">
        <f t="shared" si="113"/>
        <v>0</v>
      </c>
      <c r="Q443" s="19">
        <f t="shared" si="113"/>
        <v>0</v>
      </c>
      <c r="R443" s="19">
        <f t="shared" si="114"/>
        <v>228.50537885823712</v>
      </c>
      <c r="S443" s="19">
        <f t="shared" si="114"/>
        <v>228.50537885823712</v>
      </c>
      <c r="T443" s="19">
        <f t="shared" si="114"/>
        <v>228.50537885823712</v>
      </c>
      <c r="U443" s="19">
        <f t="shared" si="114"/>
        <v>228.50537885823712</v>
      </c>
      <c r="V443" s="19">
        <f t="shared" si="115"/>
        <v>254.14391562741253</v>
      </c>
      <c r="W443" s="19">
        <f t="shared" si="115"/>
        <v>254.14391562741253</v>
      </c>
    </row>
    <row r="444" spans="1:23" x14ac:dyDescent="0.2">
      <c r="A444">
        <v>4</v>
      </c>
      <c r="B444" s="1">
        <v>36678</v>
      </c>
      <c r="D444" s="19">
        <f t="shared" si="108"/>
        <v>129.60072357457898</v>
      </c>
      <c r="E444" s="19">
        <f t="shared" si="108"/>
        <v>121.78420174347889</v>
      </c>
      <c r="F444" s="19">
        <f t="shared" si="109"/>
        <v>0</v>
      </c>
      <c r="G444" s="19">
        <f t="shared" si="109"/>
        <v>0</v>
      </c>
      <c r="H444" s="19">
        <f t="shared" si="110"/>
        <v>192.02640212418612</v>
      </c>
      <c r="I444" s="19">
        <f t="shared" si="110"/>
        <v>192.02640212418612</v>
      </c>
      <c r="J444" s="19">
        <f t="shared" si="111"/>
        <v>0</v>
      </c>
      <c r="K444" s="19">
        <f t="shared" si="111"/>
        <v>0</v>
      </c>
      <c r="L444" s="19">
        <f t="shared" si="111"/>
        <v>0</v>
      </c>
      <c r="M444" s="19">
        <f t="shared" si="111"/>
        <v>0</v>
      </c>
      <c r="N444" s="19">
        <f t="shared" si="112"/>
        <v>0</v>
      </c>
      <c r="O444" s="19">
        <f t="shared" si="112"/>
        <v>0</v>
      </c>
      <c r="P444" s="19">
        <f t="shared" si="113"/>
        <v>0</v>
      </c>
      <c r="Q444" s="19">
        <f t="shared" si="113"/>
        <v>0</v>
      </c>
      <c r="R444" s="19">
        <f t="shared" si="114"/>
        <v>0</v>
      </c>
      <c r="S444" s="19">
        <f t="shared" si="114"/>
        <v>0</v>
      </c>
      <c r="T444" s="19">
        <f t="shared" si="114"/>
        <v>0</v>
      </c>
      <c r="U444" s="19">
        <f t="shared" si="114"/>
        <v>0</v>
      </c>
      <c r="V444" s="19">
        <f t="shared" si="115"/>
        <v>0</v>
      </c>
      <c r="W444" s="19">
        <f t="shared" si="115"/>
        <v>0</v>
      </c>
    </row>
    <row r="445" spans="1:23" x14ac:dyDescent="0.2">
      <c r="A445">
        <v>5</v>
      </c>
      <c r="B445" s="1">
        <v>36708</v>
      </c>
      <c r="D445" s="19">
        <f t="shared" si="108"/>
        <v>116.82120351597951</v>
      </c>
      <c r="E445" s="19">
        <f t="shared" si="108"/>
        <v>109.77544433784828</v>
      </c>
      <c r="F445" s="19">
        <f t="shared" si="109"/>
        <v>0</v>
      </c>
      <c r="G445" s="19">
        <f t="shared" si="109"/>
        <v>0</v>
      </c>
      <c r="H445" s="19">
        <f t="shared" si="110"/>
        <v>0</v>
      </c>
      <c r="I445" s="19">
        <f t="shared" si="110"/>
        <v>0</v>
      </c>
      <c r="J445" s="19">
        <f t="shared" si="111"/>
        <v>0</v>
      </c>
      <c r="K445" s="19">
        <f t="shared" si="111"/>
        <v>0</v>
      </c>
      <c r="L445" s="19">
        <f t="shared" si="111"/>
        <v>0</v>
      </c>
      <c r="M445" s="19">
        <f t="shared" si="111"/>
        <v>0</v>
      </c>
      <c r="N445" s="19">
        <f t="shared" si="112"/>
        <v>0</v>
      </c>
      <c r="O445" s="19">
        <f t="shared" si="112"/>
        <v>0</v>
      </c>
      <c r="P445" s="19">
        <f t="shared" si="113"/>
        <v>0</v>
      </c>
      <c r="Q445" s="19">
        <f t="shared" si="113"/>
        <v>0</v>
      </c>
      <c r="R445" s="19">
        <f t="shared" si="114"/>
        <v>0</v>
      </c>
      <c r="S445" s="19">
        <f t="shared" si="114"/>
        <v>0</v>
      </c>
      <c r="T445" s="19">
        <f t="shared" si="114"/>
        <v>0</v>
      </c>
      <c r="U445" s="19">
        <f t="shared" si="114"/>
        <v>0</v>
      </c>
      <c r="V445" s="19">
        <f t="shared" si="115"/>
        <v>0</v>
      </c>
      <c r="W445" s="19">
        <f t="shared" si="115"/>
        <v>0</v>
      </c>
    </row>
    <row r="446" spans="1:23" x14ac:dyDescent="0.2">
      <c r="A446">
        <v>6</v>
      </c>
      <c r="B446" s="1">
        <v>36739</v>
      </c>
      <c r="D446" s="19">
        <f t="shared" si="108"/>
        <v>104.25118378620937</v>
      </c>
      <c r="E446" s="19">
        <f t="shared" si="108"/>
        <v>97.963551807719682</v>
      </c>
      <c r="F446" s="19">
        <f t="shared" si="109"/>
        <v>141.87489049451426</v>
      </c>
      <c r="G446" s="19">
        <f t="shared" si="109"/>
        <v>141.87489049451426</v>
      </c>
      <c r="H446" s="19">
        <f t="shared" si="110"/>
        <v>0</v>
      </c>
      <c r="I446" s="19">
        <f t="shared" si="110"/>
        <v>0</v>
      </c>
      <c r="J446" s="19">
        <f t="shared" si="111"/>
        <v>157.03252780106783</v>
      </c>
      <c r="K446" s="19">
        <f t="shared" si="111"/>
        <v>157.03252780106783</v>
      </c>
      <c r="L446" s="19">
        <f t="shared" si="111"/>
        <v>157.03252780106783</v>
      </c>
      <c r="M446" s="19">
        <f t="shared" si="111"/>
        <v>157.03252780106783</v>
      </c>
      <c r="N446" s="19">
        <f t="shared" si="112"/>
        <v>0</v>
      </c>
      <c r="O446" s="19">
        <f t="shared" si="112"/>
        <v>0</v>
      </c>
      <c r="P446" s="19">
        <f t="shared" si="113"/>
        <v>0</v>
      </c>
      <c r="Q446" s="19">
        <f t="shared" si="113"/>
        <v>0</v>
      </c>
      <c r="R446" s="19">
        <f t="shared" si="114"/>
        <v>0</v>
      </c>
      <c r="S446" s="19">
        <f t="shared" si="114"/>
        <v>0</v>
      </c>
      <c r="T446" s="19">
        <f t="shared" si="114"/>
        <v>0</v>
      </c>
      <c r="U446" s="19">
        <f t="shared" si="114"/>
        <v>0</v>
      </c>
      <c r="V446" s="19">
        <f t="shared" si="115"/>
        <v>0</v>
      </c>
      <c r="W446" s="19">
        <f t="shared" si="115"/>
        <v>0</v>
      </c>
    </row>
    <row r="447" spans="1:23" x14ac:dyDescent="0.2">
      <c r="A447">
        <v>7</v>
      </c>
      <c r="B447" s="1">
        <v>36770</v>
      </c>
      <c r="D447" s="19">
        <f t="shared" si="108"/>
        <v>91.887229953648557</v>
      </c>
      <c r="E447" s="19">
        <f t="shared" si="108"/>
        <v>86.345296860052144</v>
      </c>
      <c r="F447" s="19">
        <f t="shared" si="109"/>
        <v>142.82359627330595</v>
      </c>
      <c r="G447" s="19">
        <f t="shared" si="109"/>
        <v>142.82359627330595</v>
      </c>
      <c r="H447" s="19">
        <f t="shared" si="110"/>
        <v>0</v>
      </c>
      <c r="I447" s="19">
        <f t="shared" si="110"/>
        <v>0</v>
      </c>
      <c r="J447" s="19">
        <f t="shared" si="111"/>
        <v>147.48117488629629</v>
      </c>
      <c r="K447" s="19">
        <f t="shared" si="111"/>
        <v>147.48117488629629</v>
      </c>
      <c r="L447" s="19">
        <f t="shared" si="111"/>
        <v>147.48117488629629</v>
      </c>
      <c r="M447" s="19">
        <f t="shared" si="111"/>
        <v>147.48117488629629</v>
      </c>
      <c r="N447" s="19">
        <f t="shared" si="112"/>
        <v>0</v>
      </c>
      <c r="O447" s="19">
        <f t="shared" si="112"/>
        <v>0</v>
      </c>
      <c r="P447" s="19">
        <f t="shared" si="113"/>
        <v>0</v>
      </c>
      <c r="Q447" s="19">
        <f t="shared" si="113"/>
        <v>0</v>
      </c>
      <c r="R447" s="19">
        <f t="shared" si="114"/>
        <v>193.73252914017689</v>
      </c>
      <c r="S447" s="19">
        <f t="shared" si="114"/>
        <v>193.73252914017689</v>
      </c>
      <c r="T447" s="19">
        <f t="shared" si="114"/>
        <v>193.73252914017689</v>
      </c>
      <c r="U447" s="19">
        <f t="shared" si="114"/>
        <v>193.73252914017689</v>
      </c>
      <c r="V447" s="19">
        <f t="shared" si="115"/>
        <v>217.88748996765651</v>
      </c>
      <c r="W447" s="19">
        <f t="shared" si="115"/>
        <v>217.88748996765651</v>
      </c>
    </row>
    <row r="448" spans="1:23" x14ac:dyDescent="0.2">
      <c r="A448">
        <v>8</v>
      </c>
      <c r="B448" s="1">
        <v>36800</v>
      </c>
      <c r="D448" s="19">
        <f t="shared" si="108"/>
        <v>79.725963888834713</v>
      </c>
      <c r="E448" s="19">
        <f t="shared" si="108"/>
        <v>74.917505108247951</v>
      </c>
      <c r="F448" s="19">
        <f t="shared" si="109"/>
        <v>129.81009469505489</v>
      </c>
      <c r="G448" s="19">
        <f t="shared" si="109"/>
        <v>129.81009469505489</v>
      </c>
      <c r="H448" s="19">
        <f t="shared" si="110"/>
        <v>141.87489049451426</v>
      </c>
      <c r="I448" s="19">
        <f t="shared" si="110"/>
        <v>141.87489049451426</v>
      </c>
      <c r="J448" s="19">
        <f t="shared" si="111"/>
        <v>138.08640152750462</v>
      </c>
      <c r="K448" s="19">
        <f t="shared" si="111"/>
        <v>138.08640152750462</v>
      </c>
      <c r="L448" s="19">
        <f t="shared" si="111"/>
        <v>138.08640152750462</v>
      </c>
      <c r="M448" s="19">
        <f t="shared" si="111"/>
        <v>138.08640152750462</v>
      </c>
      <c r="N448" s="19">
        <f t="shared" si="112"/>
        <v>155.99941906553443</v>
      </c>
      <c r="O448" s="19">
        <f t="shared" si="112"/>
        <v>155.99941906553443</v>
      </c>
      <c r="P448" s="19">
        <f t="shared" si="113"/>
        <v>0</v>
      </c>
      <c r="Q448" s="19">
        <f t="shared" si="113"/>
        <v>0</v>
      </c>
      <c r="R448" s="19">
        <f t="shared" si="114"/>
        <v>0</v>
      </c>
      <c r="S448" s="19">
        <f t="shared" si="114"/>
        <v>0</v>
      </c>
      <c r="T448" s="19">
        <f t="shared" si="114"/>
        <v>0</v>
      </c>
      <c r="U448" s="19">
        <f t="shared" si="114"/>
        <v>0</v>
      </c>
      <c r="V448" s="19">
        <f t="shared" si="115"/>
        <v>0</v>
      </c>
      <c r="W448" s="19">
        <f t="shared" si="115"/>
        <v>0</v>
      </c>
    </row>
    <row r="449" spans="1:23" x14ac:dyDescent="0.2">
      <c r="A449">
        <v>9</v>
      </c>
      <c r="B449" s="1">
        <v>36831</v>
      </c>
      <c r="D449" s="19">
        <f t="shared" si="108"/>
        <v>67.764062841476857</v>
      </c>
      <c r="E449" s="19">
        <f t="shared" si="108"/>
        <v>63.677054204834235</v>
      </c>
      <c r="F449" s="19">
        <f t="shared" si="109"/>
        <v>117.00992920825092</v>
      </c>
      <c r="G449" s="19">
        <f t="shared" si="109"/>
        <v>117.00992920825092</v>
      </c>
      <c r="H449" s="19">
        <f t="shared" si="110"/>
        <v>142.82359627330595</v>
      </c>
      <c r="I449" s="19">
        <f t="shared" si="110"/>
        <v>142.82359627330595</v>
      </c>
      <c r="J449" s="19">
        <f t="shared" si="111"/>
        <v>128.84564084672587</v>
      </c>
      <c r="K449" s="19">
        <f t="shared" si="111"/>
        <v>128.84564084672587</v>
      </c>
      <c r="L449" s="19">
        <f t="shared" si="111"/>
        <v>128.84564084672587</v>
      </c>
      <c r="M449" s="19">
        <f t="shared" si="111"/>
        <v>128.84564084672587</v>
      </c>
      <c r="N449" s="19">
        <f t="shared" si="112"/>
        <v>146.51090399888642</v>
      </c>
      <c r="O449" s="19">
        <f t="shared" si="112"/>
        <v>146.51090399888642</v>
      </c>
      <c r="P449" s="19">
        <f t="shared" si="113"/>
        <v>0</v>
      </c>
      <c r="Q449" s="19">
        <f t="shared" si="113"/>
        <v>0</v>
      </c>
      <c r="R449" s="19">
        <f t="shared" si="114"/>
        <v>0</v>
      </c>
      <c r="S449" s="19">
        <f t="shared" si="114"/>
        <v>0</v>
      </c>
      <c r="T449" s="19">
        <f t="shared" si="114"/>
        <v>0</v>
      </c>
      <c r="U449" s="19">
        <f t="shared" si="114"/>
        <v>0</v>
      </c>
      <c r="V449" s="19">
        <f t="shared" si="115"/>
        <v>0</v>
      </c>
      <c r="W449" s="19">
        <f t="shared" si="115"/>
        <v>0</v>
      </c>
    </row>
    <row r="450" spans="1:23" x14ac:dyDescent="0.2">
      <c r="A450">
        <v>10</v>
      </c>
      <c r="B450" s="1">
        <v>36861</v>
      </c>
      <c r="D450" s="19">
        <f t="shared" si="108"/>
        <v>55.998258532600289</v>
      </c>
      <c r="E450" s="19">
        <f t="shared" si="108"/>
        <v>52.620872988361612</v>
      </c>
      <c r="F450" s="19">
        <f t="shared" si="109"/>
        <v>104.41960249991894</v>
      </c>
      <c r="G450" s="19">
        <f t="shared" si="109"/>
        <v>104.41960249991894</v>
      </c>
      <c r="H450" s="19">
        <f t="shared" si="110"/>
        <v>129.81009469505489</v>
      </c>
      <c r="I450" s="19">
        <f t="shared" si="110"/>
        <v>129.81009469505489</v>
      </c>
      <c r="J450" s="19">
        <f t="shared" si="111"/>
        <v>119.75636804595985</v>
      </c>
      <c r="K450" s="19">
        <f t="shared" si="111"/>
        <v>119.75636804595985</v>
      </c>
      <c r="L450" s="19">
        <f t="shared" si="111"/>
        <v>119.75636804595985</v>
      </c>
      <c r="M450" s="19">
        <f t="shared" si="111"/>
        <v>119.75636804595985</v>
      </c>
      <c r="N450" s="19">
        <f t="shared" si="112"/>
        <v>137.17793835956047</v>
      </c>
      <c r="O450" s="19">
        <f t="shared" si="112"/>
        <v>137.17793835956047</v>
      </c>
      <c r="P450" s="19">
        <f t="shared" si="113"/>
        <v>0</v>
      </c>
      <c r="Q450" s="19">
        <f t="shared" si="113"/>
        <v>0</v>
      </c>
      <c r="R450" s="19">
        <f t="shared" si="114"/>
        <v>0</v>
      </c>
      <c r="S450" s="19">
        <f t="shared" si="114"/>
        <v>0</v>
      </c>
      <c r="T450" s="19">
        <f t="shared" si="114"/>
        <v>0</v>
      </c>
      <c r="U450" s="19">
        <f t="shared" si="114"/>
        <v>0</v>
      </c>
      <c r="V450" s="19">
        <f t="shared" si="115"/>
        <v>0</v>
      </c>
      <c r="W450" s="19">
        <f t="shared" si="115"/>
        <v>0</v>
      </c>
    </row>
    <row r="451" spans="1:23" x14ac:dyDescent="0.2">
      <c r="A451">
        <v>11</v>
      </c>
      <c r="B451" s="1">
        <v>36892</v>
      </c>
      <c r="D451" s="19">
        <f t="shared" si="108"/>
        <v>44.425336261573989</v>
      </c>
      <c r="E451" s="19">
        <f t="shared" si="108"/>
        <v>41.745940644290044</v>
      </c>
      <c r="F451" s="19">
        <f t="shared" si="109"/>
        <v>92.035674590084227</v>
      </c>
      <c r="G451" s="19">
        <f t="shared" si="109"/>
        <v>92.035674590084227</v>
      </c>
      <c r="H451" s="19">
        <f t="shared" si="110"/>
        <v>117.00992920825092</v>
      </c>
      <c r="I451" s="19">
        <f t="shared" si="110"/>
        <v>117.00992920825092</v>
      </c>
      <c r="J451" s="19">
        <f t="shared" si="111"/>
        <v>110.81609971733775</v>
      </c>
      <c r="K451" s="19">
        <f t="shared" si="111"/>
        <v>110.81609971733775</v>
      </c>
      <c r="L451" s="19">
        <f t="shared" si="111"/>
        <v>110.81609971733775</v>
      </c>
      <c r="M451" s="19">
        <f t="shared" si="111"/>
        <v>110.81609971733775</v>
      </c>
      <c r="N451" s="19">
        <f t="shared" si="112"/>
        <v>127.9979721569448</v>
      </c>
      <c r="O451" s="19">
        <f t="shared" si="112"/>
        <v>127.9979721569448</v>
      </c>
      <c r="P451" s="19">
        <f t="shared" si="113"/>
        <v>0</v>
      </c>
      <c r="Q451" s="19">
        <f t="shared" si="113"/>
        <v>0</v>
      </c>
      <c r="R451" s="19">
        <f t="shared" si="114"/>
        <v>0</v>
      </c>
      <c r="S451" s="19">
        <f t="shared" si="114"/>
        <v>0</v>
      </c>
      <c r="T451" s="19">
        <f t="shared" si="114"/>
        <v>0</v>
      </c>
      <c r="U451" s="19">
        <f t="shared" si="114"/>
        <v>0</v>
      </c>
      <c r="V451" s="19">
        <f t="shared" si="115"/>
        <v>0</v>
      </c>
      <c r="W451" s="19">
        <f t="shared" si="115"/>
        <v>0</v>
      </c>
    </row>
    <row r="452" spans="1:23" x14ac:dyDescent="0.2">
      <c r="A452">
        <v>12</v>
      </c>
      <c r="B452" s="1">
        <v>36923</v>
      </c>
      <c r="D452" s="19">
        <f t="shared" si="108"/>
        <v>33.042134027777593</v>
      </c>
      <c r="E452" s="19">
        <f t="shared" si="108"/>
        <v>31.049285879629451</v>
      </c>
      <c r="F452" s="19">
        <f t="shared" si="109"/>
        <v>79.854761891886142</v>
      </c>
      <c r="G452" s="19">
        <f t="shared" si="109"/>
        <v>79.854761891886142</v>
      </c>
      <c r="H452" s="19">
        <f t="shared" si="110"/>
        <v>104.41960249991894</v>
      </c>
      <c r="I452" s="19">
        <f t="shared" si="110"/>
        <v>104.41960249991894</v>
      </c>
      <c r="J452" s="19">
        <f t="shared" si="111"/>
        <v>102.02239316459446</v>
      </c>
      <c r="K452" s="19">
        <f t="shared" si="111"/>
        <v>102.02239316459446</v>
      </c>
      <c r="L452" s="19">
        <f t="shared" si="111"/>
        <v>102.02239316459446</v>
      </c>
      <c r="M452" s="19">
        <f t="shared" si="111"/>
        <v>102.02239316459446</v>
      </c>
      <c r="N452" s="19">
        <f t="shared" si="112"/>
        <v>118.96849720355226</v>
      </c>
      <c r="O452" s="19">
        <f t="shared" si="112"/>
        <v>118.96849720355226</v>
      </c>
      <c r="P452" s="19">
        <f t="shared" si="113"/>
        <v>0</v>
      </c>
      <c r="Q452" s="19">
        <f t="shared" si="113"/>
        <v>0</v>
      </c>
      <c r="R452" s="19">
        <f t="shared" si="114"/>
        <v>0</v>
      </c>
      <c r="S452" s="19">
        <f t="shared" si="114"/>
        <v>0</v>
      </c>
      <c r="T452" s="19">
        <f t="shared" si="114"/>
        <v>0</v>
      </c>
      <c r="U452" s="19">
        <f t="shared" si="114"/>
        <v>0</v>
      </c>
      <c r="V452" s="19">
        <f t="shared" si="115"/>
        <v>0</v>
      </c>
      <c r="W452" s="19">
        <f t="shared" si="115"/>
        <v>0</v>
      </c>
    </row>
    <row r="453" spans="1:23" x14ac:dyDescent="0.2">
      <c r="A453">
        <v>13</v>
      </c>
      <c r="B453" s="1">
        <v>36951</v>
      </c>
      <c r="D453" s="19">
        <f t="shared" si="108"/>
        <v>99.287222222222226</v>
      </c>
      <c r="E453" s="19">
        <f t="shared" si="108"/>
        <v>93.311166666666395</v>
      </c>
      <c r="F453" s="19">
        <f t="shared" si="109"/>
        <v>67.873536287101274</v>
      </c>
      <c r="G453" s="19">
        <f t="shared" si="109"/>
        <v>67.873536287101274</v>
      </c>
      <c r="H453" s="19">
        <f t="shared" si="110"/>
        <v>92.035674590084227</v>
      </c>
      <c r="I453" s="19">
        <f t="shared" si="110"/>
        <v>92.035674590084227</v>
      </c>
      <c r="J453" s="19">
        <f t="shared" si="111"/>
        <v>93.372845735666658</v>
      </c>
      <c r="K453" s="19">
        <f t="shared" si="111"/>
        <v>93.372845735666658</v>
      </c>
      <c r="L453" s="19">
        <f t="shared" si="111"/>
        <v>93.372845735666658</v>
      </c>
      <c r="M453" s="19">
        <f t="shared" si="111"/>
        <v>93.372845735666658</v>
      </c>
      <c r="N453" s="19">
        <f t="shared" si="112"/>
        <v>110.08704642972373</v>
      </c>
      <c r="O453" s="19">
        <f t="shared" si="112"/>
        <v>110.08704642972373</v>
      </c>
      <c r="P453" s="19">
        <f t="shared" si="113"/>
        <v>0</v>
      </c>
      <c r="Q453" s="19">
        <f t="shared" si="113"/>
        <v>0</v>
      </c>
      <c r="R453" s="19">
        <f t="shared" si="114"/>
        <v>0</v>
      </c>
      <c r="S453" s="19">
        <f t="shared" si="114"/>
        <v>0</v>
      </c>
      <c r="T453" s="19">
        <f t="shared" si="114"/>
        <v>0</v>
      </c>
      <c r="U453" s="19">
        <f t="shared" si="114"/>
        <v>0</v>
      </c>
      <c r="V453" s="19">
        <f t="shared" si="115"/>
        <v>0</v>
      </c>
      <c r="W453" s="19">
        <f t="shared" si="115"/>
        <v>0</v>
      </c>
    </row>
    <row r="454" spans="1:23" x14ac:dyDescent="0.2">
      <c r="A454">
        <v>14</v>
      </c>
      <c r="B454" s="1">
        <v>36982</v>
      </c>
      <c r="F454" s="19">
        <f t="shared" si="109"/>
        <v>56.088724216820879</v>
      </c>
      <c r="G454" s="19">
        <f t="shared" si="109"/>
        <v>56.088724216820879</v>
      </c>
      <c r="H454" s="19">
        <f t="shared" si="110"/>
        <v>79.854761891886142</v>
      </c>
      <c r="I454" s="19">
        <f t="shared" si="110"/>
        <v>79.854761891886142</v>
      </c>
      <c r="J454" s="19">
        <f t="shared" si="111"/>
        <v>84.865094166229426</v>
      </c>
      <c r="K454" s="19">
        <f t="shared" si="111"/>
        <v>84.865094166229426</v>
      </c>
      <c r="L454" s="19">
        <f t="shared" si="111"/>
        <v>84.865094166229426</v>
      </c>
      <c r="M454" s="19">
        <f t="shared" si="111"/>
        <v>84.865094166229426</v>
      </c>
      <c r="N454" s="19">
        <f t="shared" si="112"/>
        <v>101.35119320956426</v>
      </c>
      <c r="O454" s="19">
        <f t="shared" si="112"/>
        <v>101.35119320956426</v>
      </c>
      <c r="P454" s="19">
        <f t="shared" si="113"/>
        <v>0</v>
      </c>
      <c r="Q454" s="19">
        <f t="shared" si="113"/>
        <v>0</v>
      </c>
      <c r="R454" s="19">
        <f t="shared" si="114"/>
        <v>0</v>
      </c>
      <c r="S454" s="19">
        <f t="shared" si="114"/>
        <v>0</v>
      </c>
      <c r="T454" s="19">
        <f t="shared" si="114"/>
        <v>0</v>
      </c>
      <c r="U454" s="19">
        <f t="shared" si="114"/>
        <v>0</v>
      </c>
      <c r="V454" s="19">
        <f t="shared" si="115"/>
        <v>0</v>
      </c>
      <c r="W454" s="19">
        <f t="shared" si="115"/>
        <v>0</v>
      </c>
    </row>
    <row r="455" spans="1:23" x14ac:dyDescent="0.2">
      <c r="A455">
        <v>15</v>
      </c>
      <c r="B455" s="1">
        <v>37012</v>
      </c>
      <c r="F455" s="19">
        <f t="shared" si="109"/>
        <v>44.497105787036958</v>
      </c>
      <c r="G455" s="19">
        <f t="shared" si="109"/>
        <v>44.497105787036958</v>
      </c>
      <c r="H455" s="19">
        <f t="shared" si="110"/>
        <v>67.873536287101274</v>
      </c>
      <c r="I455" s="19">
        <f t="shared" si="110"/>
        <v>67.873536287101274</v>
      </c>
      <c r="J455" s="19">
        <f t="shared" si="111"/>
        <v>76.496813933996293</v>
      </c>
      <c r="K455" s="19">
        <f t="shared" si="111"/>
        <v>76.496813933996293</v>
      </c>
      <c r="L455" s="19">
        <f t="shared" si="111"/>
        <v>76.496813933996293</v>
      </c>
      <c r="M455" s="19">
        <f t="shared" si="111"/>
        <v>76.496813933996293</v>
      </c>
      <c r="N455" s="19">
        <f t="shared" si="112"/>
        <v>92.758550697932037</v>
      </c>
      <c r="O455" s="19">
        <f t="shared" si="112"/>
        <v>92.758550697932037</v>
      </c>
      <c r="P455" s="19">
        <f t="shared" si="113"/>
        <v>155.99941906553443</v>
      </c>
      <c r="Q455" s="19">
        <f t="shared" si="113"/>
        <v>155.99941906553443</v>
      </c>
      <c r="R455" s="19">
        <f t="shared" si="114"/>
        <v>0</v>
      </c>
      <c r="S455" s="19">
        <f t="shared" si="114"/>
        <v>0</v>
      </c>
      <c r="T455" s="19">
        <f t="shared" si="114"/>
        <v>0</v>
      </c>
      <c r="U455" s="19">
        <f t="shared" si="114"/>
        <v>0</v>
      </c>
      <c r="V455" s="19">
        <f t="shared" si="115"/>
        <v>0</v>
      </c>
      <c r="W455" s="19">
        <f t="shared" si="115"/>
        <v>0</v>
      </c>
    </row>
    <row r="456" spans="1:23" x14ac:dyDescent="0.2">
      <c r="A456">
        <v>16</v>
      </c>
      <c r="B456" s="1">
        <v>37043</v>
      </c>
      <c r="F456" s="19">
        <f t="shared" si="109"/>
        <v>33.095513888888718</v>
      </c>
      <c r="G456" s="19">
        <f t="shared" si="109"/>
        <v>33.095513888888718</v>
      </c>
      <c r="H456" s="19">
        <f t="shared" si="110"/>
        <v>56.088724216820879</v>
      </c>
      <c r="I456" s="19">
        <f t="shared" si="110"/>
        <v>56.088724216820879</v>
      </c>
      <c r="J456" s="19">
        <f t="shared" si="111"/>
        <v>68.265718623602936</v>
      </c>
      <c r="K456" s="19">
        <f t="shared" si="111"/>
        <v>68.265718623602936</v>
      </c>
      <c r="L456" s="19">
        <f t="shared" si="111"/>
        <v>68.265718623602936</v>
      </c>
      <c r="M456" s="19">
        <f t="shared" si="111"/>
        <v>68.265718623602936</v>
      </c>
      <c r="N456" s="19">
        <f t="shared" si="112"/>
        <v>84.306771178293729</v>
      </c>
      <c r="O456" s="19">
        <f t="shared" si="112"/>
        <v>84.306771178293729</v>
      </c>
      <c r="P456" s="19">
        <f t="shared" si="113"/>
        <v>146.51090399888642</v>
      </c>
      <c r="Q456" s="19">
        <f t="shared" si="113"/>
        <v>146.51090399888642</v>
      </c>
      <c r="R456" s="19">
        <f t="shared" si="114"/>
        <v>0</v>
      </c>
      <c r="S456" s="19">
        <f t="shared" si="114"/>
        <v>0</v>
      </c>
      <c r="T456" s="19">
        <f t="shared" si="114"/>
        <v>86.388268138638182</v>
      </c>
      <c r="U456" s="19">
        <f t="shared" si="114"/>
        <v>86.388268138638182</v>
      </c>
      <c r="V456" s="19">
        <f t="shared" si="115"/>
        <v>0</v>
      </c>
      <c r="W456" s="19">
        <f t="shared" si="115"/>
        <v>0</v>
      </c>
    </row>
    <row r="457" spans="1:23" x14ac:dyDescent="0.2">
      <c r="A457">
        <v>17</v>
      </c>
      <c r="B457" s="1">
        <v>37073</v>
      </c>
      <c r="F457" s="19">
        <f t="shared" si="109"/>
        <v>99.45191666666642</v>
      </c>
      <c r="G457" s="19">
        <f t="shared" si="109"/>
        <v>99.45191666666642</v>
      </c>
      <c r="H457" s="19">
        <f t="shared" si="110"/>
        <v>44.497105787036958</v>
      </c>
      <c r="I457" s="19">
        <f t="shared" si="110"/>
        <v>44.497105787036958</v>
      </c>
      <c r="J457" s="19">
        <f t="shared" si="111"/>
        <v>60.169559301904542</v>
      </c>
      <c r="K457" s="19">
        <f t="shared" si="111"/>
        <v>60.169559301904542</v>
      </c>
      <c r="L457" s="19">
        <f t="shared" si="111"/>
        <v>60.169559301904542</v>
      </c>
      <c r="M457" s="19">
        <f t="shared" si="111"/>
        <v>60.169559301904542</v>
      </c>
      <c r="N457" s="19">
        <f t="shared" si="112"/>
        <v>75.993545421272643</v>
      </c>
      <c r="O457" s="19">
        <f t="shared" si="112"/>
        <v>75.993545421272643</v>
      </c>
      <c r="P457" s="19">
        <f t="shared" si="113"/>
        <v>137.17793835956047</v>
      </c>
      <c r="Q457" s="19">
        <f t="shared" si="113"/>
        <v>137.17793835956047</v>
      </c>
      <c r="R457" s="19">
        <f t="shared" si="114"/>
        <v>162.71462584650124</v>
      </c>
      <c r="S457" s="19">
        <f t="shared" si="114"/>
        <v>162.71462584650124</v>
      </c>
      <c r="T457" s="19">
        <f t="shared" si="114"/>
        <v>162.71462584650124</v>
      </c>
      <c r="U457" s="19">
        <f t="shared" si="114"/>
        <v>162.71462584650124</v>
      </c>
      <c r="V457" s="19">
        <f t="shared" si="115"/>
        <v>0</v>
      </c>
      <c r="W457" s="19">
        <f t="shared" si="115"/>
        <v>0</v>
      </c>
    </row>
    <row r="458" spans="1:23" x14ac:dyDescent="0.2">
      <c r="A458">
        <v>18</v>
      </c>
      <c r="B458" s="1">
        <v>37104</v>
      </c>
      <c r="H458" s="19">
        <f t="shared" si="110"/>
        <v>33.095513888888718</v>
      </c>
      <c r="I458" s="19">
        <f t="shared" si="110"/>
        <v>33.095513888888718</v>
      </c>
      <c r="J458" s="19">
        <f t="shared" si="111"/>
        <v>52.206123903512605</v>
      </c>
      <c r="K458" s="19">
        <f t="shared" si="111"/>
        <v>52.206123903512605</v>
      </c>
      <c r="L458" s="19">
        <f t="shared" si="111"/>
        <v>52.206123903512605</v>
      </c>
      <c r="M458" s="19">
        <f t="shared" si="111"/>
        <v>52.206123903512605</v>
      </c>
      <c r="N458" s="19">
        <f t="shared" si="112"/>
        <v>67.816602053710767</v>
      </c>
      <c r="O458" s="19">
        <f t="shared" si="112"/>
        <v>67.816602053710767</v>
      </c>
      <c r="P458" s="19">
        <f t="shared" si="113"/>
        <v>127.9979721569448</v>
      </c>
      <c r="Q458" s="19">
        <f t="shared" si="113"/>
        <v>127.9979721569448</v>
      </c>
      <c r="R458" s="19">
        <f t="shared" si="114"/>
        <v>152.81766476705047</v>
      </c>
      <c r="S458" s="19">
        <f t="shared" si="114"/>
        <v>152.81766476705047</v>
      </c>
      <c r="T458" s="19">
        <f t="shared" si="114"/>
        <v>152.81766476705047</v>
      </c>
      <c r="U458" s="19">
        <f t="shared" si="114"/>
        <v>152.81766476705047</v>
      </c>
      <c r="V458" s="19">
        <f t="shared" si="115"/>
        <v>0</v>
      </c>
      <c r="W458" s="19">
        <f t="shared" si="115"/>
        <v>0</v>
      </c>
    </row>
    <row r="459" spans="1:23" x14ac:dyDescent="0.2">
      <c r="A459">
        <v>19</v>
      </c>
      <c r="B459" s="1">
        <v>37135</v>
      </c>
      <c r="H459" s="19">
        <f t="shared" si="110"/>
        <v>99.45191666666642</v>
      </c>
      <c r="I459" s="19">
        <f t="shared" si="110"/>
        <v>99.45191666666642</v>
      </c>
      <c r="J459" s="19">
        <f t="shared" si="111"/>
        <v>44.373236626405969</v>
      </c>
      <c r="K459" s="19">
        <f t="shared" si="111"/>
        <v>44.373236626405969</v>
      </c>
      <c r="L459" s="19">
        <f t="shared" si="111"/>
        <v>44.373236626405969</v>
      </c>
      <c r="M459" s="19">
        <f t="shared" si="111"/>
        <v>44.373236626405969</v>
      </c>
      <c r="N459" s="19">
        <f t="shared" si="112"/>
        <v>59.773706938076202</v>
      </c>
      <c r="O459" s="19">
        <f t="shared" si="112"/>
        <v>59.773706938076202</v>
      </c>
      <c r="P459" s="19">
        <f t="shared" si="113"/>
        <v>118.96849720355226</v>
      </c>
      <c r="Q459" s="19">
        <f t="shared" si="113"/>
        <v>118.96849720355226</v>
      </c>
      <c r="R459" s="19">
        <f t="shared" si="114"/>
        <v>143.08294895119718</v>
      </c>
      <c r="S459" s="19">
        <f t="shared" si="114"/>
        <v>143.08294895119718</v>
      </c>
      <c r="T459" s="19">
        <f t="shared" si="114"/>
        <v>143.08294895119718</v>
      </c>
      <c r="U459" s="19">
        <f t="shared" si="114"/>
        <v>143.08294895119718</v>
      </c>
      <c r="V459" s="19">
        <f t="shared" si="115"/>
        <v>0</v>
      </c>
      <c r="W459" s="19">
        <f t="shared" si="115"/>
        <v>0</v>
      </c>
    </row>
    <row r="460" spans="1:23" x14ac:dyDescent="0.2">
      <c r="A460">
        <v>20</v>
      </c>
      <c r="B460" s="1">
        <v>37165</v>
      </c>
      <c r="J460" s="19">
        <f t="shared" si="111"/>
        <v>36.66875733744854</v>
      </c>
      <c r="K460" s="19">
        <f t="shared" si="111"/>
        <v>36.66875733744854</v>
      </c>
      <c r="L460" s="19">
        <f t="shared" si="111"/>
        <v>36.66875733744854</v>
      </c>
      <c r="M460" s="19">
        <f t="shared" si="111"/>
        <v>36.66875733744854</v>
      </c>
      <c r="N460" s="19">
        <f t="shared" si="112"/>
        <v>51.862662562042146</v>
      </c>
      <c r="O460" s="19">
        <f t="shared" si="112"/>
        <v>51.862662562042146</v>
      </c>
      <c r="P460" s="19">
        <f t="shared" si="113"/>
        <v>110.08704642972373</v>
      </c>
      <c r="Q460" s="19">
        <f t="shared" si="113"/>
        <v>110.08704642972373</v>
      </c>
      <c r="R460" s="19">
        <f t="shared" si="114"/>
        <v>133.50781864052192</v>
      </c>
      <c r="S460" s="19">
        <f t="shared" si="114"/>
        <v>133.50781864052192</v>
      </c>
      <c r="T460" s="19">
        <f t="shared" si="114"/>
        <v>133.50781864052192</v>
      </c>
      <c r="U460" s="19">
        <f t="shared" si="114"/>
        <v>133.50781864052192</v>
      </c>
      <c r="V460" s="19">
        <f t="shared" si="115"/>
        <v>161.42323992708452</v>
      </c>
      <c r="W460" s="19">
        <f t="shared" si="115"/>
        <v>161.42323992708452</v>
      </c>
    </row>
    <row r="461" spans="1:23" x14ac:dyDescent="0.2">
      <c r="A461">
        <v>21</v>
      </c>
      <c r="B461" s="1">
        <v>37196</v>
      </c>
      <c r="J461" s="19">
        <f t="shared" si="111"/>
        <v>29.090580987654278</v>
      </c>
      <c r="K461" s="19">
        <f t="shared" si="111"/>
        <v>29.090580987654278</v>
      </c>
      <c r="L461" s="19">
        <f t="shared" si="111"/>
        <v>29.090580987654278</v>
      </c>
      <c r="M461" s="19">
        <f t="shared" si="111"/>
        <v>29.090580987654278</v>
      </c>
      <c r="N461" s="19">
        <f t="shared" si="112"/>
        <v>44.081307438074361</v>
      </c>
      <c r="O461" s="19">
        <f t="shared" si="112"/>
        <v>44.081307438074361</v>
      </c>
      <c r="P461" s="19">
        <f t="shared" si="113"/>
        <v>101.35119320956426</v>
      </c>
      <c r="Q461" s="19">
        <f t="shared" si="113"/>
        <v>101.35119320956426</v>
      </c>
      <c r="R461" s="19">
        <f t="shared" ref="R461:U480" si="116">(R410*(1+$M$18/12)^($A$85-$A71+1))-R410</f>
        <v>124.08965767920188</v>
      </c>
      <c r="S461" s="19">
        <f t="shared" si="116"/>
        <v>124.08965767920188</v>
      </c>
      <c r="T461" s="19">
        <f t="shared" si="116"/>
        <v>124.08965767920188</v>
      </c>
      <c r="U461" s="19">
        <f t="shared" si="116"/>
        <v>124.08965767920188</v>
      </c>
      <c r="V461" s="19">
        <f t="shared" ref="V461:W480" si="117">(V410*(1+$M$18/12)^($A$88-$A71+1))-V410</f>
        <v>151.60482615778812</v>
      </c>
      <c r="W461" s="19">
        <f t="shared" si="117"/>
        <v>151.60482615778812</v>
      </c>
    </row>
    <row r="462" spans="1:23" x14ac:dyDescent="0.2">
      <c r="A462">
        <v>22</v>
      </c>
      <c r="B462" s="1">
        <v>37226</v>
      </c>
      <c r="J462" s="19">
        <f t="shared" si="111"/>
        <v>24.732668981481368</v>
      </c>
      <c r="K462" s="19">
        <f t="shared" si="111"/>
        <v>24.732668981481368</v>
      </c>
      <c r="L462" s="19">
        <f t="shared" si="111"/>
        <v>24.732668981481368</v>
      </c>
      <c r="M462" s="19">
        <f t="shared" si="111"/>
        <v>24.732668981481368</v>
      </c>
      <c r="N462" s="19">
        <f t="shared" si="112"/>
        <v>36.427515512860055</v>
      </c>
      <c r="O462" s="19">
        <f t="shared" si="112"/>
        <v>36.427515512860055</v>
      </c>
      <c r="P462" s="19">
        <f t="shared" si="113"/>
        <v>92.758550697932037</v>
      </c>
      <c r="Q462" s="19">
        <f t="shared" si="113"/>
        <v>92.758550697932037</v>
      </c>
      <c r="R462" s="19">
        <f t="shared" si="116"/>
        <v>114.82589279921513</v>
      </c>
      <c r="S462" s="19">
        <f t="shared" si="116"/>
        <v>114.82589279921513</v>
      </c>
      <c r="T462" s="19">
        <f t="shared" si="116"/>
        <v>114.82589279921513</v>
      </c>
      <c r="U462" s="19">
        <f t="shared" si="116"/>
        <v>114.82589279921513</v>
      </c>
      <c r="V462" s="19">
        <f t="shared" si="117"/>
        <v>141.94736999126712</v>
      </c>
      <c r="W462" s="19">
        <f t="shared" si="117"/>
        <v>141.94736999126712</v>
      </c>
    </row>
    <row r="463" spans="1:23" x14ac:dyDescent="0.2">
      <c r="A463">
        <v>23</v>
      </c>
      <c r="B463" s="1">
        <v>37257</v>
      </c>
      <c r="J463" s="19">
        <f t="shared" si="111"/>
        <v>102.16937499999995</v>
      </c>
      <c r="K463" s="19">
        <f t="shared" si="111"/>
        <v>102.16937499999995</v>
      </c>
      <c r="L463" s="19">
        <f t="shared" si="111"/>
        <v>102.16937499999995</v>
      </c>
      <c r="M463" s="19">
        <f t="shared" si="111"/>
        <v>102.16937499999995</v>
      </c>
      <c r="N463" s="19">
        <f t="shared" si="112"/>
        <v>28.899195586419694</v>
      </c>
      <c r="O463" s="19">
        <f t="shared" si="112"/>
        <v>28.899195586419694</v>
      </c>
      <c r="P463" s="19">
        <f t="shared" si="113"/>
        <v>84.306771178293729</v>
      </c>
      <c r="Q463" s="19">
        <f t="shared" si="113"/>
        <v>84.306771178293729</v>
      </c>
      <c r="R463" s="19">
        <f t="shared" si="116"/>
        <v>105.71399291726073</v>
      </c>
      <c r="S463" s="19">
        <f t="shared" si="116"/>
        <v>105.71399291726073</v>
      </c>
      <c r="T463" s="19">
        <f t="shared" si="116"/>
        <v>105.71399291726073</v>
      </c>
      <c r="U463" s="19">
        <f t="shared" si="116"/>
        <v>105.71399291726073</v>
      </c>
      <c r="V463" s="19">
        <f t="shared" si="117"/>
        <v>132.44823277829551</v>
      </c>
      <c r="W463" s="19">
        <f t="shared" si="117"/>
        <v>132.44823277829551</v>
      </c>
    </row>
    <row r="464" spans="1:23" x14ac:dyDescent="0.2">
      <c r="A464">
        <v>24</v>
      </c>
      <c r="B464" s="1">
        <v>37288</v>
      </c>
      <c r="N464" s="19">
        <f t="shared" si="112"/>
        <v>24.554736111110969</v>
      </c>
      <c r="O464" s="19">
        <f t="shared" si="112"/>
        <v>24.554736111110969</v>
      </c>
      <c r="P464" s="19">
        <f t="shared" si="113"/>
        <v>75.993545421272643</v>
      </c>
      <c r="Q464" s="19">
        <f t="shared" si="113"/>
        <v>75.993545421272643</v>
      </c>
      <c r="R464" s="19">
        <f t="shared" si="116"/>
        <v>96.751468443207273</v>
      </c>
      <c r="S464" s="19">
        <f t="shared" si="116"/>
        <v>96.751468443207273</v>
      </c>
      <c r="T464" s="19">
        <f t="shared" si="116"/>
        <v>96.751468443207273</v>
      </c>
      <c r="U464" s="19">
        <f t="shared" si="116"/>
        <v>96.751468443207273</v>
      </c>
      <c r="V464" s="19">
        <f t="shared" si="117"/>
        <v>123.1048191261923</v>
      </c>
      <c r="W464" s="19">
        <f t="shared" si="117"/>
        <v>123.1048191261923</v>
      </c>
    </row>
    <row r="465" spans="1:23" x14ac:dyDescent="0.2">
      <c r="A465">
        <v>25</v>
      </c>
      <c r="B465" s="1">
        <v>37316</v>
      </c>
      <c r="N465" s="19">
        <f t="shared" si="112"/>
        <v>101.46354166666652</v>
      </c>
      <c r="O465" s="19">
        <f t="shared" si="112"/>
        <v>101.46354166666652</v>
      </c>
      <c r="P465" s="19">
        <f t="shared" si="113"/>
        <v>67.816602053710767</v>
      </c>
      <c r="Q465" s="19">
        <f t="shared" si="113"/>
        <v>67.816602053710767</v>
      </c>
      <c r="R465" s="19">
        <f t="shared" si="116"/>
        <v>87.935870599875898</v>
      </c>
      <c r="S465" s="19">
        <f t="shared" si="116"/>
        <v>87.935870599875898</v>
      </c>
      <c r="T465" s="19">
        <f t="shared" si="116"/>
        <v>87.935870599875898</v>
      </c>
      <c r="U465" s="19">
        <f t="shared" si="116"/>
        <v>87.935870599875898</v>
      </c>
      <c r="V465" s="19">
        <f t="shared" si="117"/>
        <v>113.91457618969753</v>
      </c>
      <c r="W465" s="19">
        <f t="shared" si="117"/>
        <v>113.91457618969753</v>
      </c>
    </row>
    <row r="466" spans="1:23" x14ac:dyDescent="0.2">
      <c r="A466">
        <v>26</v>
      </c>
      <c r="B466" s="1">
        <v>37347</v>
      </c>
      <c r="P466" s="19">
        <f t="shared" si="113"/>
        <v>59.773706938076202</v>
      </c>
      <c r="Q466" s="19">
        <f t="shared" si="113"/>
        <v>59.773706938076202</v>
      </c>
      <c r="R466" s="19">
        <f t="shared" si="116"/>
        <v>79.264790753976399</v>
      </c>
      <c r="S466" s="19">
        <f t="shared" si="116"/>
        <v>79.264790753976399</v>
      </c>
      <c r="T466" s="19">
        <f t="shared" si="116"/>
        <v>79.264790753976399</v>
      </c>
      <c r="U466" s="19">
        <f t="shared" si="116"/>
        <v>79.264790753976399</v>
      </c>
      <c r="V466" s="19">
        <f t="shared" si="117"/>
        <v>104.87499297347301</v>
      </c>
      <c r="W466" s="19">
        <f t="shared" si="117"/>
        <v>104.87499297347301</v>
      </c>
    </row>
    <row r="467" spans="1:23" x14ac:dyDescent="0.2">
      <c r="A467">
        <v>27</v>
      </c>
      <c r="B467" s="1">
        <v>37377</v>
      </c>
      <c r="P467" s="19">
        <f t="shared" si="113"/>
        <v>51.862662562042146</v>
      </c>
      <c r="Q467" s="19">
        <f t="shared" si="113"/>
        <v>51.862662562042146</v>
      </c>
      <c r="R467" s="19">
        <f t="shared" si="116"/>
        <v>70.73585975800961</v>
      </c>
      <c r="S467" s="19">
        <f t="shared" si="116"/>
        <v>70.73585975800961</v>
      </c>
      <c r="T467" s="19">
        <f t="shared" si="116"/>
        <v>70.73585975800961</v>
      </c>
      <c r="U467" s="19">
        <f t="shared" si="116"/>
        <v>70.73585975800961</v>
      </c>
      <c r="V467" s="19">
        <f t="shared" si="117"/>
        <v>95.983599646038897</v>
      </c>
      <c r="W467" s="19">
        <f t="shared" si="117"/>
        <v>95.983599646038897</v>
      </c>
    </row>
    <row r="468" spans="1:23" x14ac:dyDescent="0.2">
      <c r="A468">
        <v>28</v>
      </c>
      <c r="B468" s="1">
        <v>37408</v>
      </c>
      <c r="P468" s="19">
        <f t="shared" si="113"/>
        <v>44.081307438074361</v>
      </c>
      <c r="Q468" s="19">
        <f t="shared" si="113"/>
        <v>44.081307438074361</v>
      </c>
      <c r="R468" s="19">
        <f t="shared" si="116"/>
        <v>62.346747302960296</v>
      </c>
      <c r="S468" s="19">
        <f t="shared" si="116"/>
        <v>62.346747302960296</v>
      </c>
      <c r="T468" s="19">
        <f t="shared" si="116"/>
        <v>62.346747302960296</v>
      </c>
      <c r="U468" s="19">
        <f t="shared" si="116"/>
        <v>62.346747302960296</v>
      </c>
      <c r="V468" s="19">
        <f t="shared" si="117"/>
        <v>87.237966864956206</v>
      </c>
      <c r="W468" s="19">
        <f t="shared" si="117"/>
        <v>87.237966864956206</v>
      </c>
    </row>
    <row r="469" spans="1:23" x14ac:dyDescent="0.2">
      <c r="A469">
        <v>29</v>
      </c>
      <c r="B469" s="1">
        <v>37438</v>
      </c>
      <c r="P469" s="19">
        <f t="shared" si="113"/>
        <v>36.427515512860055</v>
      </c>
      <c r="Q469" s="19">
        <f t="shared" si="113"/>
        <v>36.427515512860055</v>
      </c>
      <c r="R469" s="19">
        <f t="shared" si="116"/>
        <v>54.095161281600269</v>
      </c>
      <c r="S469" s="19">
        <f t="shared" si="116"/>
        <v>54.095161281600269</v>
      </c>
      <c r="T469" s="19">
        <f t="shared" si="116"/>
        <v>54.095161281600269</v>
      </c>
      <c r="U469" s="19">
        <f t="shared" si="116"/>
        <v>54.095161281600269</v>
      </c>
      <c r="V469" s="19">
        <f t="shared" si="117"/>
        <v>78.635705113071822</v>
      </c>
      <c r="W469" s="19">
        <f t="shared" si="117"/>
        <v>78.635705113071822</v>
      </c>
    </row>
    <row r="470" spans="1:23" x14ac:dyDescent="0.2">
      <c r="A470">
        <v>30</v>
      </c>
      <c r="B470" s="1">
        <v>37469</v>
      </c>
      <c r="P470" s="19">
        <f t="shared" si="113"/>
        <v>28.899195586419694</v>
      </c>
      <c r="Q470" s="19">
        <f t="shared" si="113"/>
        <v>28.899195586419694</v>
      </c>
      <c r="R470" s="19">
        <f t="shared" si="116"/>
        <v>45.978847162229897</v>
      </c>
      <c r="S470" s="19">
        <f t="shared" si="116"/>
        <v>45.978847162229897</v>
      </c>
      <c r="T470" s="19">
        <f t="shared" si="116"/>
        <v>45.978847162229897</v>
      </c>
      <c r="U470" s="19">
        <f t="shared" si="116"/>
        <v>45.978847162229897</v>
      </c>
      <c r="V470" s="19">
        <f t="shared" si="117"/>
        <v>70.17446404564447</v>
      </c>
      <c r="W470" s="19">
        <f t="shared" si="117"/>
        <v>70.17446404564447</v>
      </c>
    </row>
    <row r="471" spans="1:23" x14ac:dyDescent="0.2">
      <c r="A471">
        <v>31</v>
      </c>
      <c r="B471" s="1">
        <v>37500</v>
      </c>
      <c r="P471" s="19">
        <f t="shared" si="113"/>
        <v>24.554736111110969</v>
      </c>
      <c r="Q471" s="19">
        <f t="shared" si="113"/>
        <v>24.554736111110969</v>
      </c>
      <c r="R471" s="19">
        <f t="shared" si="116"/>
        <v>37.995587372685122</v>
      </c>
      <c r="S471" s="19">
        <f t="shared" si="116"/>
        <v>37.995587372685122</v>
      </c>
      <c r="T471" s="19">
        <f t="shared" si="116"/>
        <v>37.995587372685122</v>
      </c>
      <c r="U471" s="19">
        <f t="shared" si="116"/>
        <v>37.995587372685122</v>
      </c>
      <c r="V471" s="19">
        <f t="shared" si="117"/>
        <v>61.8519318481749</v>
      </c>
      <c r="W471" s="19">
        <f t="shared" si="117"/>
        <v>61.8519318481749</v>
      </c>
    </row>
    <row r="472" spans="1:23" x14ac:dyDescent="0.2">
      <c r="A472">
        <v>32</v>
      </c>
      <c r="B472" s="1">
        <v>37530</v>
      </c>
      <c r="P472" s="19">
        <f t="shared" si="113"/>
        <v>101.46354166666652</v>
      </c>
      <c r="Q472" s="19">
        <f t="shared" si="113"/>
        <v>101.46354166666652</v>
      </c>
      <c r="R472" s="19">
        <f t="shared" si="116"/>
        <v>30.143200694444374</v>
      </c>
      <c r="S472" s="19">
        <f t="shared" si="116"/>
        <v>30.143200694444374</v>
      </c>
      <c r="T472" s="19">
        <f t="shared" si="116"/>
        <v>32.29628645833327</v>
      </c>
      <c r="U472" s="19">
        <f t="shared" si="116"/>
        <v>32.29628645833327</v>
      </c>
      <c r="V472" s="19">
        <f t="shared" si="117"/>
        <v>53.665834604762154</v>
      </c>
      <c r="W472" s="19">
        <f t="shared" si="117"/>
        <v>53.665834604762154</v>
      </c>
    </row>
    <row r="473" spans="1:23" x14ac:dyDescent="0.2">
      <c r="A473">
        <v>33</v>
      </c>
      <c r="B473" s="1">
        <v>37561</v>
      </c>
      <c r="R473" s="19">
        <f t="shared" si="116"/>
        <v>25.622333333333188</v>
      </c>
      <c r="S473" s="19">
        <f t="shared" si="116"/>
        <v>25.622333333333188</v>
      </c>
      <c r="T473" s="19">
        <f t="shared" si="116"/>
        <v>92.880958333332956</v>
      </c>
      <c r="U473" s="19">
        <f t="shared" si="116"/>
        <v>92.880958333332956</v>
      </c>
      <c r="V473" s="19">
        <f t="shared" si="117"/>
        <v>45.613935676815345</v>
      </c>
      <c r="W473" s="19">
        <f t="shared" si="117"/>
        <v>45.613935676815345</v>
      </c>
    </row>
    <row r="474" spans="1:23" x14ac:dyDescent="0.2">
      <c r="A474">
        <v>34</v>
      </c>
      <c r="B474" s="1">
        <v>37591</v>
      </c>
      <c r="R474" s="19">
        <f t="shared" si="116"/>
        <v>105.87499999999955</v>
      </c>
      <c r="S474" s="19">
        <f t="shared" si="116"/>
        <v>105.87499999999955</v>
      </c>
      <c r="T474" s="19">
        <f t="shared" si="116"/>
        <v>63.524999999999864</v>
      </c>
      <c r="U474" s="19">
        <f t="shared" si="116"/>
        <v>63.524999999999864</v>
      </c>
      <c r="V474" s="19">
        <f t="shared" si="117"/>
        <v>37.694035091949559</v>
      </c>
      <c r="W474" s="19">
        <f t="shared" si="117"/>
        <v>37.694035091949559</v>
      </c>
    </row>
    <row r="475" spans="1:23" x14ac:dyDescent="0.2">
      <c r="A475">
        <v>35</v>
      </c>
      <c r="B475" s="1">
        <v>37622</v>
      </c>
      <c r="V475" s="19">
        <f t="shared" si="117"/>
        <v>29.903968942901201</v>
      </c>
      <c r="W475" s="19">
        <f t="shared" si="117"/>
        <v>29.903968942901201</v>
      </c>
    </row>
    <row r="476" spans="1:23" x14ac:dyDescent="0.2">
      <c r="A476">
        <v>36</v>
      </c>
      <c r="B476" s="1">
        <v>37653</v>
      </c>
      <c r="V476" s="19">
        <f t="shared" si="117"/>
        <v>25.408813888888744</v>
      </c>
      <c r="W476" s="19">
        <f t="shared" si="117"/>
        <v>25.408813888888744</v>
      </c>
    </row>
    <row r="477" spans="1:23" x14ac:dyDescent="0.2">
      <c r="A477">
        <v>37</v>
      </c>
      <c r="B477" s="1">
        <v>37681</v>
      </c>
      <c r="V477" s="19">
        <f t="shared" si="117"/>
        <v>104.99270833333321</v>
      </c>
      <c r="W477" s="19">
        <f t="shared" si="117"/>
        <v>104.99270833333321</v>
      </c>
    </row>
    <row r="478" spans="1:23" x14ac:dyDescent="0.2">
      <c r="A478">
        <v>38</v>
      </c>
      <c r="B478" s="1">
        <v>37712</v>
      </c>
    </row>
    <row r="479" spans="1:23" x14ac:dyDescent="0.2">
      <c r="A479">
        <v>39</v>
      </c>
      <c r="B479" s="1">
        <v>37742</v>
      </c>
    </row>
    <row r="480" spans="1:23" x14ac:dyDescent="0.2">
      <c r="A480">
        <v>40</v>
      </c>
      <c r="B480" s="1">
        <v>37773</v>
      </c>
    </row>
    <row r="481" spans="1:23" x14ac:dyDescent="0.2">
      <c r="A481">
        <v>41</v>
      </c>
      <c r="B481" s="1">
        <v>37803</v>
      </c>
    </row>
    <row r="482" spans="1:23" x14ac:dyDescent="0.2">
      <c r="A482">
        <v>42</v>
      </c>
      <c r="B482" s="1">
        <v>37834</v>
      </c>
    </row>
    <row r="483" spans="1:23" x14ac:dyDescent="0.2">
      <c r="A483">
        <v>43</v>
      </c>
      <c r="B483" s="1">
        <v>37865</v>
      </c>
    </row>
    <row r="484" spans="1:23" x14ac:dyDescent="0.2">
      <c r="A484">
        <v>44</v>
      </c>
      <c r="B484" s="1">
        <v>37895</v>
      </c>
    </row>
    <row r="485" spans="1:23" x14ac:dyDescent="0.2">
      <c r="A485">
        <v>45</v>
      </c>
      <c r="B485" s="1">
        <v>37926</v>
      </c>
    </row>
    <row r="486" spans="1:23" x14ac:dyDescent="0.2">
      <c r="A486">
        <v>46</v>
      </c>
      <c r="B486" s="1">
        <v>37956</v>
      </c>
      <c r="D486" s="4">
        <f>D148*$M$17</f>
        <v>0</v>
      </c>
    </row>
    <row r="487" spans="1:23" x14ac:dyDescent="0.2">
      <c r="B487" s="3" t="s">
        <v>63</v>
      </c>
      <c r="C487" s="3"/>
      <c r="D487" s="5">
        <f t="shared" ref="D487:W487" si="118">SUM(D441:D486)</f>
        <v>1275.0290874870166</v>
      </c>
      <c r="E487" s="5">
        <f t="shared" si="118"/>
        <v>1023.2171175728495</v>
      </c>
      <c r="F487" s="5">
        <f t="shared" si="118"/>
        <v>1288.0113158020079</v>
      </c>
      <c r="G487" s="5">
        <f t="shared" si="118"/>
        <v>1288.0113158020079</v>
      </c>
      <c r="H487" s="5">
        <f t="shared" si="118"/>
        <v>1300.861748623716</v>
      </c>
      <c r="I487" s="5">
        <f t="shared" si="118"/>
        <v>1300.861748623716</v>
      </c>
      <c r="J487" s="5">
        <f t="shared" si="118"/>
        <v>1716.9707192091305</v>
      </c>
      <c r="K487" s="5">
        <f t="shared" si="118"/>
        <v>1716.9707192091305</v>
      </c>
      <c r="L487" s="5">
        <f t="shared" si="118"/>
        <v>1716.9707192091305</v>
      </c>
      <c r="M487" s="5">
        <f t="shared" si="118"/>
        <v>1716.9707192091305</v>
      </c>
      <c r="N487" s="5">
        <f t="shared" si="118"/>
        <v>1720.589041946768</v>
      </c>
      <c r="O487" s="5">
        <f t="shared" si="118"/>
        <v>1720.589041946768</v>
      </c>
      <c r="P487" s="5">
        <f t="shared" si="118"/>
        <v>1776.5987470707271</v>
      </c>
      <c r="Q487" s="5">
        <f t="shared" si="118"/>
        <v>1776.5987470707271</v>
      </c>
      <c r="R487" s="5">
        <f t="shared" si="118"/>
        <v>2055.7353763016845</v>
      </c>
      <c r="S487" s="5">
        <f t="shared" si="118"/>
        <v>2055.7353763016845</v>
      </c>
      <c r="T487" s="5">
        <f t="shared" si="118"/>
        <v>2169.1853552042112</v>
      </c>
      <c r="U487" s="5">
        <f t="shared" si="118"/>
        <v>2169.1853552042112</v>
      </c>
      <c r="V487" s="5">
        <f t="shared" si="118"/>
        <v>2092.5124267954034</v>
      </c>
      <c r="W487" s="5">
        <f t="shared" si="118"/>
        <v>2092.5124267954034</v>
      </c>
    </row>
    <row r="509" spans="2:23" x14ac:dyDescent="0.2">
      <c r="B509" s="31" t="s">
        <v>51</v>
      </c>
    </row>
    <row r="510" spans="2:23" x14ac:dyDescent="0.2">
      <c r="B510" s="31"/>
    </row>
    <row r="511" spans="2:23" x14ac:dyDescent="0.2">
      <c r="B511" t="s">
        <v>86</v>
      </c>
    </row>
    <row r="512" spans="2:23" x14ac:dyDescent="0.2">
      <c r="B512" t="s">
        <v>89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2:23" x14ac:dyDescent="0.2">
      <c r="B513" s="1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2:23" x14ac:dyDescent="0.2"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2:23" x14ac:dyDescent="0.2">
      <c r="B515" s="1"/>
      <c r="D515" t="s">
        <v>55</v>
      </c>
      <c r="N515" s="19"/>
      <c r="O515" s="19"/>
      <c r="P515" s="19"/>
      <c r="R515" s="19"/>
      <c r="S515" s="19"/>
      <c r="T515" s="19"/>
      <c r="U515" s="19"/>
      <c r="V515" s="19"/>
      <c r="W515" s="19"/>
    </row>
    <row r="516" spans="2:23" x14ac:dyDescent="0.2">
      <c r="B516" s="1"/>
      <c r="C516" s="32">
        <f>Sheet2!AD43</f>
        <v>72901.886266092159</v>
      </c>
      <c r="D516" s="53">
        <v>0.2</v>
      </c>
      <c r="E516" s="53">
        <f>0.025+D516</f>
        <v>0.22500000000000001</v>
      </c>
      <c r="F516" s="53">
        <f t="shared" ref="F516:P516" si="119">0.025+E516</f>
        <v>0.25</v>
      </c>
      <c r="G516" s="53">
        <f t="shared" si="119"/>
        <v>0.27500000000000002</v>
      </c>
      <c r="H516" s="53">
        <f t="shared" si="119"/>
        <v>0.30000000000000004</v>
      </c>
      <c r="I516" s="53">
        <f t="shared" si="119"/>
        <v>0.32500000000000007</v>
      </c>
      <c r="J516" s="53">
        <f t="shared" si="119"/>
        <v>0.35000000000000009</v>
      </c>
      <c r="K516" s="53">
        <f t="shared" si="119"/>
        <v>0.37500000000000011</v>
      </c>
      <c r="L516" s="53">
        <f t="shared" si="119"/>
        <v>0.40000000000000013</v>
      </c>
      <c r="M516" s="53">
        <f t="shared" si="119"/>
        <v>0.42500000000000016</v>
      </c>
      <c r="N516" s="53">
        <f t="shared" si="119"/>
        <v>0.45000000000000018</v>
      </c>
      <c r="O516" s="53">
        <f t="shared" si="119"/>
        <v>0.4750000000000002</v>
      </c>
      <c r="P516" s="53">
        <f t="shared" si="119"/>
        <v>0.50000000000000022</v>
      </c>
      <c r="R516" s="19"/>
      <c r="S516" s="19"/>
      <c r="T516" s="19"/>
      <c r="U516" s="19"/>
      <c r="V516" s="19"/>
      <c r="W516" s="19"/>
    </row>
    <row r="517" spans="2:23" x14ac:dyDescent="0.2">
      <c r="B517" s="30" t="s">
        <v>54</v>
      </c>
      <c r="C517" s="54">
        <f>1-D516</f>
        <v>0.8</v>
      </c>
      <c r="R517" s="19"/>
      <c r="S517" s="19"/>
      <c r="T517" s="19"/>
      <c r="U517" s="19"/>
      <c r="V517" s="19"/>
      <c r="W517" s="19"/>
    </row>
    <row r="518" spans="2:23" x14ac:dyDescent="0.2">
      <c r="B518" s="1"/>
      <c r="C518" s="54">
        <f>1-E516</f>
        <v>0.77500000000000002</v>
      </c>
      <c r="R518" s="19"/>
      <c r="S518" s="19"/>
      <c r="T518" s="19"/>
      <c r="U518" s="19"/>
      <c r="V518" s="19"/>
      <c r="W518" s="19"/>
    </row>
    <row r="519" spans="2:23" x14ac:dyDescent="0.2">
      <c r="B519" s="1"/>
      <c r="C519" s="54">
        <f>1-F516</f>
        <v>0.75</v>
      </c>
      <c r="R519" s="19"/>
      <c r="S519" s="19"/>
      <c r="T519" s="19"/>
      <c r="U519" s="19"/>
      <c r="V519" s="19"/>
      <c r="W519" s="19"/>
    </row>
    <row r="520" spans="2:23" x14ac:dyDescent="0.2">
      <c r="B520" s="1"/>
      <c r="C520" s="54">
        <f>1-G516</f>
        <v>0.72499999999999998</v>
      </c>
      <c r="R520" s="19"/>
      <c r="S520" s="19"/>
      <c r="T520" s="19"/>
      <c r="U520" s="19"/>
      <c r="V520" s="19"/>
      <c r="W520" s="19"/>
    </row>
    <row r="521" spans="2:23" x14ac:dyDescent="0.2">
      <c r="B521" s="1"/>
      <c r="C521" s="54">
        <f>1-H516</f>
        <v>0.7</v>
      </c>
      <c r="R521" s="19"/>
      <c r="S521" s="19"/>
      <c r="T521" s="19"/>
      <c r="U521" s="19"/>
      <c r="V521" s="19"/>
      <c r="W521" s="19"/>
    </row>
    <row r="522" spans="2:23" x14ac:dyDescent="0.2">
      <c r="B522" s="1"/>
      <c r="C522" s="54">
        <f>1-I$516</f>
        <v>0.67499999999999993</v>
      </c>
      <c r="R522" s="19"/>
      <c r="S522" s="19"/>
      <c r="T522" s="19"/>
      <c r="U522" s="19"/>
      <c r="V522" s="19"/>
      <c r="W522" s="19"/>
    </row>
    <row r="523" spans="2:23" x14ac:dyDescent="0.2">
      <c r="B523" s="1"/>
      <c r="C523" s="54">
        <f>1-J$516</f>
        <v>0.64999999999999991</v>
      </c>
      <c r="R523" s="19"/>
      <c r="S523" s="19"/>
      <c r="T523" s="19"/>
      <c r="U523" s="19"/>
      <c r="V523" s="19"/>
      <c r="W523" s="19"/>
    </row>
    <row r="524" spans="2:23" x14ac:dyDescent="0.2">
      <c r="B524" s="1"/>
      <c r="C524" s="54">
        <f>1-K$516</f>
        <v>0.62499999999999989</v>
      </c>
      <c r="R524" s="19"/>
      <c r="S524" s="19"/>
      <c r="T524" s="19"/>
      <c r="U524" s="19"/>
      <c r="V524" s="19"/>
      <c r="W524" s="19"/>
    </row>
    <row r="525" spans="2:23" x14ac:dyDescent="0.2">
      <c r="B525" s="1"/>
      <c r="C525" s="54">
        <f>1-L$516</f>
        <v>0.59999999999999987</v>
      </c>
      <c r="R525" s="19"/>
      <c r="S525" s="19"/>
      <c r="T525" s="19"/>
      <c r="U525" s="19"/>
      <c r="V525" s="19"/>
      <c r="W525" s="19"/>
    </row>
    <row r="526" spans="2:23" x14ac:dyDescent="0.2">
      <c r="B526" s="1"/>
      <c r="C526" s="54">
        <f>1-M$516</f>
        <v>0.57499999999999984</v>
      </c>
      <c r="R526" s="19"/>
      <c r="S526" s="19"/>
      <c r="T526" s="19"/>
      <c r="U526" s="19"/>
      <c r="V526" s="19"/>
      <c r="W526" s="19"/>
    </row>
    <row r="527" spans="2:23" x14ac:dyDescent="0.2">
      <c r="B527" s="1"/>
      <c r="C527" s="54">
        <f>1-N$516</f>
        <v>0.54999999999999982</v>
      </c>
      <c r="R527" s="19"/>
      <c r="S527" s="19"/>
      <c r="T527" s="19"/>
      <c r="U527" s="19"/>
      <c r="V527" s="19"/>
      <c r="W527" s="19"/>
    </row>
    <row r="528" spans="2:23" x14ac:dyDescent="0.2">
      <c r="B528" s="1"/>
      <c r="C528" s="54">
        <f>1-O$516</f>
        <v>0.5249999999999998</v>
      </c>
      <c r="R528" s="19"/>
      <c r="S528" s="19"/>
      <c r="T528" s="19"/>
      <c r="U528" s="19"/>
      <c r="V528" s="19"/>
      <c r="W528" s="19"/>
    </row>
    <row r="529" spans="2:23" x14ac:dyDescent="0.2">
      <c r="B529" s="1"/>
      <c r="C529" s="54">
        <f>1-P$516</f>
        <v>0.49999999999999978</v>
      </c>
      <c r="R529" s="19"/>
      <c r="S529" s="19"/>
      <c r="T529" s="19"/>
      <c r="U529" s="19"/>
      <c r="V529" s="19"/>
      <c r="W529" s="19"/>
    </row>
    <row r="530" spans="2:23" x14ac:dyDescent="0.2">
      <c r="B530" s="1"/>
      <c r="R530" s="19"/>
      <c r="S530" s="19"/>
      <c r="T530" s="19"/>
      <c r="U530" s="19"/>
      <c r="V530" s="19"/>
      <c r="W530" s="19"/>
    </row>
    <row r="531" spans="2:23" x14ac:dyDescent="0.2">
      <c r="B531" s="1"/>
      <c r="R531" s="19"/>
      <c r="S531" s="19"/>
      <c r="T531" s="19"/>
      <c r="U531" s="19"/>
      <c r="V531" s="19"/>
      <c r="W531" s="19"/>
    </row>
    <row r="532" spans="2:23" x14ac:dyDescent="0.2">
      <c r="B532" s="1"/>
      <c r="R532" s="19"/>
      <c r="S532" s="19"/>
      <c r="T532" s="19"/>
      <c r="U532" s="19"/>
      <c r="V532" s="19"/>
      <c r="W532" s="19"/>
    </row>
    <row r="533" spans="2:23" x14ac:dyDescent="0.2">
      <c r="B533" s="1"/>
      <c r="R533" s="19"/>
      <c r="S533" s="19"/>
      <c r="T533" s="19"/>
      <c r="U533" s="19"/>
      <c r="V533" s="19"/>
      <c r="W533" s="19"/>
    </row>
    <row r="534" spans="2:23" x14ac:dyDescent="0.2">
      <c r="B534" s="1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2:23" x14ac:dyDescent="0.2"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2:23" x14ac:dyDescent="0.2"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2:23" x14ac:dyDescent="0.2">
      <c r="P537" s="19"/>
      <c r="Q537" s="19"/>
      <c r="R537" s="19"/>
      <c r="S537" s="19"/>
      <c r="T537" s="19"/>
      <c r="U537" s="19"/>
      <c r="V537" s="19"/>
      <c r="W537" s="19"/>
    </row>
    <row r="538" spans="2:23" x14ac:dyDescent="0.2">
      <c r="P538" s="19"/>
      <c r="Q538" s="19"/>
      <c r="R538" s="19"/>
      <c r="S538" s="19"/>
      <c r="T538" s="19"/>
      <c r="U538" s="19"/>
      <c r="V538" s="19"/>
      <c r="W538" s="19"/>
    </row>
    <row r="539" spans="2:23" x14ac:dyDescent="0.2">
      <c r="P539" s="19"/>
      <c r="Q539" s="19"/>
      <c r="R539" s="19"/>
      <c r="S539" s="19"/>
      <c r="T539" s="19"/>
      <c r="U539" s="19"/>
      <c r="V539" s="19"/>
      <c r="W539" s="19"/>
    </row>
    <row r="540" spans="2:23" x14ac:dyDescent="0.2">
      <c r="P540" s="19"/>
      <c r="Q540" s="19"/>
      <c r="R540" s="19"/>
      <c r="S540" s="19"/>
      <c r="T540" s="19"/>
      <c r="U540" s="19"/>
      <c r="V540" s="19"/>
      <c r="W540" s="19"/>
    </row>
    <row r="541" spans="2:23" x14ac:dyDescent="0.2">
      <c r="P541" s="19"/>
      <c r="Q541" s="19"/>
      <c r="R541" s="19"/>
      <c r="S541" s="19"/>
      <c r="T541" s="19"/>
      <c r="U541" s="19"/>
      <c r="V541" s="19"/>
      <c r="W541" s="19"/>
    </row>
    <row r="542" spans="2:23" x14ac:dyDescent="0.2">
      <c r="P542" s="19"/>
      <c r="Q542" s="19"/>
      <c r="R542" s="19"/>
      <c r="S542" s="19"/>
      <c r="T542" s="19"/>
      <c r="U542" s="19"/>
      <c r="V542" s="19"/>
      <c r="W542" s="19"/>
    </row>
    <row r="543" spans="2:23" x14ac:dyDescent="0.2">
      <c r="P543" s="19"/>
      <c r="Q543" s="19"/>
      <c r="R543" s="19"/>
      <c r="S543" s="19"/>
      <c r="T543" s="19"/>
      <c r="U543" s="19"/>
      <c r="V543" s="19"/>
      <c r="W543" s="19"/>
    </row>
    <row r="544" spans="2:23" x14ac:dyDescent="0.2">
      <c r="R544" s="19"/>
      <c r="S544" s="19"/>
      <c r="T544" s="19"/>
      <c r="U544" s="19"/>
      <c r="V544" s="19"/>
      <c r="W544" s="19"/>
    </row>
    <row r="545" spans="18:23" x14ac:dyDescent="0.2">
      <c r="R545" s="19"/>
      <c r="S545" s="19"/>
      <c r="T545" s="19"/>
      <c r="U545" s="19"/>
      <c r="V545" s="19"/>
      <c r="W545" s="19"/>
    </row>
    <row r="546" spans="18:23" x14ac:dyDescent="0.2">
      <c r="V546" s="19"/>
      <c r="W546" s="19"/>
    </row>
    <row r="547" spans="18:23" x14ac:dyDescent="0.2">
      <c r="V547" s="19"/>
      <c r="W547" s="19"/>
    </row>
    <row r="548" spans="18:23" x14ac:dyDescent="0.2">
      <c r="V548" s="19"/>
      <c r="W548" s="19"/>
    </row>
  </sheetData>
  <pageMargins left="0.5" right="0.5" top="0.5" bottom="0.5" header="0" footer="0"/>
  <pageSetup paperSize="5" scale="36" fitToWidth="2" fitToHeight="2" orientation="landscape" horizontalDpi="0" r:id="rId1"/>
  <headerFooter alignWithMargins="0">
    <oddFooter>&amp;L&amp;F</oddFooter>
  </headerFooter>
  <rowBreaks count="1" manualBreakCount="1">
    <brk id="101" max="3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X48"/>
  <sheetViews>
    <sheetView tabSelected="1" topLeftCell="T41" zoomScale="75" workbookViewId="0">
      <selection activeCell="E43" sqref="E43"/>
    </sheetView>
  </sheetViews>
  <sheetFormatPr defaultRowHeight="12.75" x14ac:dyDescent="0.2"/>
  <cols>
    <col min="1" max="1" width="4.6640625" bestFit="1" customWidth="1"/>
    <col min="3" max="3" width="11.1640625" customWidth="1"/>
    <col min="4" max="4" width="5.6640625" customWidth="1"/>
    <col min="5" max="5" width="13.1640625" customWidth="1"/>
    <col min="6" max="6" width="14.1640625" customWidth="1"/>
    <col min="7" max="7" width="12.83203125" customWidth="1"/>
    <col min="8" max="8" width="12" customWidth="1"/>
    <col min="9" max="9" width="10" customWidth="1"/>
    <col min="10" max="11" width="12" customWidth="1"/>
    <col min="12" max="12" width="13.33203125" customWidth="1"/>
    <col min="13" max="13" width="14.1640625" customWidth="1"/>
    <col min="14" max="14" width="12.6640625" customWidth="1"/>
    <col min="15" max="15" width="16.33203125" customWidth="1"/>
    <col min="16" max="16" width="10.5" customWidth="1"/>
    <col min="17" max="17" width="14" customWidth="1"/>
    <col min="18" max="18" width="14.83203125" customWidth="1"/>
    <col min="19" max="19" width="4.33203125" customWidth="1"/>
    <col min="20" max="20" width="11" customWidth="1"/>
    <col min="21" max="21" width="14.33203125" customWidth="1"/>
    <col min="22" max="22" width="15" customWidth="1"/>
    <col min="23" max="25" width="11" customWidth="1"/>
    <col min="26" max="27" width="11.5" customWidth="1"/>
    <col min="28" max="28" width="11.83203125" customWidth="1"/>
    <col min="29" max="36" width="13.1640625" customWidth="1"/>
    <col min="38" max="38" width="10.6640625" customWidth="1"/>
    <col min="39" max="40" width="15.1640625" customWidth="1"/>
    <col min="41" max="41" width="10" customWidth="1"/>
    <col min="42" max="42" width="10.83203125" customWidth="1"/>
    <col min="45" max="45" width="16.6640625" customWidth="1"/>
    <col min="46" max="46" width="10.6640625" customWidth="1"/>
    <col min="47" max="47" width="12.33203125" customWidth="1"/>
    <col min="48" max="48" width="10.33203125" customWidth="1"/>
    <col min="49" max="49" width="10.1640625" customWidth="1"/>
    <col min="50" max="50" width="13.83203125" customWidth="1"/>
  </cols>
  <sheetData>
    <row r="3" spans="1:50" x14ac:dyDescent="0.2">
      <c r="T3" t="s">
        <v>24</v>
      </c>
      <c r="AL3" t="s">
        <v>27</v>
      </c>
      <c r="AR3" t="s">
        <v>28</v>
      </c>
    </row>
    <row r="4" spans="1:50" s="26" customFormat="1" ht="63.75" x14ac:dyDescent="0.2">
      <c r="C4" s="26" t="s">
        <v>53</v>
      </c>
      <c r="E4" s="26" t="s">
        <v>60</v>
      </c>
      <c r="F4" s="26" t="s">
        <v>56</v>
      </c>
      <c r="G4" s="26" t="s">
        <v>70</v>
      </c>
      <c r="H4" s="26" t="s">
        <v>57</v>
      </c>
      <c r="I4" s="26" t="s">
        <v>71</v>
      </c>
      <c r="J4" s="26" t="s">
        <v>59</v>
      </c>
      <c r="L4" s="26" t="s">
        <v>64</v>
      </c>
      <c r="M4" s="26" t="s">
        <v>36</v>
      </c>
      <c r="N4" s="27" t="s">
        <v>52</v>
      </c>
      <c r="O4" s="27" t="s">
        <v>32</v>
      </c>
      <c r="P4" s="26" t="s">
        <v>11</v>
      </c>
      <c r="Q4" s="26" t="s">
        <v>33</v>
      </c>
      <c r="R4" s="26" t="s">
        <v>37</v>
      </c>
      <c r="T4" s="26" t="s">
        <v>13</v>
      </c>
      <c r="U4" s="26" t="s">
        <v>21</v>
      </c>
      <c r="V4" s="26" t="s">
        <v>11</v>
      </c>
      <c r="W4" s="26" t="s">
        <v>26</v>
      </c>
      <c r="X4" s="26" t="s">
        <v>57</v>
      </c>
      <c r="Y4" s="26" t="s">
        <v>58</v>
      </c>
      <c r="Z4" s="26" t="s">
        <v>74</v>
      </c>
      <c r="AA4" s="26" t="s">
        <v>73</v>
      </c>
      <c r="AB4" s="26" t="s">
        <v>75</v>
      </c>
      <c r="AC4" s="26" t="s">
        <v>76</v>
      </c>
      <c r="AD4" s="26" t="s">
        <v>77</v>
      </c>
      <c r="AF4" s="26" t="s">
        <v>78</v>
      </c>
      <c r="AG4" s="26" t="s">
        <v>79</v>
      </c>
      <c r="AL4" s="26" t="s">
        <v>13</v>
      </c>
      <c r="AM4" s="26" t="s">
        <v>21</v>
      </c>
      <c r="AN4" s="26" t="s">
        <v>11</v>
      </c>
      <c r="AO4" s="26" t="s">
        <v>26</v>
      </c>
      <c r="AP4" s="26" t="s">
        <v>29</v>
      </c>
      <c r="AR4" s="26" t="s">
        <v>13</v>
      </c>
      <c r="AS4" s="26" t="s">
        <v>21</v>
      </c>
      <c r="AT4" s="26" t="s">
        <v>26</v>
      </c>
      <c r="AU4" s="26" t="s">
        <v>58</v>
      </c>
      <c r="AV4" s="26" t="s">
        <v>29</v>
      </c>
      <c r="AW4" s="26" t="s">
        <v>40</v>
      </c>
      <c r="AX4" s="26" t="s">
        <v>30</v>
      </c>
    </row>
    <row r="5" spans="1:50" x14ac:dyDescent="0.2">
      <c r="A5">
        <v>1</v>
      </c>
      <c r="B5" s="1">
        <v>36586</v>
      </c>
      <c r="C5" s="4">
        <f>SUM(Sheet1!D51:W51)</f>
        <v>1688</v>
      </c>
      <c r="E5" s="11">
        <v>0</v>
      </c>
      <c r="F5" s="4">
        <f>Sheet1!$M$17*Sheet2!C5</f>
        <v>590.79999999999995</v>
      </c>
      <c r="G5" s="4">
        <f>(Sheet1!$M$18/12)*(E5+F5)</f>
        <v>9.8466666666666658</v>
      </c>
      <c r="H5" s="4">
        <v>0</v>
      </c>
      <c r="J5" s="4">
        <f>E5+F5+G5-H5-I5</f>
        <v>600.64666666666665</v>
      </c>
      <c r="K5" s="4"/>
      <c r="L5" s="4">
        <f>(Sheet1!$G$8-Sheet1!$F$48)</f>
        <v>249942</v>
      </c>
      <c r="M5" s="4">
        <f>Sheet1!$F$48</f>
        <v>45058</v>
      </c>
      <c r="N5" s="4">
        <f>SUM(Sheet1!D51:W51)*Sheet1!$G$16</f>
        <v>1097.2</v>
      </c>
      <c r="O5" s="4">
        <f>((Sheet1!$G$13+Sheet1!$G$11/10000)/12)*(M5+N5)</f>
        <v>346.2601566666666</v>
      </c>
      <c r="P5" s="4">
        <v>0</v>
      </c>
      <c r="Q5" s="4"/>
      <c r="R5" s="4">
        <f t="shared" ref="R5:R42" si="0">M5+N5+O5-P5-Q5</f>
        <v>46501.460156666661</v>
      </c>
      <c r="S5" s="4"/>
      <c r="T5" s="4">
        <f>Sheet1!$G$8*Sheet1!$G$9/10000</f>
        <v>8850</v>
      </c>
      <c r="U5" s="4">
        <f>L5*Sheet1!$G$10/10000/12</f>
        <v>169.2315625</v>
      </c>
      <c r="V5" s="4">
        <f>P5</f>
        <v>0</v>
      </c>
      <c r="W5" s="4">
        <f>Q5</f>
        <v>0</v>
      </c>
      <c r="X5" s="4">
        <f>H5</f>
        <v>0</v>
      </c>
      <c r="Y5" s="4">
        <f>I5</f>
        <v>0</v>
      </c>
      <c r="Z5" s="4">
        <f>SUM(T5:Y5)</f>
        <v>9019.2315624999992</v>
      </c>
      <c r="AB5" s="6">
        <f t="shared" ref="AB5:AB42" si="1">F5+N5</f>
        <v>1688</v>
      </c>
      <c r="AC5" s="41">
        <f>Z5+AA5-AB5</f>
        <v>7331.2315624999992</v>
      </c>
      <c r="AD5" s="41">
        <f>AC5/((1+Sheet1!$G$18/12)^(Sheet2!A5))</f>
        <v>7270.6428719008254</v>
      </c>
      <c r="AE5" s="35"/>
      <c r="AF5" s="41">
        <f t="shared" ref="AF5:AF42" si="2">-F5+H5+I5+AA5</f>
        <v>-590.79999999999995</v>
      </c>
      <c r="AG5" s="35">
        <f>XIRR(AF5:AF42,B5:B42)</f>
        <v>0.24937710165977475</v>
      </c>
      <c r="AH5" s="35"/>
      <c r="AI5" s="35"/>
      <c r="AJ5" s="35"/>
      <c r="AL5" s="4">
        <f>Sheet1!$M$8*Sheet1!$M$9/10000</f>
        <v>1475</v>
      </c>
      <c r="AM5" s="4">
        <f>+L5*Sheet1!$M$10/10000/12</f>
        <v>31.242750000000001</v>
      </c>
      <c r="AN5" s="4">
        <f>P5</f>
        <v>0</v>
      </c>
      <c r="AO5" s="4"/>
      <c r="AP5" s="4">
        <f t="shared" ref="AP5:AP42" si="3">SUM(AL5:AO5)</f>
        <v>1506.2427499999999</v>
      </c>
      <c r="AR5" s="6">
        <f>+T5-AL5</f>
        <v>7375</v>
      </c>
      <c r="AS5" s="6">
        <f t="shared" ref="AS5:AS42" si="4">U5-AM5</f>
        <v>137.98881249999999</v>
      </c>
      <c r="AT5" s="6">
        <f t="shared" ref="AT5:AT42" si="5">W5-AO5</f>
        <v>0</v>
      </c>
      <c r="AU5" s="6">
        <f t="shared" ref="AU5:AU42" si="6">G5</f>
        <v>9.8466666666666658</v>
      </c>
      <c r="AV5" s="4">
        <f>SUM(AR5:AU5)</f>
        <v>7522.8354791666661</v>
      </c>
      <c r="AX5" s="4">
        <f>((AV5+AW5)/((1+Sheet1!$M$15)^(Sheet1!A51/12)))</f>
        <v>7474.7427591895103</v>
      </c>
    </row>
    <row r="6" spans="1:50" x14ac:dyDescent="0.2">
      <c r="A6">
        <v>2</v>
      </c>
      <c r="B6" s="1">
        <v>36617</v>
      </c>
      <c r="C6" s="4">
        <f>SUM(Sheet1!D52:W52)</f>
        <v>10164</v>
      </c>
      <c r="E6" s="4">
        <f t="shared" ref="E6:E42" si="7">J5</f>
        <v>600.64666666666665</v>
      </c>
      <c r="F6" s="4">
        <f>Sheet1!$M$17*Sheet2!C6</f>
        <v>3557.3999999999996</v>
      </c>
      <c r="G6" s="4">
        <f>(Sheet1!$M$18/12)*(E6+F6)</f>
        <v>69.300777777777768</v>
      </c>
      <c r="H6" s="4">
        <v>0</v>
      </c>
      <c r="J6" s="4">
        <f t="shared" ref="J6:J42" si="8">E6+F6+G6-H6-I6</f>
        <v>4227.3474444444437</v>
      </c>
      <c r="K6" s="4"/>
      <c r="L6" s="4">
        <f>+Sheet1!$G$8-Sheet2!R5</f>
        <v>248498.53984333333</v>
      </c>
      <c r="M6" s="4">
        <f t="shared" ref="M6:M42" si="9">R5</f>
        <v>46501.460156666661</v>
      </c>
      <c r="N6" s="4">
        <f>SUM(Sheet1!D52:W52)*Sheet1!$G$16</f>
        <v>6606.6</v>
      </c>
      <c r="O6" s="4">
        <f>((Sheet1!$G$13+Sheet1!$G$11/10000)/12)*(M6+N6)</f>
        <v>398.42109296699294</v>
      </c>
      <c r="P6" s="4">
        <v>0</v>
      </c>
      <c r="Q6" s="4"/>
      <c r="R6" s="4">
        <f t="shared" si="0"/>
        <v>53506.481249633653</v>
      </c>
      <c r="S6" s="4"/>
      <c r="U6" s="4">
        <f>L6*Sheet1!$G$10/10000/12</f>
        <v>168.25421968559027</v>
      </c>
      <c r="V6" s="4">
        <f t="shared" ref="V6:V42" si="10">P6</f>
        <v>0</v>
      </c>
      <c r="W6" s="4">
        <f t="shared" ref="W6:W42" si="11">Q6</f>
        <v>0</v>
      </c>
      <c r="X6" s="4">
        <f t="shared" ref="X6:X42" si="12">H6</f>
        <v>0</v>
      </c>
      <c r="Y6" s="4">
        <f t="shared" ref="Y6:Y42" si="13">I6</f>
        <v>0</v>
      </c>
      <c r="Z6" s="4">
        <f t="shared" ref="Z6:Z42" si="14">SUM(T6:Y6)</f>
        <v>168.25421968559027</v>
      </c>
      <c r="AB6" s="6">
        <f t="shared" si="1"/>
        <v>10164</v>
      </c>
      <c r="AC6" s="41">
        <f t="shared" ref="AC6:AC42" si="15">Z6+AA6-AB6</f>
        <v>-9995.7457803144098</v>
      </c>
      <c r="AD6" s="41">
        <f>AC6/((1+Sheet1!$G$18/12)^(Sheet2!A6))</f>
        <v>-9831.2095646832531</v>
      </c>
      <c r="AE6" s="35"/>
      <c r="AF6" s="41">
        <f t="shared" si="2"/>
        <v>-3557.3999999999996</v>
      </c>
      <c r="AG6" s="35"/>
      <c r="AH6" s="35"/>
      <c r="AI6" s="35"/>
      <c r="AJ6" s="35"/>
      <c r="AM6" s="4">
        <f>+L6*Sheet1!$M$10/10000/12</f>
        <v>31.062317480416667</v>
      </c>
      <c r="AN6" s="4">
        <f t="shared" ref="AN6:AN42" si="16">P6</f>
        <v>0</v>
      </c>
      <c r="AO6" s="4"/>
      <c r="AP6" s="4">
        <f t="shared" si="3"/>
        <v>31.062317480416667</v>
      </c>
      <c r="AS6" s="6">
        <f t="shared" si="4"/>
        <v>137.19190220517362</v>
      </c>
      <c r="AT6" s="6">
        <f t="shared" si="5"/>
        <v>0</v>
      </c>
      <c r="AU6" s="6">
        <f t="shared" si="6"/>
        <v>69.300777777777768</v>
      </c>
      <c r="AV6" s="4">
        <f>SUM(AR6:AU6)</f>
        <v>206.49267998295139</v>
      </c>
      <c r="AX6" s="4">
        <f>((AV6+AW6)/((1+Sheet1!$M$15)^(Sheet1!A52/12)))</f>
        <v>203.86094587563889</v>
      </c>
    </row>
    <row r="7" spans="1:50" x14ac:dyDescent="0.2">
      <c r="A7">
        <v>3</v>
      </c>
      <c r="B7" s="1">
        <v>36647</v>
      </c>
      <c r="C7" s="4">
        <f>SUM(Sheet1!D53:W53)</f>
        <v>12370</v>
      </c>
      <c r="E7" s="4">
        <f t="shared" si="7"/>
        <v>4227.3474444444437</v>
      </c>
      <c r="F7" s="4">
        <f>Sheet1!$M$17*Sheet2!C7</f>
        <v>4329.5</v>
      </c>
      <c r="G7" s="4">
        <f>(Sheet1!$M$18/12)*(E7+F7)</f>
        <v>142.61412407407406</v>
      </c>
      <c r="H7" s="4">
        <v>0</v>
      </c>
      <c r="J7" s="4">
        <f t="shared" si="8"/>
        <v>8699.4615685185181</v>
      </c>
      <c r="K7" s="4"/>
      <c r="L7" s="4">
        <f>+Sheet1!$G$8-Sheet2!R6</f>
        <v>241493.51875036635</v>
      </c>
      <c r="M7" s="4">
        <f t="shared" si="9"/>
        <v>53506.481249633653</v>
      </c>
      <c r="N7" s="4">
        <f>SUM(Sheet1!D53:W53)*Sheet1!$G$16</f>
        <v>8040.5</v>
      </c>
      <c r="O7" s="4">
        <f>((Sheet1!$G$13+Sheet1!$G$11/10000)/12)*(M7+N7)</f>
        <v>461.73058224985579</v>
      </c>
      <c r="P7" s="4">
        <v>0</v>
      </c>
      <c r="Q7" s="4"/>
      <c r="R7" s="4">
        <f t="shared" si="0"/>
        <v>62008.711831883506</v>
      </c>
      <c r="S7" s="4"/>
      <c r="U7" s="4">
        <f>L7*Sheet1!$G$10/10000/12</f>
        <v>163.51123665389386</v>
      </c>
      <c r="V7" s="4">
        <f t="shared" si="10"/>
        <v>0</v>
      </c>
      <c r="W7" s="4">
        <f t="shared" si="11"/>
        <v>0</v>
      </c>
      <c r="X7" s="4">
        <f t="shared" si="12"/>
        <v>0</v>
      </c>
      <c r="Y7" s="4">
        <f t="shared" si="13"/>
        <v>0</v>
      </c>
      <c r="Z7" s="4">
        <f t="shared" si="14"/>
        <v>163.51123665389386</v>
      </c>
      <c r="AB7" s="6">
        <f t="shared" si="1"/>
        <v>12370</v>
      </c>
      <c r="AC7" s="41">
        <f t="shared" si="15"/>
        <v>-12206.488763346106</v>
      </c>
      <c r="AD7" s="41">
        <f>AC7/((1+Sheet1!$G$18/12)^(Sheet2!A7))</f>
        <v>-11906.342814648817</v>
      </c>
      <c r="AE7" s="35"/>
      <c r="AF7" s="41">
        <f t="shared" si="2"/>
        <v>-4329.5</v>
      </c>
      <c r="AG7" s="35"/>
      <c r="AH7" s="35"/>
      <c r="AI7" s="35"/>
      <c r="AJ7" s="35"/>
      <c r="AM7" s="4">
        <f>+L7*Sheet1!$M$10/10000/12</f>
        <v>30.186689843795794</v>
      </c>
      <c r="AN7" s="4">
        <f t="shared" si="16"/>
        <v>0</v>
      </c>
      <c r="AO7" s="4"/>
      <c r="AP7" s="4">
        <f t="shared" si="3"/>
        <v>30.186689843795794</v>
      </c>
      <c r="AS7" s="6">
        <f t="shared" si="4"/>
        <v>133.32454681009807</v>
      </c>
      <c r="AT7" s="6">
        <f t="shared" si="5"/>
        <v>0</v>
      </c>
      <c r="AU7" s="6">
        <f t="shared" si="6"/>
        <v>142.61412407407406</v>
      </c>
      <c r="AV7" s="4">
        <f t="shared" ref="AV7:AV42" si="17">SUM(AR7:AU7)</f>
        <v>275.9386708841721</v>
      </c>
      <c r="AX7" s="4">
        <f>((AV7+AW7)/((1+Sheet1!$M$15)^(Sheet1!A53/12)))</f>
        <v>270.68028758034751</v>
      </c>
    </row>
    <row r="8" spans="1:50" x14ac:dyDescent="0.2">
      <c r="A8">
        <v>4</v>
      </c>
      <c r="B8" s="1">
        <v>36678</v>
      </c>
      <c r="C8" s="4">
        <f>SUM(Sheet1!D54:W54)</f>
        <v>6984</v>
      </c>
      <c r="E8" s="4">
        <f t="shared" si="7"/>
        <v>8699.4615685185181</v>
      </c>
      <c r="F8" s="4">
        <f>Sheet1!$M$17*Sheet2!C8</f>
        <v>2444.3999999999996</v>
      </c>
      <c r="G8" s="4">
        <f>(Sheet1!$M$18/12)*(E8+F8)</f>
        <v>185.73102614197529</v>
      </c>
      <c r="H8" s="4">
        <v>0</v>
      </c>
      <c r="J8" s="4">
        <f t="shared" si="8"/>
        <v>11329.592594660493</v>
      </c>
      <c r="K8" s="4"/>
      <c r="L8" s="4">
        <f>+Sheet1!$G$8-Sheet2!R7</f>
        <v>232991.2881681165</v>
      </c>
      <c r="M8" s="4">
        <f t="shared" si="9"/>
        <v>62008.711831883506</v>
      </c>
      <c r="N8" s="4">
        <f>SUM(Sheet1!D54:W54)*Sheet1!$G$16</f>
        <v>4539.6000000000004</v>
      </c>
      <c r="O8" s="4">
        <f>((Sheet1!$G$13+Sheet1!$G$11/10000)/12)*(M8+N8)</f>
        <v>499.25098105544265</v>
      </c>
      <c r="P8" s="4">
        <v>0</v>
      </c>
      <c r="Q8" s="4"/>
      <c r="R8" s="4">
        <f t="shared" si="0"/>
        <v>67047.562812938952</v>
      </c>
      <c r="S8" s="4"/>
      <c r="U8" s="4">
        <f>L8*Sheet1!$G$10/10000/12</f>
        <v>157.75451803049555</v>
      </c>
      <c r="V8" s="4">
        <f t="shared" si="10"/>
        <v>0</v>
      </c>
      <c r="W8" s="4">
        <f t="shared" si="11"/>
        <v>0</v>
      </c>
      <c r="X8" s="4">
        <f t="shared" si="12"/>
        <v>0</v>
      </c>
      <c r="Y8" s="4">
        <f t="shared" si="13"/>
        <v>0</v>
      </c>
      <c r="Z8" s="4">
        <f t="shared" si="14"/>
        <v>157.75451803049555</v>
      </c>
      <c r="AB8" s="6">
        <f t="shared" si="1"/>
        <v>6984</v>
      </c>
      <c r="AC8" s="41">
        <f t="shared" si="15"/>
        <v>-6826.2454819695049</v>
      </c>
      <c r="AD8" s="41">
        <f>AC8/((1+Sheet1!$G$18/12)^(Sheet2!A8))</f>
        <v>-6603.366543703859</v>
      </c>
      <c r="AE8" s="35"/>
      <c r="AF8" s="41">
        <f t="shared" si="2"/>
        <v>-2444.3999999999996</v>
      </c>
      <c r="AG8" s="35"/>
      <c r="AH8" s="35"/>
      <c r="AI8" s="35"/>
      <c r="AJ8" s="35"/>
      <c r="AM8" s="4">
        <f>+L8*Sheet1!$M$10/10000/12</f>
        <v>29.123911021014564</v>
      </c>
      <c r="AN8" s="4">
        <f t="shared" si="16"/>
        <v>0</v>
      </c>
      <c r="AO8" s="4"/>
      <c r="AP8" s="4">
        <f t="shared" si="3"/>
        <v>29.123911021014564</v>
      </c>
      <c r="AS8" s="6">
        <f t="shared" si="4"/>
        <v>128.63060700948097</v>
      </c>
      <c r="AT8" s="6">
        <f t="shared" si="5"/>
        <v>0</v>
      </c>
      <c r="AU8" s="6">
        <f t="shared" si="6"/>
        <v>185.73102614197529</v>
      </c>
      <c r="AV8" s="4">
        <f t="shared" si="17"/>
        <v>314.36163315145626</v>
      </c>
      <c r="AX8" s="4">
        <f>((AV8+AW8)/((1+Sheet1!$M$15)^(Sheet1!A54/12)))</f>
        <v>306.39966384947462</v>
      </c>
    </row>
    <row r="9" spans="1:50" x14ac:dyDescent="0.2">
      <c r="A9">
        <v>5</v>
      </c>
      <c r="B9" s="1">
        <v>36708</v>
      </c>
      <c r="C9" s="4">
        <f>SUM(Sheet1!D55:W55)</f>
        <v>3602</v>
      </c>
      <c r="E9" s="4">
        <f t="shared" si="7"/>
        <v>11329.592594660493</v>
      </c>
      <c r="F9" s="4">
        <f>Sheet1!$M$17*Sheet2!C9</f>
        <v>1260.6999999999998</v>
      </c>
      <c r="G9" s="4">
        <f>(Sheet1!$M$18/12)*(E9+F9)</f>
        <v>209.83820991100819</v>
      </c>
      <c r="H9" s="4">
        <v>0</v>
      </c>
      <c r="J9" s="4">
        <f t="shared" si="8"/>
        <v>12800.1308045715</v>
      </c>
      <c r="K9" s="4"/>
      <c r="L9" s="4">
        <f>+Sheet1!$G$8-Sheet2!R8</f>
        <v>227952.43718706106</v>
      </c>
      <c r="M9" s="4">
        <f t="shared" si="9"/>
        <v>67047.562812938952</v>
      </c>
      <c r="N9" s="4">
        <f>SUM(Sheet1!D55:W55)*Sheet1!$G$16</f>
        <v>2341.3000000000002</v>
      </c>
      <c r="O9" s="4">
        <f>((Sheet1!$G$13+Sheet1!$G$11/10000)/12)*(M9+N9)</f>
        <v>520.56103122790239</v>
      </c>
      <c r="P9" s="4">
        <v>0</v>
      </c>
      <c r="Q9" s="4"/>
      <c r="R9" s="4">
        <f t="shared" si="0"/>
        <v>69909.423844166857</v>
      </c>
      <c r="S9" s="4"/>
      <c r="U9" s="4">
        <f>L9*Sheet1!$G$10/10000/12</f>
        <v>154.34279601207263</v>
      </c>
      <c r="V9" s="4">
        <f t="shared" si="10"/>
        <v>0</v>
      </c>
      <c r="W9" s="4">
        <f t="shared" si="11"/>
        <v>0</v>
      </c>
      <c r="X9" s="4">
        <f t="shared" si="12"/>
        <v>0</v>
      </c>
      <c r="Y9" s="4">
        <f t="shared" si="13"/>
        <v>0</v>
      </c>
      <c r="Z9" s="4">
        <f t="shared" si="14"/>
        <v>154.34279601207263</v>
      </c>
      <c r="AB9" s="6">
        <f t="shared" si="1"/>
        <v>3602</v>
      </c>
      <c r="AC9" s="41">
        <f t="shared" si="15"/>
        <v>-3447.6572039879275</v>
      </c>
      <c r="AD9" s="41">
        <f>AC9/((1+Sheet1!$G$18/12)^(Sheet2!A9))</f>
        <v>-3307.5274456880693</v>
      </c>
      <c r="AE9" s="35"/>
      <c r="AF9" s="41">
        <f t="shared" si="2"/>
        <v>-1260.6999999999998</v>
      </c>
      <c r="AG9" s="35"/>
      <c r="AH9" s="35"/>
      <c r="AI9" s="35"/>
      <c r="AJ9" s="35"/>
      <c r="AM9" s="4">
        <f>+L9*Sheet1!$M$10/10000/12</f>
        <v>28.49405464838263</v>
      </c>
      <c r="AN9" s="4">
        <f t="shared" si="16"/>
        <v>0</v>
      </c>
      <c r="AO9" s="4"/>
      <c r="AP9" s="4">
        <f t="shared" si="3"/>
        <v>28.49405464838263</v>
      </c>
      <c r="AS9" s="6">
        <f t="shared" si="4"/>
        <v>125.84874136369</v>
      </c>
      <c r="AT9" s="6">
        <f t="shared" si="5"/>
        <v>0</v>
      </c>
      <c r="AU9" s="6">
        <f t="shared" si="6"/>
        <v>209.83820991100819</v>
      </c>
      <c r="AV9" s="4">
        <f t="shared" si="17"/>
        <v>335.68695127469817</v>
      </c>
      <c r="AX9" s="4">
        <f>((AV9+AW9)/((1+Sheet1!$M$15)^(Sheet1!A55/12)))</f>
        <v>325.09320718766878</v>
      </c>
    </row>
    <row r="10" spans="1:50" x14ac:dyDescent="0.2">
      <c r="A10">
        <v>6</v>
      </c>
      <c r="B10" s="1">
        <v>36739</v>
      </c>
      <c r="C10" s="4">
        <f>SUM(Sheet1!D56:W56)</f>
        <v>11848</v>
      </c>
      <c r="E10" s="4">
        <f t="shared" si="7"/>
        <v>12800.1308045715</v>
      </c>
      <c r="F10" s="4">
        <f>Sheet1!$M$17*Sheet2!C10</f>
        <v>4146.8</v>
      </c>
      <c r="G10" s="4">
        <f>(Sheet1!$M$18/12)*(E10+F10)</f>
        <v>282.44884674285834</v>
      </c>
      <c r="H10" s="4">
        <v>0</v>
      </c>
      <c r="J10" s="4">
        <f t="shared" si="8"/>
        <v>17229.379651314361</v>
      </c>
      <c r="K10" s="4"/>
      <c r="L10" s="4">
        <f>+Sheet1!$G$8-Sheet2!R9</f>
        <v>225090.57615583314</v>
      </c>
      <c r="M10" s="4">
        <f t="shared" si="9"/>
        <v>69909.423844166857</v>
      </c>
      <c r="N10" s="4">
        <f>SUM(Sheet1!D56:W56)*Sheet1!$G$16</f>
        <v>7701.2</v>
      </c>
      <c r="O10" s="4">
        <f>((Sheet1!$G$13+Sheet1!$G$11/10000)/12)*(M10+N10)</f>
        <v>582.24136763092667</v>
      </c>
      <c r="P10" s="4">
        <v>0</v>
      </c>
      <c r="Q10" s="4"/>
      <c r="R10" s="4">
        <f t="shared" si="0"/>
        <v>78192.865211797776</v>
      </c>
      <c r="S10" s="4"/>
      <c r="U10" s="4">
        <f>L10*Sheet1!$G$10/10000/12</f>
        <v>152.40507760551202</v>
      </c>
      <c r="V10" s="4">
        <f t="shared" si="10"/>
        <v>0</v>
      </c>
      <c r="W10" s="4">
        <f t="shared" si="11"/>
        <v>0</v>
      </c>
      <c r="X10" s="4">
        <f t="shared" si="12"/>
        <v>0</v>
      </c>
      <c r="Y10" s="4">
        <f t="shared" si="13"/>
        <v>0</v>
      </c>
      <c r="Z10" s="4">
        <f t="shared" si="14"/>
        <v>152.40507760551202</v>
      </c>
      <c r="AB10" s="6">
        <f t="shared" si="1"/>
        <v>11848</v>
      </c>
      <c r="AC10" s="41">
        <f t="shared" si="15"/>
        <v>-11695.594922394488</v>
      </c>
      <c r="AD10" s="41">
        <f>AC10/((1+Sheet1!$G$18/12)^(Sheet2!A10))</f>
        <v>-11127.499218331139</v>
      </c>
      <c r="AE10" s="35"/>
      <c r="AF10" s="41">
        <f t="shared" si="2"/>
        <v>-4146.8</v>
      </c>
      <c r="AG10" s="35"/>
      <c r="AH10" s="35"/>
      <c r="AI10" s="35"/>
      <c r="AJ10" s="35"/>
      <c r="AM10" s="4">
        <f>+L10*Sheet1!$M$10/10000/12</f>
        <v>28.136322019479142</v>
      </c>
      <c r="AN10" s="4">
        <f t="shared" si="16"/>
        <v>0</v>
      </c>
      <c r="AO10" s="4"/>
      <c r="AP10" s="4">
        <f t="shared" si="3"/>
        <v>28.136322019479142</v>
      </c>
      <c r="AS10" s="6">
        <f t="shared" si="4"/>
        <v>124.26875558603288</v>
      </c>
      <c r="AT10" s="6">
        <f t="shared" si="5"/>
        <v>0</v>
      </c>
      <c r="AU10" s="6">
        <f t="shared" si="6"/>
        <v>282.44884674285834</v>
      </c>
      <c r="AV10" s="4">
        <f t="shared" si="17"/>
        <v>406.71760232889119</v>
      </c>
      <c r="AX10" s="4">
        <f>((AV10+AW10)/((1+Sheet1!$M$15)^(Sheet1!A56/12)))</f>
        <v>391.36419531457409</v>
      </c>
    </row>
    <row r="11" spans="1:50" x14ac:dyDescent="0.2">
      <c r="A11">
        <v>7</v>
      </c>
      <c r="B11" s="1">
        <v>36770</v>
      </c>
      <c r="C11" s="4">
        <f>SUM(Sheet1!D57:W57)</f>
        <v>17572</v>
      </c>
      <c r="E11" s="4">
        <f t="shared" si="7"/>
        <v>17229.379651314361</v>
      </c>
      <c r="F11" s="4">
        <f>Sheet1!$M$17*Sheet2!C11</f>
        <v>6150.2</v>
      </c>
      <c r="G11" s="4">
        <f>(Sheet1!$M$18/12)*(E11+F11)</f>
        <v>389.65966085523934</v>
      </c>
      <c r="H11" s="4">
        <v>0</v>
      </c>
      <c r="J11" s="4">
        <f t="shared" si="8"/>
        <v>23769.2393121696</v>
      </c>
      <c r="K11" s="4"/>
      <c r="L11" s="4">
        <f>+Sheet1!$G$8-Sheet2!R10</f>
        <v>216807.13478820224</v>
      </c>
      <c r="M11" s="4">
        <f t="shared" si="9"/>
        <v>78192.865211797776</v>
      </c>
      <c r="N11" s="4">
        <f>SUM(Sheet1!D57:W57)*Sheet1!$G$16</f>
        <v>11421.800000000001</v>
      </c>
      <c r="O11" s="4">
        <f>((Sheet1!$G$13+Sheet1!$G$11/10000)/12)*(M11+N11)</f>
        <v>672.29668630767458</v>
      </c>
      <c r="P11" s="4">
        <v>0</v>
      </c>
      <c r="Q11" s="4"/>
      <c r="R11" s="4">
        <f t="shared" si="0"/>
        <v>90286.961898105452</v>
      </c>
      <c r="S11" s="4"/>
      <c r="U11" s="4">
        <f>L11*Sheet1!$G$10/10000/12</f>
        <v>146.79649751284526</v>
      </c>
      <c r="V11" s="4">
        <f t="shared" si="10"/>
        <v>0</v>
      </c>
      <c r="W11" s="4">
        <f t="shared" si="11"/>
        <v>0</v>
      </c>
      <c r="X11" s="4">
        <f t="shared" si="12"/>
        <v>0</v>
      </c>
      <c r="Y11" s="4">
        <f t="shared" si="13"/>
        <v>0</v>
      </c>
      <c r="Z11" s="4">
        <f t="shared" si="14"/>
        <v>146.79649751284526</v>
      </c>
      <c r="AB11" s="6">
        <f t="shared" si="1"/>
        <v>17572</v>
      </c>
      <c r="AC11" s="41">
        <f t="shared" si="15"/>
        <v>-17425.203502487155</v>
      </c>
      <c r="AD11" s="41">
        <f>AC11/((1+Sheet1!$G$18/12)^(Sheet2!A11))</f>
        <v>-16441.785908648315</v>
      </c>
      <c r="AE11" s="35"/>
      <c r="AF11" s="41">
        <f t="shared" si="2"/>
        <v>-6150.2</v>
      </c>
      <c r="AG11" s="35"/>
      <c r="AH11" s="35"/>
      <c r="AI11" s="35"/>
      <c r="AJ11" s="35"/>
      <c r="AM11" s="4">
        <f>+L11*Sheet1!$M$10/10000/12</f>
        <v>27.100891848525279</v>
      </c>
      <c r="AN11" s="4">
        <f t="shared" si="16"/>
        <v>0</v>
      </c>
      <c r="AO11" s="4"/>
      <c r="AP11" s="4">
        <f t="shared" si="3"/>
        <v>27.100891848525279</v>
      </c>
      <c r="AS11" s="6">
        <f t="shared" si="4"/>
        <v>119.69560566431998</v>
      </c>
      <c r="AT11" s="6">
        <f t="shared" si="5"/>
        <v>0</v>
      </c>
      <c r="AU11" s="6">
        <f t="shared" si="6"/>
        <v>389.65966085523934</v>
      </c>
      <c r="AV11" s="4">
        <f t="shared" si="17"/>
        <v>509.35526651955934</v>
      </c>
      <c r="AX11" s="4">
        <f>((AV11+AW11)/((1+Sheet1!$M$15)^(Sheet1!A57/12)))</f>
        <v>486.99399967308096</v>
      </c>
    </row>
    <row r="12" spans="1:50" x14ac:dyDescent="0.2">
      <c r="A12">
        <v>8</v>
      </c>
      <c r="B12" s="1">
        <v>36800</v>
      </c>
      <c r="C12" s="4">
        <f>SUM(Sheet1!D58:W58)</f>
        <v>17984</v>
      </c>
      <c r="E12" s="4">
        <f t="shared" si="7"/>
        <v>23769.2393121696</v>
      </c>
      <c r="F12" s="4">
        <f>Sheet1!$M$17*Sheet2!C12</f>
        <v>6294.4</v>
      </c>
      <c r="G12" s="4">
        <f>(Sheet1!$M$18/12)*(E12+F12)</f>
        <v>501.06065520282669</v>
      </c>
      <c r="H12" s="4">
        <v>0</v>
      </c>
      <c r="J12" s="4">
        <f t="shared" si="8"/>
        <v>30564.699967372428</v>
      </c>
      <c r="K12" s="4"/>
      <c r="L12" s="4">
        <f>+Sheet1!$G$8-Sheet2!R11</f>
        <v>204713.03810189455</v>
      </c>
      <c r="M12" s="4">
        <f t="shared" si="9"/>
        <v>90286.961898105452</v>
      </c>
      <c r="N12" s="4">
        <f>SUM(Sheet1!D58:W58)*Sheet1!$G$16</f>
        <v>11689.6</v>
      </c>
      <c r="O12" s="4">
        <f>((Sheet1!$G$13+Sheet1!$G$11/10000)/12)*(M12+N12)</f>
        <v>765.03666540641188</v>
      </c>
      <c r="P12" s="4">
        <v>0</v>
      </c>
      <c r="Q12" s="4"/>
      <c r="R12" s="4">
        <f t="shared" si="0"/>
        <v>102741.59856351187</v>
      </c>
      <c r="S12" s="4"/>
      <c r="U12" s="4">
        <f>L12*Sheet1!$G$10/10000/12</f>
        <v>138.60778621482444</v>
      </c>
      <c r="V12" s="4">
        <f t="shared" si="10"/>
        <v>0</v>
      </c>
      <c r="W12" s="4">
        <f t="shared" si="11"/>
        <v>0</v>
      </c>
      <c r="X12" s="4">
        <f t="shared" si="12"/>
        <v>0</v>
      </c>
      <c r="Y12" s="4">
        <f t="shared" si="13"/>
        <v>0</v>
      </c>
      <c r="Z12" s="4">
        <f t="shared" si="14"/>
        <v>138.60778621482444</v>
      </c>
      <c r="AB12" s="6">
        <f t="shared" si="1"/>
        <v>17984</v>
      </c>
      <c r="AC12" s="41">
        <f t="shared" si="15"/>
        <v>-17845.392213785177</v>
      </c>
      <c r="AD12" s="41">
        <f>AC12/((1+Sheet1!$G$18/12)^(Sheet2!A12))</f>
        <v>-16699.101458595665</v>
      </c>
      <c r="AE12" s="35"/>
      <c r="AF12" s="41">
        <f t="shared" si="2"/>
        <v>-6294.4</v>
      </c>
      <c r="AG12" s="35"/>
      <c r="AH12" s="35"/>
      <c r="AI12" s="35"/>
      <c r="AJ12" s="35"/>
      <c r="AM12" s="4">
        <f>+L12*Sheet1!$M$10/10000/12</f>
        <v>25.589129762736817</v>
      </c>
      <c r="AN12" s="4">
        <f t="shared" si="16"/>
        <v>0</v>
      </c>
      <c r="AO12" s="4"/>
      <c r="AP12" s="4">
        <f t="shared" si="3"/>
        <v>25.589129762736817</v>
      </c>
      <c r="AS12" s="6">
        <f t="shared" si="4"/>
        <v>113.01865645208763</v>
      </c>
      <c r="AT12" s="6">
        <f t="shared" si="5"/>
        <v>0</v>
      </c>
      <c r="AU12" s="6">
        <f t="shared" si="6"/>
        <v>501.06065520282669</v>
      </c>
      <c r="AV12" s="4">
        <f t="shared" si="17"/>
        <v>614.07931165491436</v>
      </c>
      <c r="AX12" s="4">
        <f>((AV12+AW12)/((1+Sheet1!$M$15)^(Sheet1!A58/12)))</f>
        <v>583.3671401564925</v>
      </c>
    </row>
    <row r="13" spans="1:50" x14ac:dyDescent="0.2">
      <c r="A13">
        <v>9</v>
      </c>
      <c r="B13" s="1">
        <v>36831</v>
      </c>
      <c r="C13" s="4">
        <f>SUM(Sheet1!D59:W59)</f>
        <v>18322</v>
      </c>
      <c r="E13" s="4">
        <f t="shared" si="7"/>
        <v>30564.699967372428</v>
      </c>
      <c r="F13" s="4">
        <f>Sheet1!$M$17*Sheet2!C13</f>
        <v>6412.7</v>
      </c>
      <c r="G13" s="4">
        <f>(Sheet1!$M$18/12)*(E13+F13)</f>
        <v>616.28999945620706</v>
      </c>
      <c r="H13" s="4">
        <v>0</v>
      </c>
      <c r="J13" s="4">
        <f t="shared" si="8"/>
        <v>37593.689966828635</v>
      </c>
      <c r="K13" s="4"/>
      <c r="L13" s="4">
        <f>+Sheet1!$G$8-Sheet2!R12</f>
        <v>192258.40143648814</v>
      </c>
      <c r="M13" s="4">
        <f t="shared" si="9"/>
        <v>102741.59856351187</v>
      </c>
      <c r="N13" s="4">
        <f>SUM(Sheet1!D59:W59)*Sheet1!$G$16</f>
        <v>11909.300000000001</v>
      </c>
      <c r="O13" s="4">
        <f>((Sheet1!$G$13+Sheet1!$G$11/10000)/12)*(M13+N13)</f>
        <v>860.12059526501298</v>
      </c>
      <c r="P13" s="4">
        <v>0</v>
      </c>
      <c r="Q13" s="4"/>
      <c r="R13" s="4">
        <f t="shared" si="0"/>
        <v>115511.01915877689</v>
      </c>
      <c r="S13" s="4"/>
      <c r="U13" s="4">
        <f>L13*Sheet1!$G$10/10000/12</f>
        <v>130.17495930595553</v>
      </c>
      <c r="V13" s="4">
        <f t="shared" si="10"/>
        <v>0</v>
      </c>
      <c r="W13" s="4">
        <f t="shared" si="11"/>
        <v>0</v>
      </c>
      <c r="X13" s="4">
        <f t="shared" si="12"/>
        <v>0</v>
      </c>
      <c r="Y13" s="4">
        <f t="shared" si="13"/>
        <v>0</v>
      </c>
      <c r="Z13" s="4">
        <f t="shared" si="14"/>
        <v>130.17495930595553</v>
      </c>
      <c r="AB13" s="6">
        <f t="shared" si="1"/>
        <v>18322</v>
      </c>
      <c r="AC13" s="41">
        <f t="shared" si="15"/>
        <v>-18191.825040694046</v>
      </c>
      <c r="AD13" s="41">
        <f>AC13/((1+Sheet1!$G$18/12)^(Sheet2!A13))</f>
        <v>-16882.593052995755</v>
      </c>
      <c r="AE13" s="35"/>
      <c r="AF13" s="41">
        <f t="shared" si="2"/>
        <v>-6412.7</v>
      </c>
      <c r="AG13" s="35"/>
      <c r="AH13" s="35"/>
      <c r="AI13" s="35"/>
      <c r="AJ13" s="35"/>
      <c r="AM13" s="4">
        <f>+L13*Sheet1!$M$10/10000/12</f>
        <v>24.03230017956102</v>
      </c>
      <c r="AN13" s="4">
        <f t="shared" si="16"/>
        <v>0</v>
      </c>
      <c r="AO13" s="4"/>
      <c r="AP13" s="4">
        <f t="shared" si="3"/>
        <v>24.03230017956102</v>
      </c>
      <c r="AS13" s="6">
        <f t="shared" si="4"/>
        <v>106.14265912639451</v>
      </c>
      <c r="AT13" s="6">
        <f t="shared" si="5"/>
        <v>0</v>
      </c>
      <c r="AU13" s="6">
        <f t="shared" si="6"/>
        <v>616.28999945620706</v>
      </c>
      <c r="AV13" s="4">
        <f t="shared" si="17"/>
        <v>722.43265858260156</v>
      </c>
      <c r="AX13" s="4">
        <f>((AV13+AW13)/((1+Sheet1!$M$15)^(Sheet1!A59/12)))</f>
        <v>681.91391714131964</v>
      </c>
    </row>
    <row r="14" spans="1:50" x14ac:dyDescent="0.2">
      <c r="A14">
        <v>10</v>
      </c>
      <c r="B14" s="1">
        <v>36861</v>
      </c>
      <c r="C14" s="4">
        <f>SUM(Sheet1!D60:W60)</f>
        <v>18322</v>
      </c>
      <c r="E14" s="4">
        <f t="shared" si="7"/>
        <v>37593.689966828635</v>
      </c>
      <c r="F14" s="4">
        <f>Sheet1!$M$17*Sheet2!C14</f>
        <v>6412.7</v>
      </c>
      <c r="G14" s="4">
        <f>(Sheet1!$M$18/12)*(E14+F14)</f>
        <v>733.43983278047722</v>
      </c>
      <c r="H14" s="4">
        <v>0</v>
      </c>
      <c r="J14" s="4">
        <f t="shared" si="8"/>
        <v>44739.829799609106</v>
      </c>
      <c r="K14" s="4"/>
      <c r="L14" s="4">
        <f>+Sheet1!$G$8-Sheet2!R13</f>
        <v>179488.98084122309</v>
      </c>
      <c r="M14" s="4">
        <f t="shared" si="9"/>
        <v>115511.01915877689</v>
      </c>
      <c r="N14" s="4">
        <f>SUM(Sheet1!D60:W60)*Sheet1!$G$16</f>
        <v>11909.300000000001</v>
      </c>
      <c r="O14" s="4">
        <f>((Sheet1!$G$13+Sheet1!$G$11/10000)/12)*(M14+N14)</f>
        <v>955.91785268907415</v>
      </c>
      <c r="P14" s="4">
        <v>0</v>
      </c>
      <c r="Q14" s="4"/>
      <c r="R14" s="4">
        <f t="shared" si="0"/>
        <v>128376.23701146597</v>
      </c>
      <c r="S14" s="4"/>
      <c r="U14" s="4">
        <f>L14*Sheet1!$G$10/10000/12</f>
        <v>121.52899744457814</v>
      </c>
      <c r="V14" s="4">
        <f t="shared" si="10"/>
        <v>0</v>
      </c>
      <c r="W14" s="4">
        <f t="shared" si="11"/>
        <v>0</v>
      </c>
      <c r="X14" s="4">
        <f t="shared" si="12"/>
        <v>0</v>
      </c>
      <c r="Y14" s="4">
        <f t="shared" si="13"/>
        <v>0</v>
      </c>
      <c r="Z14" s="4">
        <f t="shared" si="14"/>
        <v>121.52899744457814</v>
      </c>
      <c r="AB14" s="6">
        <f t="shared" si="1"/>
        <v>18322</v>
      </c>
      <c r="AC14" s="41">
        <f t="shared" si="15"/>
        <v>-18200.471002555423</v>
      </c>
      <c r="AD14" s="41">
        <f>AC14/((1+Sheet1!$G$18/12)^(Sheet2!A14))</f>
        <v>-16751.024906756691</v>
      </c>
      <c r="AE14" s="35"/>
      <c r="AF14" s="41">
        <f t="shared" si="2"/>
        <v>-6412.7</v>
      </c>
      <c r="AG14" s="35"/>
      <c r="AH14" s="35"/>
      <c r="AI14" s="35"/>
      <c r="AJ14" s="35"/>
      <c r="AM14" s="4">
        <f>+L14*Sheet1!$M$10/10000/12</f>
        <v>22.436122605152885</v>
      </c>
      <c r="AN14" s="4">
        <f t="shared" si="16"/>
        <v>0</v>
      </c>
      <c r="AO14" s="4"/>
      <c r="AP14" s="4">
        <f t="shared" si="3"/>
        <v>22.436122605152885</v>
      </c>
      <c r="AS14" s="6">
        <f t="shared" si="4"/>
        <v>99.092874839425249</v>
      </c>
      <c r="AT14" s="6">
        <f t="shared" si="5"/>
        <v>0</v>
      </c>
      <c r="AU14" s="6">
        <f t="shared" si="6"/>
        <v>733.43983278047722</v>
      </c>
      <c r="AV14" s="4">
        <f t="shared" si="17"/>
        <v>832.53270761990245</v>
      </c>
      <c r="AX14" s="4">
        <f>((AV14+AW14)/((1+Sheet1!$M$15)^(Sheet1!A60/12)))</f>
        <v>780.81504886999744</v>
      </c>
    </row>
    <row r="15" spans="1:50" x14ac:dyDescent="0.2">
      <c r="A15">
        <v>11</v>
      </c>
      <c r="B15" s="1">
        <v>36892</v>
      </c>
      <c r="C15" s="4">
        <f>SUM(Sheet1!D61:W61)</f>
        <v>18322</v>
      </c>
      <c r="E15" s="4">
        <f t="shared" si="7"/>
        <v>44739.829799609106</v>
      </c>
      <c r="F15" s="4">
        <f>Sheet1!$M$17*Sheet2!C15</f>
        <v>6412.7</v>
      </c>
      <c r="G15" s="4">
        <f>(Sheet1!$M$18/12)*(E15+F15)</f>
        <v>852.54216332681835</v>
      </c>
      <c r="H15" s="4">
        <v>0</v>
      </c>
      <c r="J15" s="4">
        <f t="shared" si="8"/>
        <v>52005.071962935923</v>
      </c>
      <c r="K15" s="4"/>
      <c r="L15" s="4">
        <f>+Sheet1!$G$8-Sheet2!R14</f>
        <v>166623.76298853403</v>
      </c>
      <c r="M15" s="4">
        <f t="shared" si="9"/>
        <v>128376.23701146597</v>
      </c>
      <c r="N15" s="4">
        <f>SUM(Sheet1!D61:W61)*Sheet1!$G$16</f>
        <v>11909.300000000001</v>
      </c>
      <c r="O15" s="4">
        <f>((Sheet1!$G$13+Sheet1!$G$11/10000)/12)*(M15+N15)</f>
        <v>1052.4337891214352</v>
      </c>
      <c r="P15" s="4">
        <v>0</v>
      </c>
      <c r="Q15" s="4"/>
      <c r="R15" s="4">
        <f t="shared" si="0"/>
        <v>141337.97080058738</v>
      </c>
      <c r="S15" s="4"/>
      <c r="U15" s="4">
        <f>L15*Sheet1!$G$10/10000/12</f>
        <v>112.81817285681991</v>
      </c>
      <c r="V15" s="4">
        <f t="shared" si="10"/>
        <v>0</v>
      </c>
      <c r="W15" s="4">
        <f t="shared" si="11"/>
        <v>0</v>
      </c>
      <c r="X15" s="4">
        <f t="shared" si="12"/>
        <v>0</v>
      </c>
      <c r="Y15" s="4">
        <f t="shared" si="13"/>
        <v>0</v>
      </c>
      <c r="Z15" s="4">
        <f t="shared" si="14"/>
        <v>112.81817285681991</v>
      </c>
      <c r="AB15" s="6">
        <f t="shared" si="1"/>
        <v>18322</v>
      </c>
      <c r="AC15" s="41">
        <f t="shared" si="15"/>
        <v>-18209.18182714318</v>
      </c>
      <c r="AD15" s="41">
        <f>AC15/((1+Sheet1!$G$18/12)^(Sheet2!A15))</f>
        <v>-16620.537540633119</v>
      </c>
      <c r="AE15" s="35"/>
      <c r="AF15" s="41">
        <f t="shared" si="2"/>
        <v>-6412.7</v>
      </c>
      <c r="AG15" s="35"/>
      <c r="AH15" s="35"/>
      <c r="AI15" s="35"/>
      <c r="AJ15" s="35"/>
      <c r="AM15" s="4">
        <f>+L15*Sheet1!$M$10/10000/12</f>
        <v>20.827970373566753</v>
      </c>
      <c r="AN15" s="4">
        <f t="shared" si="16"/>
        <v>0</v>
      </c>
      <c r="AO15" s="4"/>
      <c r="AP15" s="4">
        <f t="shared" si="3"/>
        <v>20.827970373566753</v>
      </c>
      <c r="AS15" s="6">
        <f t="shared" si="4"/>
        <v>91.990202483253157</v>
      </c>
      <c r="AT15" s="6">
        <f t="shared" si="5"/>
        <v>0</v>
      </c>
      <c r="AU15" s="6">
        <f t="shared" si="6"/>
        <v>852.54216332681835</v>
      </c>
      <c r="AV15" s="4">
        <f t="shared" si="17"/>
        <v>944.5323658100715</v>
      </c>
      <c r="AX15" s="4">
        <f>((AV15+AW15)/((1+Sheet1!$M$15)^(Sheet1!A61/12)))</f>
        <v>880.19399582552421</v>
      </c>
    </row>
    <row r="16" spans="1:50" x14ac:dyDescent="0.2">
      <c r="A16">
        <v>12</v>
      </c>
      <c r="B16" s="1">
        <v>36923</v>
      </c>
      <c r="C16" s="4">
        <f>SUM(Sheet1!D62:W62)</f>
        <v>18322</v>
      </c>
      <c r="E16" s="4">
        <f t="shared" si="7"/>
        <v>52005.071962935923</v>
      </c>
      <c r="F16" s="4">
        <f>Sheet1!$M$17*Sheet2!C16</f>
        <v>6412.7</v>
      </c>
      <c r="G16" s="4">
        <f>(Sheet1!$M$18/12)*(E16+F16)</f>
        <v>973.62953271559866</v>
      </c>
      <c r="H16" s="4">
        <v>0</v>
      </c>
      <c r="J16" s="4">
        <f t="shared" si="8"/>
        <v>59391.401495651517</v>
      </c>
      <c r="K16" s="4"/>
      <c r="L16" s="4">
        <f>+Sheet1!$G$8-Sheet2!R15</f>
        <v>153662.02919941262</v>
      </c>
      <c r="M16" s="4">
        <f t="shared" si="9"/>
        <v>141337.97080058738</v>
      </c>
      <c r="N16" s="4">
        <f>SUM(Sheet1!D62:W62)*Sheet1!$G$16</f>
        <v>11909.300000000001</v>
      </c>
      <c r="O16" s="4">
        <f>((Sheet1!$G$13+Sheet1!$G$11/10000)/12)*(M16+N16)</f>
        <v>1149.6737961519063</v>
      </c>
      <c r="P16" s="4">
        <v>0</v>
      </c>
      <c r="Q16" s="4"/>
      <c r="R16" s="4">
        <f t="shared" si="0"/>
        <v>154396.94459673928</v>
      </c>
      <c r="S16" s="4"/>
      <c r="U16" s="4">
        <f>L16*Sheet1!$G$10/10000/12</f>
        <v>104.04199893710229</v>
      </c>
      <c r="V16" s="4">
        <f t="shared" si="10"/>
        <v>0</v>
      </c>
      <c r="W16" s="4">
        <f t="shared" si="11"/>
        <v>0</v>
      </c>
      <c r="X16" s="4">
        <f t="shared" si="12"/>
        <v>0</v>
      </c>
      <c r="Y16" s="4">
        <f t="shared" si="13"/>
        <v>0</v>
      </c>
      <c r="Z16" s="4">
        <f t="shared" si="14"/>
        <v>104.04199893710229</v>
      </c>
      <c r="AB16" s="6">
        <f t="shared" si="1"/>
        <v>18322</v>
      </c>
      <c r="AC16" s="41">
        <f t="shared" si="15"/>
        <v>-18217.958001062896</v>
      </c>
      <c r="AD16" s="41">
        <f>AC16/((1+Sheet1!$G$18/12)^(Sheet2!A16))</f>
        <v>-16491.122027965852</v>
      </c>
      <c r="AE16" s="35"/>
      <c r="AF16" s="41">
        <f t="shared" si="2"/>
        <v>-6412.7</v>
      </c>
      <c r="AG16" s="35"/>
      <c r="AH16" s="35"/>
      <c r="AI16" s="35"/>
      <c r="AJ16" s="35"/>
      <c r="AM16" s="4">
        <f>+L16*Sheet1!$M$10/10000/12</f>
        <v>19.207753649926577</v>
      </c>
      <c r="AN16" s="4">
        <f t="shared" si="16"/>
        <v>0</v>
      </c>
      <c r="AO16" s="4"/>
      <c r="AP16" s="4">
        <f t="shared" si="3"/>
        <v>19.207753649926577</v>
      </c>
      <c r="AS16" s="6">
        <f t="shared" si="4"/>
        <v>84.834245287175719</v>
      </c>
      <c r="AT16" s="6">
        <f t="shared" si="5"/>
        <v>0</v>
      </c>
      <c r="AU16" s="6">
        <f t="shared" si="6"/>
        <v>973.62953271559866</v>
      </c>
      <c r="AV16" s="4">
        <f t="shared" si="17"/>
        <v>1058.4637780027745</v>
      </c>
      <c r="AW16">
        <f>Sheet1!D158</f>
        <v>0</v>
      </c>
      <c r="AX16" s="4">
        <f>((AV16+AW16)/((1+Sheet1!$M$15)^(Sheet1!A62/12)))</f>
        <v>980.05905370627261</v>
      </c>
    </row>
    <row r="17" spans="1:50" x14ac:dyDescent="0.2">
      <c r="A17">
        <v>13</v>
      </c>
      <c r="B17" s="1">
        <v>36951</v>
      </c>
      <c r="C17" s="4">
        <f>SUM(Sheet1!D63:W63)</f>
        <v>31092</v>
      </c>
      <c r="E17" s="4">
        <f t="shared" si="7"/>
        <v>59391.401495651517</v>
      </c>
      <c r="F17" s="4">
        <f>Sheet1!$M$17*Sheet2!C17</f>
        <v>10882.199999999999</v>
      </c>
      <c r="G17" s="4">
        <f>(Sheet1!$M$18/12)*(E17+F17)</f>
        <v>1171.2266915941918</v>
      </c>
      <c r="H17" s="4">
        <v>0</v>
      </c>
      <c r="J17" s="4">
        <f t="shared" si="8"/>
        <v>71444.828187245701</v>
      </c>
      <c r="K17" s="4"/>
      <c r="L17" s="4">
        <f>+Sheet1!$G$8-Sheet2!R16</f>
        <v>140603.05540326072</v>
      </c>
      <c r="M17" s="4">
        <f t="shared" si="9"/>
        <v>154396.94459673928</v>
      </c>
      <c r="N17" s="4">
        <f>SUM(Sheet1!D63:W63)*Sheet1!$G$16</f>
        <v>20209.8</v>
      </c>
      <c r="O17" s="4">
        <f>((Sheet1!$G$13+Sheet1!$G$11/10000)/12)*(M17+N17)</f>
        <v>1309.9143485267875</v>
      </c>
      <c r="P17" s="4">
        <v>0</v>
      </c>
      <c r="Q17" s="4"/>
      <c r="R17" s="4">
        <f t="shared" si="0"/>
        <v>175916.65894526607</v>
      </c>
      <c r="S17" s="4"/>
      <c r="U17" s="4">
        <f>L17*Sheet1!$G$10/10000/12</f>
        <v>95.199985429291118</v>
      </c>
      <c r="V17" s="4">
        <f t="shared" si="10"/>
        <v>0</v>
      </c>
      <c r="W17" s="4">
        <f t="shared" si="11"/>
        <v>0</v>
      </c>
      <c r="X17" s="4">
        <f t="shared" si="12"/>
        <v>0</v>
      </c>
      <c r="Y17" s="4">
        <f t="shared" si="13"/>
        <v>0</v>
      </c>
      <c r="Z17" s="4">
        <f t="shared" si="14"/>
        <v>95.199985429291118</v>
      </c>
      <c r="AB17" s="6">
        <f t="shared" si="1"/>
        <v>31092</v>
      </c>
      <c r="AC17" s="41">
        <f t="shared" si="15"/>
        <v>-30996.800014570708</v>
      </c>
      <c r="AD17" s="41">
        <f>AC17/((1+Sheet1!$G$18/12)^(Sheet2!A17))</f>
        <v>-27826.798668023697</v>
      </c>
      <c r="AE17" s="35"/>
      <c r="AF17" s="41">
        <f t="shared" si="2"/>
        <v>-10882.199999999999</v>
      </c>
      <c r="AG17" s="35"/>
      <c r="AH17" s="35"/>
      <c r="AI17" s="35"/>
      <c r="AJ17" s="35"/>
      <c r="AM17" s="4">
        <f>+L17*Sheet1!$M$10/10000/12</f>
        <v>17.575381925407591</v>
      </c>
      <c r="AN17" s="4">
        <f t="shared" si="16"/>
        <v>0</v>
      </c>
      <c r="AO17" s="4"/>
      <c r="AP17" s="4">
        <f t="shared" si="3"/>
        <v>17.575381925407591</v>
      </c>
      <c r="AS17" s="6">
        <f t="shared" si="4"/>
        <v>77.62460350388352</v>
      </c>
      <c r="AT17" s="6">
        <f t="shared" si="5"/>
        <v>0</v>
      </c>
      <c r="AU17" s="6">
        <f t="shared" si="6"/>
        <v>1171.2266915941918</v>
      </c>
      <c r="AV17" s="4">
        <f t="shared" si="17"/>
        <v>1248.8512950980753</v>
      </c>
      <c r="AW17">
        <f>Sheet1!E158</f>
        <v>0</v>
      </c>
      <c r="AX17" s="4">
        <f>((AV17+AW17)/((1+Sheet1!$M$15)^(Sheet1!A63/12)))</f>
        <v>1148.9514038303023</v>
      </c>
    </row>
    <row r="18" spans="1:50" x14ac:dyDescent="0.2">
      <c r="A18">
        <v>14</v>
      </c>
      <c r="B18" s="1">
        <v>36982</v>
      </c>
      <c r="C18" s="4">
        <f>SUM(Sheet1!D64:W64)-SUM(Sheet1!D64:E64)</f>
        <v>14720</v>
      </c>
      <c r="E18" s="4">
        <f t="shared" si="7"/>
        <v>71444.828187245701</v>
      </c>
      <c r="F18" s="4">
        <f>Sheet1!$M$17*Sheet2!C18</f>
        <v>5152</v>
      </c>
      <c r="G18" s="4">
        <f>(Sheet1!$M$18/12)*(E18+F18)</f>
        <v>1276.6138031207618</v>
      </c>
      <c r="H18" s="4">
        <f>Sheet1!D436+Sheet1!E436</f>
        <v>20062</v>
      </c>
      <c r="I18" s="4">
        <f>Sheet1!D487+Sheet1!E487</f>
        <v>2298.246205059866</v>
      </c>
      <c r="J18" s="4">
        <f t="shared" si="8"/>
        <v>55513.195785306598</v>
      </c>
      <c r="K18" s="4"/>
      <c r="L18" s="4">
        <f>+Sheet1!$G$8-Sheet2!R17</f>
        <v>119083.34105473393</v>
      </c>
      <c r="M18" s="4">
        <f t="shared" si="9"/>
        <v>175916.65894526607</v>
      </c>
      <c r="N18" s="4">
        <f>(SUM(Sheet1!D64:W64)-SUM(Sheet1!D64:E64))*Sheet1!$G$16</f>
        <v>9568</v>
      </c>
      <c r="O18" s="4">
        <f>((Sheet1!$G$13+Sheet1!$G$11/10000)/12)*(M18+N18)</f>
        <v>1391.5213684622981</v>
      </c>
      <c r="P18" s="4">
        <f>(SUM(Sheet1!D51:D63)+SUM(Sheet1!E51:E63)+Sheet1!D46+Sheet1!E46)-H18</f>
        <v>44010</v>
      </c>
      <c r="Q18" s="4">
        <f>Sheet1!D333+Sheet1!E333</f>
        <v>2596.6119943188642</v>
      </c>
      <c r="R18" s="4">
        <f t="shared" si="0"/>
        <v>140269.5683194095</v>
      </c>
      <c r="S18" s="4"/>
      <c r="U18" s="4">
        <f>L18*Sheet1!$G$10/10000/12</f>
        <v>80.629345505809425</v>
      </c>
      <c r="V18" s="4">
        <f t="shared" si="10"/>
        <v>44010</v>
      </c>
      <c r="W18" s="4">
        <f t="shared" si="11"/>
        <v>2596.6119943188642</v>
      </c>
      <c r="X18" s="4">
        <f t="shared" si="12"/>
        <v>20062</v>
      </c>
      <c r="Y18" s="4">
        <f t="shared" si="13"/>
        <v>2298.246205059866</v>
      </c>
      <c r="Z18" s="4">
        <f t="shared" si="14"/>
        <v>69047.487544884541</v>
      </c>
      <c r="AA18" s="4">
        <f>Sheet1!D158+Sheet1!E158</f>
        <v>0</v>
      </c>
      <c r="AB18" s="6">
        <f t="shared" si="1"/>
        <v>14720</v>
      </c>
      <c r="AC18" s="41">
        <f t="shared" si="15"/>
        <v>54327.487544884541</v>
      </c>
      <c r="AD18" s="41">
        <f>AC18/((1+Sheet1!$G$18/12)^(Sheet2!A18))</f>
        <v>48368.417790514613</v>
      </c>
      <c r="AE18" s="35"/>
      <c r="AF18" s="41">
        <f t="shared" si="2"/>
        <v>17208.246205059866</v>
      </c>
      <c r="AG18" s="35"/>
      <c r="AH18" s="35"/>
      <c r="AI18" s="35"/>
      <c r="AJ18" s="35"/>
      <c r="AM18" s="4">
        <f>+L18*Sheet1!$M$10/10000/12</f>
        <v>14.885417631841742</v>
      </c>
      <c r="AN18" s="4">
        <f t="shared" si="16"/>
        <v>44010</v>
      </c>
      <c r="AO18" s="4">
        <f>Sheet1!D385+Sheet1!E385</f>
        <v>1462.2751284494561</v>
      </c>
      <c r="AP18" s="4">
        <f t="shared" si="3"/>
        <v>45487.160546081301</v>
      </c>
      <c r="AS18" s="6">
        <f t="shared" si="4"/>
        <v>65.743927873967678</v>
      </c>
      <c r="AT18" s="6">
        <f t="shared" si="5"/>
        <v>1134.336865869408</v>
      </c>
      <c r="AU18" s="6">
        <f t="shared" si="6"/>
        <v>1276.6138031207618</v>
      </c>
      <c r="AV18" s="4">
        <f t="shared" si="17"/>
        <v>2476.6945968641376</v>
      </c>
      <c r="AX18" s="4">
        <f>((AV18+AW18)/((1+Sheet1!$M$15)^(Sheet1!A64/12)))</f>
        <v>2264.0086160434412</v>
      </c>
    </row>
    <row r="19" spans="1:50" x14ac:dyDescent="0.2">
      <c r="A19">
        <v>15</v>
      </c>
      <c r="B19" s="1">
        <v>37012</v>
      </c>
      <c r="C19" s="4">
        <f>SUM(Sheet1!D65:W65)</f>
        <v>17136</v>
      </c>
      <c r="E19" s="4">
        <f t="shared" si="7"/>
        <v>55513.195785306598</v>
      </c>
      <c r="F19" s="4">
        <f>Sheet1!$M$17*Sheet2!C19</f>
        <v>5997.5999999999995</v>
      </c>
      <c r="G19" s="4">
        <f>(Sheet1!$M$18/12)*(E19+F19)</f>
        <v>1025.1799297551099</v>
      </c>
      <c r="H19" s="4">
        <v>0</v>
      </c>
      <c r="I19" s="4"/>
      <c r="J19" s="4">
        <f t="shared" si="8"/>
        <v>62535.975715061708</v>
      </c>
      <c r="K19" s="4"/>
      <c r="L19" s="4">
        <f>+Sheet1!$G$8-Sheet2!R18</f>
        <v>154730.4316805905</v>
      </c>
      <c r="M19" s="4">
        <f t="shared" si="9"/>
        <v>140269.5683194095</v>
      </c>
      <c r="N19" s="4">
        <f>SUM(Sheet1!D65:W65)*Sheet1!$G$16</f>
        <v>11138.4</v>
      </c>
      <c r="O19" s="4">
        <f>((Sheet1!$G$13+Sheet1!$G$11/10000)/12)*(M19+N19)</f>
        <v>1135.8751956629033</v>
      </c>
      <c r="P19" s="4">
        <v>0</v>
      </c>
      <c r="Q19" s="4"/>
      <c r="R19" s="4">
        <f t="shared" si="0"/>
        <v>152543.8435150724</v>
      </c>
      <c r="S19" s="4"/>
      <c r="U19" s="4">
        <f>L19*Sheet1!$G$10/10000/12</f>
        <v>104.76539645039981</v>
      </c>
      <c r="V19" s="4">
        <f t="shared" si="10"/>
        <v>0</v>
      </c>
      <c r="W19" s="4">
        <f t="shared" si="11"/>
        <v>0</v>
      </c>
      <c r="X19" s="4">
        <f t="shared" si="12"/>
        <v>0</v>
      </c>
      <c r="Y19" s="4">
        <f t="shared" si="13"/>
        <v>0</v>
      </c>
      <c r="Z19" s="4">
        <f t="shared" si="14"/>
        <v>104.76539645039981</v>
      </c>
      <c r="AA19" s="4"/>
      <c r="AB19" s="6">
        <f t="shared" si="1"/>
        <v>17136</v>
      </c>
      <c r="AC19" s="41">
        <f t="shared" si="15"/>
        <v>-17031.234603549601</v>
      </c>
      <c r="AD19" s="41">
        <f>AC19/((1+Sheet1!$G$18/12)^(Sheet2!A19))</f>
        <v>-15037.798712831023</v>
      </c>
      <c r="AE19" s="35"/>
      <c r="AF19" s="41">
        <f t="shared" si="2"/>
        <v>-5997.5999999999995</v>
      </c>
      <c r="AG19" s="35"/>
      <c r="AH19" s="35"/>
      <c r="AI19" s="35"/>
      <c r="AJ19" s="35"/>
      <c r="AM19" s="4">
        <f>+L19*Sheet1!$M$10/10000/12</f>
        <v>19.341303960073812</v>
      </c>
      <c r="AN19" s="4">
        <f t="shared" si="16"/>
        <v>0</v>
      </c>
      <c r="AO19" s="4"/>
      <c r="AP19" s="4">
        <f t="shared" si="3"/>
        <v>19.341303960073812</v>
      </c>
      <c r="AS19" s="6">
        <f t="shared" si="4"/>
        <v>85.42409249032599</v>
      </c>
      <c r="AT19" s="6">
        <f t="shared" si="5"/>
        <v>0</v>
      </c>
      <c r="AU19" s="6">
        <f t="shared" si="6"/>
        <v>1025.1799297551099</v>
      </c>
      <c r="AV19" s="4">
        <f t="shared" si="17"/>
        <v>1110.604022245436</v>
      </c>
      <c r="AX19" s="4">
        <f>((AV19+AW19)/((1+Sheet1!$M$15)^(Sheet1!A65/12)))</f>
        <v>1008.7407089342662</v>
      </c>
    </row>
    <row r="20" spans="1:50" x14ac:dyDescent="0.2">
      <c r="A20">
        <v>16</v>
      </c>
      <c r="B20" s="1">
        <v>37043</v>
      </c>
      <c r="C20" s="4">
        <f>SUM(Sheet1!D66:W66)</f>
        <v>18396</v>
      </c>
      <c r="E20" s="4">
        <f t="shared" si="7"/>
        <v>62535.975715061708</v>
      </c>
      <c r="F20" s="4">
        <f>Sheet1!$M$17*Sheet2!C20</f>
        <v>6438.5999999999995</v>
      </c>
      <c r="G20" s="4">
        <f>(Sheet1!$M$18/12)*(E20+F20)</f>
        <v>1149.5762619176953</v>
      </c>
      <c r="H20" s="4">
        <v>0</v>
      </c>
      <c r="I20" s="4"/>
      <c r="J20" s="4">
        <f t="shared" si="8"/>
        <v>70124.15197697941</v>
      </c>
      <c r="K20" s="4"/>
      <c r="L20" s="4">
        <f>+Sheet1!$G$8-Sheet2!R19</f>
        <v>142456.1564849276</v>
      </c>
      <c r="M20" s="4">
        <f t="shared" si="9"/>
        <v>152543.8435150724</v>
      </c>
      <c r="N20" s="4">
        <f>SUM(Sheet1!D66:W66)*Sheet1!$G$16</f>
        <v>11957.4</v>
      </c>
      <c r="O20" s="4">
        <f>((Sheet1!$G$13+Sheet1!$G$11/10000)/12)*(M20+N20)</f>
        <v>1234.1020372870325</v>
      </c>
      <c r="P20" s="4">
        <v>0</v>
      </c>
      <c r="Q20" s="4"/>
      <c r="R20" s="4">
        <f t="shared" si="0"/>
        <v>165735.34555235942</v>
      </c>
      <c r="S20" s="4"/>
      <c r="U20" s="4">
        <f>L20*Sheet1!$G$10/10000/12</f>
        <v>96.454689286669733</v>
      </c>
      <c r="V20" s="4">
        <f t="shared" si="10"/>
        <v>0</v>
      </c>
      <c r="W20" s="4">
        <f t="shared" si="11"/>
        <v>0</v>
      </c>
      <c r="X20" s="4">
        <f t="shared" si="12"/>
        <v>0</v>
      </c>
      <c r="Y20" s="4">
        <f t="shared" si="13"/>
        <v>0</v>
      </c>
      <c r="Z20" s="4">
        <f t="shared" si="14"/>
        <v>96.454689286669733</v>
      </c>
      <c r="AA20" s="4"/>
      <c r="AB20" s="6">
        <f t="shared" si="1"/>
        <v>18396</v>
      </c>
      <c r="AC20" s="41">
        <f t="shared" si="15"/>
        <v>-18299.545310713329</v>
      </c>
      <c r="AD20" s="41">
        <f>AC20/((1+Sheet1!$G$18/12)^(Sheet2!A20))</f>
        <v>-16024.124502652456</v>
      </c>
      <c r="AE20" s="35"/>
      <c r="AF20" s="41">
        <f t="shared" si="2"/>
        <v>-6438.5999999999995</v>
      </c>
      <c r="AG20" s="35"/>
      <c r="AH20" s="35"/>
      <c r="AI20" s="35"/>
      <c r="AJ20" s="35"/>
      <c r="AM20" s="4">
        <f>+L20*Sheet1!$M$10/10000/12</f>
        <v>17.807019560615952</v>
      </c>
      <c r="AN20" s="4">
        <f t="shared" si="16"/>
        <v>0</v>
      </c>
      <c r="AO20" s="4"/>
      <c r="AP20" s="4">
        <f t="shared" si="3"/>
        <v>17.807019560615952</v>
      </c>
      <c r="AS20" s="6">
        <f t="shared" si="4"/>
        <v>78.647669726053778</v>
      </c>
      <c r="AT20" s="6">
        <f t="shared" si="5"/>
        <v>0</v>
      </c>
      <c r="AU20" s="6">
        <f t="shared" si="6"/>
        <v>1149.5762619176953</v>
      </c>
      <c r="AV20" s="4">
        <f t="shared" si="17"/>
        <v>1228.223931643749</v>
      </c>
      <c r="AX20" s="4">
        <f>((AV20+AW20)/((1+Sheet1!$M$15)^(Sheet1!A66/12)))</f>
        <v>1108.440914390083</v>
      </c>
    </row>
    <row r="21" spans="1:50" x14ac:dyDescent="0.2">
      <c r="A21">
        <v>17</v>
      </c>
      <c r="B21" s="1">
        <v>37073</v>
      </c>
      <c r="C21" s="4">
        <f>SUM(Sheet1!D67:W67)</f>
        <v>35364</v>
      </c>
      <c r="E21" s="4">
        <f t="shared" si="7"/>
        <v>70124.15197697941</v>
      </c>
      <c r="F21" s="4">
        <f>Sheet1!$M$17*Sheet2!C21</f>
        <v>12377.4</v>
      </c>
      <c r="G21" s="4">
        <f>(Sheet1!$M$18/12)*(E21+F21)</f>
        <v>1375.0258662829901</v>
      </c>
      <c r="H21" s="4">
        <v>0</v>
      </c>
      <c r="I21" s="4"/>
      <c r="J21" s="4">
        <f t="shared" si="8"/>
        <v>83876.577843262392</v>
      </c>
      <c r="K21" s="4"/>
      <c r="L21" s="4">
        <f>+Sheet1!$G$8-Sheet2!R20</f>
        <v>129264.65444764058</v>
      </c>
      <c r="M21" s="4">
        <f t="shared" si="9"/>
        <v>165735.34555235942</v>
      </c>
      <c r="N21" s="4">
        <f>SUM(Sheet1!D67:W67)*Sheet1!$G$16</f>
        <v>22986.600000000002</v>
      </c>
      <c r="O21" s="4">
        <f>((Sheet1!$G$13+Sheet1!$G$11/10000)/12)*(M21+N21)</f>
        <v>1415.8077623625963</v>
      </c>
      <c r="P21" s="4">
        <v>0</v>
      </c>
      <c r="Q21" s="4"/>
      <c r="R21" s="4">
        <f t="shared" si="0"/>
        <v>190137.75331472201</v>
      </c>
      <c r="S21" s="4"/>
      <c r="U21" s="4">
        <f>L21*Sheet1!$G$10/10000/12</f>
        <v>87.522943115589996</v>
      </c>
      <c r="V21" s="4">
        <f t="shared" si="10"/>
        <v>0</v>
      </c>
      <c r="W21" s="4">
        <f t="shared" si="11"/>
        <v>0</v>
      </c>
      <c r="X21" s="4">
        <f t="shared" si="12"/>
        <v>0</v>
      </c>
      <c r="Y21" s="4">
        <f t="shared" si="13"/>
        <v>0</v>
      </c>
      <c r="Z21" s="4">
        <f t="shared" si="14"/>
        <v>87.522943115589996</v>
      </c>
      <c r="AB21" s="6">
        <f t="shared" si="1"/>
        <v>35364</v>
      </c>
      <c r="AC21" s="41">
        <f t="shared" si="15"/>
        <v>-35276.477056884411</v>
      </c>
      <c r="AD21" s="41">
        <f>AC21/((1+Sheet1!$G$18/12)^(Sheet2!A21))</f>
        <v>-30634.803184876102</v>
      </c>
      <c r="AE21" s="35"/>
      <c r="AF21" s="41">
        <f t="shared" si="2"/>
        <v>-12377.4</v>
      </c>
      <c r="AG21" s="35"/>
      <c r="AH21" s="35"/>
      <c r="AI21" s="35"/>
      <c r="AJ21" s="35"/>
      <c r="AM21" s="4">
        <f>+L21*Sheet1!$M$10/10000/12</f>
        <v>16.158081805955074</v>
      </c>
      <c r="AN21" s="4">
        <f t="shared" si="16"/>
        <v>0</v>
      </c>
      <c r="AO21" s="4"/>
      <c r="AP21" s="4">
        <f t="shared" si="3"/>
        <v>16.158081805955074</v>
      </c>
      <c r="AS21" s="6">
        <f t="shared" si="4"/>
        <v>71.364861309634918</v>
      </c>
      <c r="AT21" s="6">
        <f t="shared" si="5"/>
        <v>0</v>
      </c>
      <c r="AU21" s="6">
        <f t="shared" si="6"/>
        <v>1375.0258662829901</v>
      </c>
      <c r="AV21" s="4">
        <f t="shared" si="17"/>
        <v>1446.3907275926251</v>
      </c>
      <c r="AW21">
        <f>Sheet1!F158+Sheet1!G158</f>
        <v>0</v>
      </c>
      <c r="AX21" s="4">
        <f>((AV21+AW21)/((1+Sheet1!$M$15)^(Sheet1!A67/12)))</f>
        <v>1296.9860612308503</v>
      </c>
    </row>
    <row r="22" spans="1:50" x14ac:dyDescent="0.2">
      <c r="A22">
        <v>18</v>
      </c>
      <c r="B22" s="1">
        <v>37104</v>
      </c>
      <c r="C22" s="4">
        <f>SUM(Sheet1!D68:W68)-SUM(Sheet1!F68:G68)</f>
        <v>18456</v>
      </c>
      <c r="E22" s="4">
        <f t="shared" si="7"/>
        <v>83876.577843262392</v>
      </c>
      <c r="F22" s="4">
        <f>Sheet1!$M$17*Sheet2!C22</f>
        <v>6459.5999999999995</v>
      </c>
      <c r="G22" s="4">
        <f>(Sheet1!$M$18/12)*(E22+F22)</f>
        <v>1505.6029640543734</v>
      </c>
      <c r="H22" s="4">
        <f>+Sheet1!F436+Sheet1!G436</f>
        <v>21305.199999999997</v>
      </c>
      <c r="I22" s="4">
        <f>+Sheet1!F487+Sheet1!G487</f>
        <v>2576.0226316040157</v>
      </c>
      <c r="J22" s="4">
        <f t="shared" si="8"/>
        <v>67960.558175712751</v>
      </c>
      <c r="K22" s="4"/>
      <c r="L22" s="4">
        <f>+Sheet1!$G$8-Sheet2!R21</f>
        <v>104862.24668527799</v>
      </c>
      <c r="M22" s="4">
        <f t="shared" si="9"/>
        <v>190137.75331472201</v>
      </c>
      <c r="N22" s="4">
        <f>(SUM(Sheet1!D68:W68)-SUM(Sheet1!F68:G68))*Sheet1!$G$16</f>
        <v>11996.4</v>
      </c>
      <c r="O22" s="4">
        <f>((Sheet1!$G$13+Sheet1!$G$11/10000)/12)*(M22+N22)</f>
        <v>1516.4272626798206</v>
      </c>
      <c r="P22" s="4">
        <f>SUM(Sheet1!F51:F67)+SUM(Sheet1!G51:G67)+Sheet1!F46+Sheet1!G46-H22</f>
        <v>42948.800000000003</v>
      </c>
      <c r="Q22" s="4">
        <f>+Sheet1!F333+Sheet1!G333</f>
        <v>2556.1266459644576</v>
      </c>
      <c r="R22" s="4">
        <f t="shared" si="0"/>
        <v>158145.65393143735</v>
      </c>
      <c r="S22" s="4"/>
      <c r="U22" s="4">
        <f>L22*Sheet1!$G$10/10000/12</f>
        <v>71.000479526490295</v>
      </c>
      <c r="V22" s="4">
        <f t="shared" si="10"/>
        <v>42948.800000000003</v>
      </c>
      <c r="W22" s="4">
        <f t="shared" si="11"/>
        <v>2556.1266459644576</v>
      </c>
      <c r="X22" s="4">
        <f t="shared" si="12"/>
        <v>21305.199999999997</v>
      </c>
      <c r="Y22" s="4">
        <f t="shared" si="13"/>
        <v>2576.0226316040157</v>
      </c>
      <c r="Z22" s="4">
        <f t="shared" si="14"/>
        <v>69457.149757094972</v>
      </c>
      <c r="AA22" s="4">
        <f>Sheet1!F158+Sheet1!G158</f>
        <v>0</v>
      </c>
      <c r="AB22" s="6">
        <f t="shared" si="1"/>
        <v>18456</v>
      </c>
      <c r="AC22" s="41">
        <f t="shared" si="15"/>
        <v>51001.149757094972</v>
      </c>
      <c r="AD22" s="41">
        <f>AC22/((1+Sheet1!$G$18/12)^(Sheet2!A22))</f>
        <v>43924.38909487825</v>
      </c>
      <c r="AE22" s="35"/>
      <c r="AF22" s="41">
        <f t="shared" si="2"/>
        <v>17421.622631604016</v>
      </c>
      <c r="AG22" s="35"/>
      <c r="AH22" s="35"/>
      <c r="AI22" s="35"/>
      <c r="AJ22" s="35"/>
      <c r="AM22" s="4">
        <f>+L22*Sheet1!$M$10/10000/12</f>
        <v>13.107780835659751</v>
      </c>
      <c r="AN22" s="4">
        <f t="shared" si="16"/>
        <v>42948.800000000003</v>
      </c>
      <c r="AO22" s="4">
        <f>+Sheet1!F385+Sheet1!G385</f>
        <v>1633.0219123155357</v>
      </c>
      <c r="AP22" s="4">
        <f t="shared" si="3"/>
        <v>44594.929693151193</v>
      </c>
      <c r="AS22" s="6">
        <f t="shared" si="4"/>
        <v>57.892698690830542</v>
      </c>
      <c r="AT22" s="6">
        <f t="shared" si="5"/>
        <v>923.10473364892187</v>
      </c>
      <c r="AU22" s="6">
        <f t="shared" si="6"/>
        <v>1505.6029640543734</v>
      </c>
      <c r="AV22" s="4">
        <f t="shared" si="17"/>
        <v>2486.6003963941257</v>
      </c>
      <c r="AX22" s="4">
        <f>((AV22+AW22)/((1+Sheet1!$M$15)^(Sheet1!A68/12)))</f>
        <v>2215.4929139277447</v>
      </c>
    </row>
    <row r="23" spans="1:50" x14ac:dyDescent="0.2">
      <c r="A23">
        <v>19</v>
      </c>
      <c r="B23" s="1">
        <v>37135</v>
      </c>
      <c r="C23" s="4">
        <f>SUM(Sheet1!D69:W69)</f>
        <v>31644</v>
      </c>
      <c r="E23" s="4">
        <f t="shared" si="7"/>
        <v>67960.558175712751</v>
      </c>
      <c r="F23" s="4">
        <f>Sheet1!$M$17*Sheet2!C23</f>
        <v>11075.4</v>
      </c>
      <c r="G23" s="4">
        <f>(Sheet1!$M$18/12)*(E23+F23)</f>
        <v>1317.2659695952125</v>
      </c>
      <c r="H23" s="4">
        <v>0</v>
      </c>
      <c r="I23" s="4"/>
      <c r="J23" s="4">
        <f t="shared" si="8"/>
        <v>80353.224145307962</v>
      </c>
      <c r="K23" s="4"/>
      <c r="L23" s="4">
        <f>+Sheet1!$G$8-Sheet2!R22</f>
        <v>136854.34606856265</v>
      </c>
      <c r="M23" s="4">
        <f t="shared" si="9"/>
        <v>158145.65393143735</v>
      </c>
      <c r="N23" s="4">
        <f>SUM(Sheet1!D69:W69)*Sheet1!$G$16</f>
        <v>20568.600000000002</v>
      </c>
      <c r="O23" s="4">
        <f>((Sheet1!$G$13+Sheet1!$G$11/10000)/12)*(M23+N23)</f>
        <v>1340.7292258481373</v>
      </c>
      <c r="P23" s="4">
        <v>0</v>
      </c>
      <c r="Q23" s="4"/>
      <c r="R23" s="4">
        <f t="shared" si="0"/>
        <v>180054.98315728549</v>
      </c>
      <c r="S23" s="4"/>
      <c r="U23" s="4">
        <f>L23*Sheet1!$G$10/10000/12</f>
        <v>92.661796817255961</v>
      </c>
      <c r="V23" s="4">
        <f t="shared" si="10"/>
        <v>0</v>
      </c>
      <c r="W23" s="4">
        <f t="shared" si="11"/>
        <v>0</v>
      </c>
      <c r="X23" s="4">
        <f t="shared" si="12"/>
        <v>0</v>
      </c>
      <c r="Y23" s="4">
        <f t="shared" si="13"/>
        <v>0</v>
      </c>
      <c r="Z23" s="4">
        <f t="shared" si="14"/>
        <v>92.661796817255961</v>
      </c>
      <c r="AA23" s="4"/>
      <c r="AB23" s="6">
        <f t="shared" si="1"/>
        <v>31644</v>
      </c>
      <c r="AC23" s="41">
        <f t="shared" si="15"/>
        <v>-31551.338203182742</v>
      </c>
      <c r="AD23" s="41">
        <f>AC23/((1+Sheet1!$G$18/12)^(Sheet2!A23))</f>
        <v>-26948.799473456915</v>
      </c>
      <c r="AE23" s="35"/>
      <c r="AF23" s="41">
        <f t="shared" si="2"/>
        <v>-11075.4</v>
      </c>
      <c r="AG23" s="35"/>
      <c r="AH23" s="35"/>
      <c r="AI23" s="35"/>
      <c r="AJ23" s="35"/>
      <c r="AM23" s="4">
        <f>+L23*Sheet1!$M$10/10000/12</f>
        <v>17.106793258570331</v>
      </c>
      <c r="AN23" s="4">
        <f t="shared" si="16"/>
        <v>0</v>
      </c>
      <c r="AO23" s="4"/>
      <c r="AP23" s="4">
        <f t="shared" si="3"/>
        <v>17.106793258570331</v>
      </c>
      <c r="AS23" s="6">
        <f t="shared" si="4"/>
        <v>75.555003558685627</v>
      </c>
      <c r="AT23" s="6">
        <f t="shared" si="5"/>
        <v>0</v>
      </c>
      <c r="AU23" s="6">
        <f t="shared" si="6"/>
        <v>1317.2659695952125</v>
      </c>
      <c r="AV23" s="4">
        <f t="shared" si="17"/>
        <v>1392.8209731538982</v>
      </c>
      <c r="AW23">
        <f>Sheet1!H158+Sheet1!I158</f>
        <v>0</v>
      </c>
      <c r="AX23" s="4">
        <f>((AV23+AW23)/((1+Sheet1!$M$15)^(Sheet1!A69/12)))</f>
        <v>1233.0320111227265</v>
      </c>
    </row>
    <row r="24" spans="1:50" x14ac:dyDescent="0.2">
      <c r="A24">
        <v>20</v>
      </c>
      <c r="B24" s="1">
        <v>37165</v>
      </c>
      <c r="C24" s="4">
        <f>SUM(Sheet1!D70:W70)-SUM(Sheet1!H70:I70)</f>
        <v>17236</v>
      </c>
      <c r="E24" s="4">
        <f t="shared" si="7"/>
        <v>80353.224145307962</v>
      </c>
      <c r="F24" s="4">
        <f>Sheet1!$M$17*Sheet2!C24</f>
        <v>6032.5999999999995</v>
      </c>
      <c r="G24" s="4">
        <f>(Sheet1!$M$18/12)*(E24+F24)</f>
        <v>1439.7637357551328</v>
      </c>
      <c r="H24" s="4">
        <f>+Sheet1!H436+Sheet1!I436</f>
        <v>21305.199999999997</v>
      </c>
      <c r="I24" s="4">
        <f>+Sheet1!H487+Sheet1!I487</f>
        <v>2601.7234972474321</v>
      </c>
      <c r="J24" s="4">
        <f t="shared" si="8"/>
        <v>63918.664383815667</v>
      </c>
      <c r="K24" s="4"/>
      <c r="L24" s="4">
        <f>+Sheet1!$G$8-Sheet2!R23</f>
        <v>114945.01684271451</v>
      </c>
      <c r="M24" s="4">
        <f t="shared" si="9"/>
        <v>180054.98315728549</v>
      </c>
      <c r="N24" s="4">
        <f>(SUM(Sheet1!D70:W70)-SUM(Sheet1!H70:I70))*Sheet1!$G$16</f>
        <v>11203.4</v>
      </c>
      <c r="O24" s="4">
        <f>((Sheet1!$G$13+Sheet1!$G$11/10000)/12)*(M24+N24)</f>
        <v>1434.8363286445519</v>
      </c>
      <c r="P24" s="4">
        <f>SUM(Sheet1!H51:H69)+SUM(Sheet1!I51:I69)+Sheet1!H46+Sheet1!I46-H24</f>
        <v>42948.800000000003</v>
      </c>
      <c r="Q24" s="4">
        <f>+Sheet1!H333+Sheet1!I333</f>
        <v>2632.9825677112326</v>
      </c>
      <c r="R24" s="4">
        <f t="shared" si="0"/>
        <v>147111.43691821877</v>
      </c>
      <c r="S24" s="4"/>
      <c r="U24" s="4">
        <f>L24*Sheet1!$G$10/10000/12</f>
        <v>77.827355153921275</v>
      </c>
      <c r="V24" s="4">
        <f t="shared" si="10"/>
        <v>42948.800000000003</v>
      </c>
      <c r="W24" s="4">
        <f t="shared" si="11"/>
        <v>2632.9825677112326</v>
      </c>
      <c r="X24" s="4">
        <f t="shared" si="12"/>
        <v>21305.199999999997</v>
      </c>
      <c r="Y24" s="4">
        <f t="shared" si="13"/>
        <v>2601.7234972474321</v>
      </c>
      <c r="Z24" s="4">
        <f t="shared" si="14"/>
        <v>69566.533420112581</v>
      </c>
      <c r="AA24" s="4">
        <f>Sheet1!H158+Sheet1!I158</f>
        <v>0</v>
      </c>
      <c r="AB24" s="6">
        <f t="shared" si="1"/>
        <v>17236</v>
      </c>
      <c r="AC24" s="41">
        <f t="shared" si="15"/>
        <v>52330.533420112581</v>
      </c>
      <c r="AD24" s="41">
        <f>AC24/((1+Sheet1!$G$18/12)^(Sheet2!A24))</f>
        <v>44327.442617180648</v>
      </c>
      <c r="AE24" s="35"/>
      <c r="AF24" s="41">
        <f t="shared" si="2"/>
        <v>17874.323497247431</v>
      </c>
      <c r="AG24" s="35"/>
      <c r="AH24" s="35"/>
      <c r="AI24" s="35"/>
      <c r="AJ24" s="35"/>
      <c r="AM24" s="4">
        <f>+L24*Sheet1!$M$10/10000/12</f>
        <v>14.368127105339314</v>
      </c>
      <c r="AN24" s="4">
        <f t="shared" si="16"/>
        <v>42948.800000000003</v>
      </c>
      <c r="AO24" s="4">
        <f>+Sheet1!H385+Sheet1!I385</f>
        <v>1647.4317090203745</v>
      </c>
      <c r="AP24" s="4">
        <f t="shared" si="3"/>
        <v>44610.599836125723</v>
      </c>
      <c r="AS24" s="6">
        <f t="shared" si="4"/>
        <v>63.459228048581963</v>
      </c>
      <c r="AT24" s="6">
        <f t="shared" si="5"/>
        <v>985.55085869085815</v>
      </c>
      <c r="AU24" s="6">
        <f t="shared" si="6"/>
        <v>1439.7637357551328</v>
      </c>
      <c r="AV24" s="4">
        <f t="shared" si="17"/>
        <v>2488.7738224945729</v>
      </c>
      <c r="AX24" s="4">
        <f>((AV24+AW24)/((1+Sheet1!$M$15)^(Sheet1!A70/12)))</f>
        <v>2189.1684018437954</v>
      </c>
    </row>
    <row r="25" spans="1:50" x14ac:dyDescent="0.2">
      <c r="A25">
        <v>21</v>
      </c>
      <c r="B25" s="1">
        <v>37196</v>
      </c>
      <c r="C25" s="4">
        <f>SUM(Sheet1!D71:W71)</f>
        <v>17236</v>
      </c>
      <c r="E25" s="4">
        <f t="shared" si="7"/>
        <v>63918.664383815667</v>
      </c>
      <c r="F25" s="4">
        <f>Sheet1!$M$17*Sheet2!C25</f>
        <v>6032.5999999999995</v>
      </c>
      <c r="G25" s="4">
        <f>(Sheet1!$M$18/12)*(E25+F25)</f>
        <v>1165.8544063969277</v>
      </c>
      <c r="H25" s="4">
        <v>0</v>
      </c>
      <c r="J25" s="4">
        <f t="shared" si="8"/>
        <v>71117.118790212597</v>
      </c>
      <c r="K25" s="4"/>
      <c r="L25" s="4">
        <f>+Sheet1!$G$8-Sheet2!R24</f>
        <v>147888.56308178123</v>
      </c>
      <c r="M25" s="4">
        <f t="shared" si="9"/>
        <v>147111.43691821877</v>
      </c>
      <c r="N25" s="4">
        <f>SUM(Sheet1!D71:W71)*Sheet1!$G$16</f>
        <v>11203.4</v>
      </c>
      <c r="O25" s="4">
        <f>((Sheet1!$G$13+Sheet1!$G$11/10000)/12)*(M25+N25)</f>
        <v>1187.6910994635537</v>
      </c>
      <c r="P25" s="4">
        <v>0</v>
      </c>
      <c r="Q25" s="4"/>
      <c r="R25" s="4">
        <f t="shared" si="0"/>
        <v>159502.52801768231</v>
      </c>
      <c r="S25" s="4"/>
      <c r="U25" s="4">
        <f>L25*Sheet1!$G$10/10000/12</f>
        <v>100.13288125328938</v>
      </c>
      <c r="V25" s="4">
        <f t="shared" si="10"/>
        <v>0</v>
      </c>
      <c r="W25" s="4">
        <f t="shared" si="11"/>
        <v>0</v>
      </c>
      <c r="X25" s="4">
        <f t="shared" si="12"/>
        <v>0</v>
      </c>
      <c r="Y25" s="4">
        <f t="shared" si="13"/>
        <v>0</v>
      </c>
      <c r="Z25" s="4">
        <f t="shared" si="14"/>
        <v>100.13288125328938</v>
      </c>
      <c r="AA25" s="4"/>
      <c r="AB25" s="6">
        <f t="shared" si="1"/>
        <v>17236</v>
      </c>
      <c r="AC25" s="41">
        <f t="shared" si="15"/>
        <v>-17135.867118746712</v>
      </c>
      <c r="AD25" s="41">
        <f>AC25/((1+Sheet1!$G$18/12)^(Sheet2!A25))</f>
        <v>-14395.258766764402</v>
      </c>
      <c r="AE25" s="35"/>
      <c r="AF25" s="41">
        <f t="shared" si="2"/>
        <v>-6032.5999999999995</v>
      </c>
      <c r="AG25" s="35"/>
      <c r="AH25" s="35"/>
      <c r="AI25" s="35"/>
      <c r="AJ25" s="35"/>
      <c r="AM25" s="4">
        <f>+L25*Sheet1!$M$10/10000/12</f>
        <v>18.486070385222654</v>
      </c>
      <c r="AN25" s="4">
        <f t="shared" si="16"/>
        <v>0</v>
      </c>
      <c r="AO25" s="4"/>
      <c r="AP25" s="4">
        <f t="shared" si="3"/>
        <v>18.486070385222654</v>
      </c>
      <c r="AS25" s="6">
        <f t="shared" si="4"/>
        <v>81.646810868066723</v>
      </c>
      <c r="AT25" s="6">
        <f t="shared" si="5"/>
        <v>0</v>
      </c>
      <c r="AU25" s="6">
        <f t="shared" si="6"/>
        <v>1165.8544063969277</v>
      </c>
      <c r="AV25" s="4">
        <f t="shared" si="17"/>
        <v>1247.5012172649945</v>
      </c>
      <c r="AX25" s="4">
        <f>((AV25+AW25)/((1+Sheet1!$M$15)^(Sheet1!A71/12)))</f>
        <v>1090.3085203877924</v>
      </c>
    </row>
    <row r="26" spans="1:50" x14ac:dyDescent="0.2">
      <c r="A26">
        <v>22</v>
      </c>
      <c r="B26" s="1">
        <v>37226</v>
      </c>
      <c r="C26" s="4">
        <f>SUM(Sheet1!D72:W72)</f>
        <v>17932</v>
      </c>
      <c r="E26" s="4">
        <f t="shared" si="7"/>
        <v>71117.118790212597</v>
      </c>
      <c r="F26" s="4">
        <f>Sheet1!$M$17*Sheet2!C26</f>
        <v>6276.2</v>
      </c>
      <c r="G26" s="4">
        <f>(Sheet1!$M$18/12)*(E26+F26)</f>
        <v>1289.8886465035432</v>
      </c>
      <c r="H26" s="4">
        <v>0</v>
      </c>
      <c r="J26" s="4">
        <f t="shared" si="8"/>
        <v>78683.20743671614</v>
      </c>
      <c r="K26" s="4"/>
      <c r="L26" s="4">
        <f>+Sheet1!$G$8-Sheet2!R25</f>
        <v>135497.47198231769</v>
      </c>
      <c r="M26" s="4">
        <f t="shared" si="9"/>
        <v>159502.52801768231</v>
      </c>
      <c r="N26" s="4">
        <f>SUM(Sheet1!D72:W72)*Sheet1!$G$16</f>
        <v>11655.800000000001</v>
      </c>
      <c r="O26" s="4">
        <f>((Sheet1!$G$13+Sheet1!$G$11/10000)/12)*(M26+N26)</f>
        <v>1284.0440399826541</v>
      </c>
      <c r="P26" s="4">
        <v>0</v>
      </c>
      <c r="Q26" s="4"/>
      <c r="R26" s="4">
        <f t="shared" si="0"/>
        <v>172442.37205766496</v>
      </c>
      <c r="S26" s="4"/>
      <c r="U26" s="4">
        <f>L26*Sheet1!$G$10/10000/12</f>
        <v>91.743079988027603</v>
      </c>
      <c r="V26" s="4">
        <f t="shared" si="10"/>
        <v>0</v>
      </c>
      <c r="W26" s="4">
        <f t="shared" si="11"/>
        <v>0</v>
      </c>
      <c r="X26" s="4">
        <f t="shared" si="12"/>
        <v>0</v>
      </c>
      <c r="Y26" s="4">
        <f t="shared" si="13"/>
        <v>0</v>
      </c>
      <c r="Z26" s="4">
        <f t="shared" si="14"/>
        <v>91.743079988027603</v>
      </c>
      <c r="AA26" s="4"/>
      <c r="AB26" s="6">
        <f t="shared" si="1"/>
        <v>17932</v>
      </c>
      <c r="AC26" s="41">
        <f t="shared" si="15"/>
        <v>-17840.256920011972</v>
      </c>
      <c r="AD26" s="41">
        <f>AC26/((1+Sheet1!$G$18/12)^(Sheet2!A26))</f>
        <v>-14863.13322218557</v>
      </c>
      <c r="AE26" s="35"/>
      <c r="AF26" s="41">
        <f t="shared" si="2"/>
        <v>-6276.2</v>
      </c>
      <c r="AG26" s="35"/>
      <c r="AH26" s="35"/>
      <c r="AI26" s="35"/>
      <c r="AJ26" s="35"/>
      <c r="AM26" s="4">
        <f>+L26*Sheet1!$M$10/10000/12</f>
        <v>16.93718399778971</v>
      </c>
      <c r="AN26" s="4">
        <f t="shared" si="16"/>
        <v>0</v>
      </c>
      <c r="AO26" s="4"/>
      <c r="AP26" s="4">
        <f t="shared" si="3"/>
        <v>16.93718399778971</v>
      </c>
      <c r="AS26" s="6">
        <f t="shared" si="4"/>
        <v>74.8058959902379</v>
      </c>
      <c r="AT26" s="6">
        <f t="shared" si="5"/>
        <v>0</v>
      </c>
      <c r="AU26" s="6">
        <f t="shared" si="6"/>
        <v>1289.8886465035432</v>
      </c>
      <c r="AV26" s="4">
        <f t="shared" si="17"/>
        <v>1364.6945424937812</v>
      </c>
      <c r="AW26">
        <f>+Sheet1!J158+Sheet1!K158+Sheet1!L158+Sheet1!M158</f>
        <v>0</v>
      </c>
      <c r="AX26" s="4">
        <f>((AV26+AW26)/((1+Sheet1!$M$15)^(Sheet1!A72/12)))</f>
        <v>1185.1097461920247</v>
      </c>
    </row>
    <row r="27" spans="1:50" x14ac:dyDescent="0.2">
      <c r="A27">
        <v>23</v>
      </c>
      <c r="B27" s="1">
        <v>37257</v>
      </c>
      <c r="C27" s="4">
        <f>SUM(Sheet1!D73:W73)</f>
        <v>47112</v>
      </c>
      <c r="E27" s="4">
        <f t="shared" si="7"/>
        <v>78683.20743671614</v>
      </c>
      <c r="F27" s="4">
        <f>Sheet1!$M$17*Sheet2!C27</f>
        <v>16489.2</v>
      </c>
      <c r="G27" s="4">
        <f>(Sheet1!$M$18/12)*(E27+F27)</f>
        <v>1586.2067906119355</v>
      </c>
      <c r="H27" s="4">
        <v>0</v>
      </c>
      <c r="J27" s="4">
        <f t="shared" si="8"/>
        <v>96758.614227328071</v>
      </c>
      <c r="K27" s="4"/>
      <c r="L27" s="4">
        <f>+Sheet1!$G$8-Sheet2!R26</f>
        <v>122557.62794233504</v>
      </c>
      <c r="M27" s="4">
        <f t="shared" si="9"/>
        <v>172442.37205766496</v>
      </c>
      <c r="N27" s="4">
        <f>SUM(Sheet1!D73:W73)*Sheet1!$G$16</f>
        <v>30622.799999999999</v>
      </c>
      <c r="O27" s="4">
        <f>((Sheet1!$G$13+Sheet1!$G$11/10000)/12)*(M27+N27)</f>
        <v>1523.4118428742738</v>
      </c>
      <c r="P27" s="4">
        <v>0</v>
      </c>
      <c r="Q27" s="4"/>
      <c r="R27" s="4">
        <f t="shared" si="0"/>
        <v>204588.58390053923</v>
      </c>
      <c r="S27" s="4"/>
      <c r="U27" s="4">
        <f>L27*Sheet1!$G$10/10000/12</f>
        <v>82.981727252622676</v>
      </c>
      <c r="V27" s="4">
        <f t="shared" si="10"/>
        <v>0</v>
      </c>
      <c r="W27" s="4">
        <f t="shared" si="11"/>
        <v>0</v>
      </c>
      <c r="X27" s="4">
        <f t="shared" si="12"/>
        <v>0</v>
      </c>
      <c r="Y27" s="4">
        <f t="shared" si="13"/>
        <v>0</v>
      </c>
      <c r="Z27" s="4">
        <f t="shared" si="14"/>
        <v>82.981727252622676</v>
      </c>
      <c r="AA27" s="4"/>
      <c r="AB27" s="6">
        <f t="shared" si="1"/>
        <v>47112</v>
      </c>
      <c r="AC27" s="41">
        <f>Z27+AA27-AB27</f>
        <v>-47029.01827274738</v>
      </c>
      <c r="AD27" s="41">
        <f>AC27/((1+Sheet1!$G$18/12)^(Sheet2!A27))</f>
        <v>-38857.159925949709</v>
      </c>
      <c r="AE27" s="35"/>
      <c r="AF27" s="41">
        <f t="shared" si="2"/>
        <v>-16489.2</v>
      </c>
      <c r="AG27" s="35"/>
      <c r="AH27" s="35"/>
      <c r="AI27" s="35"/>
      <c r="AJ27" s="35"/>
      <c r="AM27" s="4">
        <f>+L27*Sheet1!$M$10/10000/12</f>
        <v>15.319703492791879</v>
      </c>
      <c r="AN27" s="4">
        <f t="shared" si="16"/>
        <v>0</v>
      </c>
      <c r="AO27" s="4"/>
      <c r="AP27" s="4">
        <f t="shared" si="3"/>
        <v>15.319703492791879</v>
      </c>
      <c r="AS27" s="6">
        <f t="shared" si="4"/>
        <v>67.662023759830802</v>
      </c>
      <c r="AT27" s="6">
        <f t="shared" si="5"/>
        <v>0</v>
      </c>
      <c r="AU27" s="6">
        <f t="shared" si="6"/>
        <v>1586.2067906119355</v>
      </c>
      <c r="AV27" s="4">
        <f t="shared" si="17"/>
        <v>1653.8688143717663</v>
      </c>
      <c r="AX27" s="4">
        <f>((AV27+AW27)/((1+Sheet1!$M$15)^(Sheet1!A73/12)))</f>
        <v>1427.0489164278374</v>
      </c>
    </row>
    <row r="28" spans="1:50" x14ac:dyDescent="0.2">
      <c r="A28">
        <v>24</v>
      </c>
      <c r="B28" s="1">
        <v>37288</v>
      </c>
      <c r="C28" s="4">
        <f>SUM(Sheet1!D74:W74)-SUM(Sheet1!J74:M74)</f>
        <v>12716</v>
      </c>
      <c r="E28" s="4">
        <f t="shared" si="7"/>
        <v>96758.614227328071</v>
      </c>
      <c r="F28" s="4">
        <f>Sheet1!$M$17*Sheet2!C28</f>
        <v>4450.5999999999995</v>
      </c>
      <c r="G28" s="4">
        <f>(Sheet1!$M$18/12)*(E28+F28)</f>
        <v>1686.8202371221346</v>
      </c>
      <c r="H28" s="4">
        <f>+Sheet1!J436+Sheet1!K436+Sheet1!L436+Sheet1!M436</f>
        <v>42558.600000000006</v>
      </c>
      <c r="I28" s="4">
        <f>+Sheet1!J487+Sheet1!K487+Sheet1!L487+Sheet1!M487</f>
        <v>6867.882876836522</v>
      </c>
      <c r="J28" s="4">
        <f t="shared" si="8"/>
        <v>53469.551587613692</v>
      </c>
      <c r="K28" s="4"/>
      <c r="L28" s="4">
        <f>+Sheet1!$G$8-Sheet2!R27</f>
        <v>90411.416099460766</v>
      </c>
      <c r="M28" s="4">
        <f t="shared" si="9"/>
        <v>204588.58390053923</v>
      </c>
      <c r="N28" s="4">
        <f>(SUM(Sheet1!D74:W74)-SUM(Sheet1!J74:M74))*Sheet1!$G$16</f>
        <v>8265.4</v>
      </c>
      <c r="O28" s="4">
        <f>((Sheet1!$G$13+Sheet1!$G$11/10000)/12)*(M28+N28)</f>
        <v>1596.8483250538368</v>
      </c>
      <c r="P28" s="4">
        <f>+SUM(Sheet1!J51:J73)+SUM(Sheet1!K51:K73)+SUM(Sheet1!L51:L73)+SUM(Sheet1!M51:M73)+Sheet1!J46+Sheet1!K46+Sheet1!L46+Sheet1!M46-H28</f>
        <v>89457.4</v>
      </c>
      <c r="Q28" s="4">
        <f>+Sheet1!J333+Sheet1!K333+Sheet1!L333+Sheet1!M333</f>
        <v>7465.5537141958184</v>
      </c>
      <c r="R28" s="4">
        <f t="shared" si="0"/>
        <v>117527.87851139726</v>
      </c>
      <c r="S28" s="4"/>
      <c r="U28" s="4">
        <f>L28*Sheet1!$G$10/10000/12</f>
        <v>61.216062984009888</v>
      </c>
      <c r="V28" s="4">
        <f t="shared" si="10"/>
        <v>89457.4</v>
      </c>
      <c r="W28" s="4">
        <f t="shared" si="11"/>
        <v>7465.5537141958184</v>
      </c>
      <c r="X28" s="4">
        <f t="shared" si="12"/>
        <v>42558.600000000006</v>
      </c>
      <c r="Y28" s="4">
        <f t="shared" si="13"/>
        <v>6867.882876836522</v>
      </c>
      <c r="Z28" s="4">
        <f t="shared" si="14"/>
        <v>146410.65265401633</v>
      </c>
      <c r="AA28" s="4">
        <f>Sheet1!J158+Sheet1!K158+Sheet1!L158+Sheet1!M158</f>
        <v>0</v>
      </c>
      <c r="AB28" s="6">
        <f t="shared" si="1"/>
        <v>12716</v>
      </c>
      <c r="AC28" s="41">
        <f>Z28+AA28-AB28</f>
        <v>133694.65265401633</v>
      </c>
      <c r="AD28" s="41">
        <f>AC28/((1+Sheet1!$G$18/12)^(Sheet2!A28))</f>
        <v>109550.67423911671</v>
      </c>
      <c r="AE28" s="35"/>
      <c r="AF28" s="41">
        <f t="shared" si="2"/>
        <v>44975.882876836527</v>
      </c>
      <c r="AG28" s="35"/>
      <c r="AH28" s="35"/>
      <c r="AI28" s="35"/>
      <c r="AJ28" s="35"/>
      <c r="AM28" s="4">
        <f>+L28*Sheet1!$M$10/10000/12</f>
        <v>11.301427012432596</v>
      </c>
      <c r="AN28" s="4">
        <f t="shared" si="16"/>
        <v>89457.4</v>
      </c>
      <c r="AO28" s="4">
        <f>+Sheet1!J385+Sheet1!K385+Sheet1!L385+Sheet1!M385</f>
        <v>4263.8174617188652</v>
      </c>
      <c r="AP28" s="4">
        <f t="shared" si="3"/>
        <v>93732.518888731283</v>
      </c>
      <c r="AS28" s="6">
        <f t="shared" si="4"/>
        <v>49.91463597157729</v>
      </c>
      <c r="AT28" s="6">
        <f t="shared" si="5"/>
        <v>3201.7362524769533</v>
      </c>
      <c r="AU28" s="6">
        <f t="shared" si="6"/>
        <v>1686.8202371221346</v>
      </c>
      <c r="AV28" s="4">
        <f t="shared" si="17"/>
        <v>4938.4711255706652</v>
      </c>
      <c r="AX28" s="4">
        <f>((AV28+AW28)/((1+Sheet1!$M$15)^(Sheet1!A74/12)))</f>
        <v>4233.9430088911731</v>
      </c>
    </row>
    <row r="29" spans="1:50" x14ac:dyDescent="0.2">
      <c r="A29">
        <v>25</v>
      </c>
      <c r="B29" s="1">
        <v>37316</v>
      </c>
      <c r="C29" s="4">
        <f>SUM(Sheet1!D75:W75)</f>
        <v>27206</v>
      </c>
      <c r="E29" s="4">
        <f t="shared" si="7"/>
        <v>53469.551587613692</v>
      </c>
      <c r="F29" s="4">
        <f>Sheet1!$M$17*Sheet2!C29</f>
        <v>9522.0999999999985</v>
      </c>
      <c r="G29" s="4">
        <f>(Sheet1!$M$18/12)*(E29+F29)</f>
        <v>1049.8608597935615</v>
      </c>
      <c r="H29" s="4">
        <v>0</v>
      </c>
      <c r="J29" s="4">
        <f t="shared" si="8"/>
        <v>64041.512447407251</v>
      </c>
      <c r="K29" s="4"/>
      <c r="L29" s="4">
        <f>+Sheet1!$G$8-Sheet2!R28</f>
        <v>177472.12148860274</v>
      </c>
      <c r="M29" s="4">
        <f t="shared" si="9"/>
        <v>117527.87851139726</v>
      </c>
      <c r="N29" s="4">
        <f>SUM(Sheet1!D75:W75)*Sheet1!$G$16</f>
        <v>17683.900000000001</v>
      </c>
      <c r="O29" s="4">
        <f>((Sheet1!$G$13+Sheet1!$G$11/10000)/12)*(M29+N29)</f>
        <v>1014.3700300407114</v>
      </c>
      <c r="P29" s="4">
        <v>0</v>
      </c>
      <c r="Q29" s="4"/>
      <c r="R29" s="4">
        <f t="shared" si="0"/>
        <v>136226.14854143796</v>
      </c>
      <c r="S29" s="4"/>
      <c r="U29" s="4">
        <f>L29*Sheet1!$G$10/10000/12</f>
        <v>120.16341559124145</v>
      </c>
      <c r="V29" s="4">
        <f t="shared" si="10"/>
        <v>0</v>
      </c>
      <c r="W29" s="4">
        <f t="shared" si="11"/>
        <v>0</v>
      </c>
      <c r="X29" s="4">
        <f t="shared" si="12"/>
        <v>0</v>
      </c>
      <c r="Y29" s="4">
        <f t="shared" si="13"/>
        <v>0</v>
      </c>
      <c r="Z29" s="4">
        <f t="shared" si="14"/>
        <v>120.16341559124145</v>
      </c>
      <c r="AA29" s="4"/>
      <c r="AB29" s="6">
        <f t="shared" si="1"/>
        <v>27206</v>
      </c>
      <c r="AC29" s="41">
        <f t="shared" si="15"/>
        <v>-27085.83658440876</v>
      </c>
      <c r="AD29" s="41">
        <f>AC29/((1+Sheet1!$G$18/12)^(Sheet2!A29))</f>
        <v>-22010.968243327559</v>
      </c>
      <c r="AE29" s="35"/>
      <c r="AF29" s="41">
        <f t="shared" si="2"/>
        <v>-9522.0999999999985</v>
      </c>
      <c r="AG29" s="35"/>
      <c r="AH29" s="35"/>
      <c r="AI29" s="35"/>
      <c r="AJ29" s="35"/>
      <c r="AM29" s="4">
        <f>+L29*Sheet1!$M$10/10000/12</f>
        <v>22.184015186075342</v>
      </c>
      <c r="AN29" s="4">
        <f t="shared" si="16"/>
        <v>0</v>
      </c>
      <c r="AO29" s="4"/>
      <c r="AP29" s="4">
        <f t="shared" si="3"/>
        <v>22.184015186075342</v>
      </c>
      <c r="AS29" s="6">
        <f t="shared" si="4"/>
        <v>97.979400405166103</v>
      </c>
      <c r="AT29" s="6">
        <f t="shared" si="5"/>
        <v>0</v>
      </c>
      <c r="AU29" s="6">
        <f t="shared" si="6"/>
        <v>1049.8608597935615</v>
      </c>
      <c r="AV29" s="4">
        <f t="shared" si="17"/>
        <v>1147.8402601987277</v>
      </c>
      <c r="AW29">
        <f>+Sheet1!N158+Sheet1!O158</f>
        <v>0</v>
      </c>
      <c r="AX29" s="4">
        <f>((AV29+AW29)/((1+Sheet1!$M$15)^(Sheet1!A75/12)))</f>
        <v>977.7968402619573</v>
      </c>
    </row>
    <row r="30" spans="1:50" x14ac:dyDescent="0.2">
      <c r="A30">
        <v>26</v>
      </c>
      <c r="B30" s="1">
        <v>37347</v>
      </c>
      <c r="C30" s="4">
        <f>SUM(Sheet1!D76:W76)-SUM(Sheet1!N76:O76)</f>
        <v>9956</v>
      </c>
      <c r="E30" s="4">
        <f t="shared" si="7"/>
        <v>64041.512447407251</v>
      </c>
      <c r="F30" s="4">
        <f>Sheet1!$M$17*Sheet2!C30</f>
        <v>3484.6</v>
      </c>
      <c r="G30" s="4">
        <f>(Sheet1!$M$18/12)*(E30+F30)</f>
        <v>1125.4352074567876</v>
      </c>
      <c r="H30" s="4">
        <f>+Sheet1!N436+Sheet1!O436</f>
        <v>21137.200000000004</v>
      </c>
      <c r="I30" s="4">
        <f>+Sheet1!N487+Sheet1!O487</f>
        <v>3441.178083893536</v>
      </c>
      <c r="J30" s="4">
        <f t="shared" si="8"/>
        <v>44073.169570970502</v>
      </c>
      <c r="K30" s="4"/>
      <c r="L30" s="4">
        <f>+Sheet1!$G$8-Sheet2!R29</f>
        <v>158773.85145856204</v>
      </c>
      <c r="M30" s="4">
        <f t="shared" si="9"/>
        <v>136226.14854143796</v>
      </c>
      <c r="N30" s="4">
        <f>(SUM(Sheet1!D76:W76)-SUM(Sheet1!N76:O76))*Sheet1!$G$16</f>
        <v>6471.4000000000005</v>
      </c>
      <c r="O30" s="4">
        <f>((Sheet1!$G$13+Sheet1!$G$11/10000)/12)*(M30+N30)</f>
        <v>1070.5289006202458</v>
      </c>
      <c r="P30" s="4">
        <f>SUM(Sheet1!N51:N75)+SUM(Sheet1!O51:O75)+Sheet1!N46+Sheet1!O46-H30</f>
        <v>44430.799999999996</v>
      </c>
      <c r="Q30" s="4">
        <f>+Sheet1!N333+Sheet1!O333</f>
        <v>3821.6993696591999</v>
      </c>
      <c r="R30" s="4">
        <f t="shared" si="0"/>
        <v>95515.578072399003</v>
      </c>
      <c r="S30" s="4"/>
      <c r="U30" s="4">
        <f>L30*Sheet1!$G$10/10000/12</f>
        <v>107.50312859173471</v>
      </c>
      <c r="V30" s="4">
        <f t="shared" si="10"/>
        <v>44430.799999999996</v>
      </c>
      <c r="W30" s="4">
        <f t="shared" si="11"/>
        <v>3821.6993696591999</v>
      </c>
      <c r="X30" s="4">
        <f t="shared" si="12"/>
        <v>21137.200000000004</v>
      </c>
      <c r="Y30" s="4">
        <f t="shared" si="13"/>
        <v>3441.178083893536</v>
      </c>
      <c r="Z30" s="4">
        <f t="shared" si="14"/>
        <v>72938.380582144469</v>
      </c>
      <c r="AA30" s="4">
        <f>+Sheet1!N158+Sheet1!O158</f>
        <v>0</v>
      </c>
      <c r="AB30" s="6">
        <f t="shared" si="1"/>
        <v>9956</v>
      </c>
      <c r="AC30" s="41">
        <f t="shared" si="15"/>
        <v>62982.380582144469</v>
      </c>
      <c r="AD30" s="41">
        <f>AC30/((1+Sheet1!$G$18/12)^(Sheet2!A30))</f>
        <v>50758.857808696921</v>
      </c>
      <c r="AE30" s="35"/>
      <c r="AF30" s="41">
        <f t="shared" si="2"/>
        <v>21093.778083893543</v>
      </c>
      <c r="AG30" s="35"/>
      <c r="AH30" s="35"/>
      <c r="AI30" s="35"/>
      <c r="AJ30" s="35"/>
      <c r="AM30" s="4">
        <f>+L30*Sheet1!$M$10/10000/12</f>
        <v>19.846731432320254</v>
      </c>
      <c r="AN30" s="4">
        <f t="shared" si="16"/>
        <v>44430.799999999996</v>
      </c>
      <c r="AO30" s="4">
        <f>+Sheet1!N385+Sheet1!O385</f>
        <v>2133.3323082623674</v>
      </c>
      <c r="AP30" s="4">
        <f t="shared" si="3"/>
        <v>46583.979039694685</v>
      </c>
      <c r="AS30" s="6">
        <f t="shared" si="4"/>
        <v>87.656397159414453</v>
      </c>
      <c r="AT30" s="6">
        <f t="shared" si="5"/>
        <v>1688.3670613968325</v>
      </c>
      <c r="AU30" s="6">
        <f t="shared" si="6"/>
        <v>1125.4352074567876</v>
      </c>
      <c r="AV30" s="4">
        <f t="shared" si="17"/>
        <v>2901.4586660130344</v>
      </c>
      <c r="AX30" s="4">
        <f>((AV30+AW30)/((1+Sheet1!$M$15)^(Sheet1!A76/12)))</f>
        <v>2455.8297217712011</v>
      </c>
    </row>
    <row r="31" spans="1:50" x14ac:dyDescent="0.2">
      <c r="A31">
        <v>27</v>
      </c>
      <c r="B31" s="1">
        <v>37377</v>
      </c>
      <c r="C31" s="4">
        <f>SUM(Sheet1!D77:W77)</f>
        <v>9956</v>
      </c>
      <c r="E31" s="4">
        <f t="shared" si="7"/>
        <v>44073.169570970502</v>
      </c>
      <c r="F31" s="4">
        <f>Sheet1!$M$17*Sheet2!C31</f>
        <v>3484.6</v>
      </c>
      <c r="G31" s="4">
        <f>(Sheet1!$M$18/12)*(E31+F31)</f>
        <v>792.62949284950832</v>
      </c>
      <c r="H31" s="4">
        <v>0</v>
      </c>
      <c r="J31" s="4">
        <f t="shared" si="8"/>
        <v>48350.399063820012</v>
      </c>
      <c r="K31" s="4"/>
      <c r="L31" s="4">
        <f>+Sheet1!$G$8-Sheet2!R30</f>
        <v>199484.42192760098</v>
      </c>
      <c r="M31" s="4">
        <f t="shared" si="9"/>
        <v>95515.578072399003</v>
      </c>
      <c r="N31" s="4">
        <f>SUM(Sheet1!D77:W77)*Sheet1!$G$16</f>
        <v>6471.4000000000005</v>
      </c>
      <c r="O31" s="4">
        <f>((Sheet1!$G$13+Sheet1!$G$11/10000)/12)*(M31+N31)</f>
        <v>765.11480841397656</v>
      </c>
      <c r="P31" s="4">
        <v>0</v>
      </c>
      <c r="Q31" s="4"/>
      <c r="R31" s="4">
        <f t="shared" si="0"/>
        <v>102752.09288081297</v>
      </c>
      <c r="S31" s="4"/>
      <c r="U31" s="4">
        <f>L31*Sheet1!$G$10/10000/12</f>
        <v>135.06757734681318</v>
      </c>
      <c r="V31" s="4">
        <f t="shared" si="10"/>
        <v>0</v>
      </c>
      <c r="W31" s="4">
        <f t="shared" si="11"/>
        <v>0</v>
      </c>
      <c r="X31" s="4">
        <f t="shared" si="12"/>
        <v>0</v>
      </c>
      <c r="Y31" s="4">
        <f t="shared" si="13"/>
        <v>0</v>
      </c>
      <c r="Z31" s="4">
        <f t="shared" si="14"/>
        <v>135.06757734681318</v>
      </c>
      <c r="AA31" s="4"/>
      <c r="AB31" s="6">
        <f t="shared" si="1"/>
        <v>9956</v>
      </c>
      <c r="AC31" s="41">
        <f t="shared" si="15"/>
        <v>-9820.9324226531862</v>
      </c>
      <c r="AD31" s="41">
        <f>AC31/((1+Sheet1!$G$18/12)^(Sheet2!A31))</f>
        <v>-7849.4886790991268</v>
      </c>
      <c r="AE31" s="35"/>
      <c r="AF31" s="41">
        <f t="shared" si="2"/>
        <v>-3484.6</v>
      </c>
      <c r="AG31" s="35"/>
      <c r="AH31" s="35"/>
      <c r="AI31" s="35"/>
      <c r="AJ31" s="35"/>
      <c r="AM31" s="4">
        <f>+L31*Sheet1!$M$10/10000/12</f>
        <v>24.935552740950119</v>
      </c>
      <c r="AN31" s="4">
        <f t="shared" si="16"/>
        <v>0</v>
      </c>
      <c r="AO31" s="4"/>
      <c r="AP31" s="4">
        <f t="shared" si="3"/>
        <v>24.935552740950119</v>
      </c>
      <c r="AS31" s="6">
        <f t="shared" si="4"/>
        <v>110.13202460586307</v>
      </c>
      <c r="AT31" s="6">
        <f t="shared" si="5"/>
        <v>0</v>
      </c>
      <c r="AU31" s="6">
        <f t="shared" si="6"/>
        <v>792.62949284950832</v>
      </c>
      <c r="AV31" s="4">
        <f t="shared" si="17"/>
        <v>902.7615174553714</v>
      </c>
      <c r="AX31" s="4">
        <f>((AV31+AW31)/((1+Sheet1!$M$15)^(Sheet1!A77/12)))</f>
        <v>759.22340529226631</v>
      </c>
    </row>
    <row r="32" spans="1:50" x14ac:dyDescent="0.2">
      <c r="A32">
        <v>28</v>
      </c>
      <c r="B32" s="1">
        <v>37408</v>
      </c>
      <c r="C32" s="4">
        <f>SUM(Sheet1!D78:W78)</f>
        <v>9956</v>
      </c>
      <c r="E32" s="4">
        <f t="shared" si="7"/>
        <v>48350.399063820012</v>
      </c>
      <c r="F32" s="4">
        <f>Sheet1!$M$17*Sheet2!C32</f>
        <v>3484.6</v>
      </c>
      <c r="G32" s="4">
        <f>(Sheet1!$M$18/12)*(E32+F32)</f>
        <v>863.91665106366679</v>
      </c>
      <c r="H32" s="4">
        <v>0</v>
      </c>
      <c r="J32" s="4">
        <f t="shared" si="8"/>
        <v>52698.915714883675</v>
      </c>
      <c r="K32" s="4"/>
      <c r="L32" s="4">
        <f>+Sheet1!$G$8-Sheet2!R31</f>
        <v>192247.90711918703</v>
      </c>
      <c r="M32" s="4">
        <f t="shared" si="9"/>
        <v>102752.09288081297</v>
      </c>
      <c r="N32" s="4">
        <f>SUM(Sheet1!D78:W78)*Sheet1!$G$16</f>
        <v>6471.4000000000005</v>
      </c>
      <c r="O32" s="4">
        <f>((Sheet1!$G$13+Sheet1!$G$11/10000)/12)*(M32+N32)</f>
        <v>819.40374554959885</v>
      </c>
      <c r="P32" s="4">
        <v>0</v>
      </c>
      <c r="Q32" s="4"/>
      <c r="R32" s="4">
        <f t="shared" si="0"/>
        <v>110042.89662636256</v>
      </c>
      <c r="S32" s="4"/>
      <c r="U32" s="4">
        <f>L32*Sheet1!$G$10/10000/12</f>
        <v>130.16785377861621</v>
      </c>
      <c r="V32" s="4">
        <f t="shared" si="10"/>
        <v>0</v>
      </c>
      <c r="W32" s="4">
        <f t="shared" si="11"/>
        <v>0</v>
      </c>
      <c r="X32" s="4">
        <f t="shared" si="12"/>
        <v>0</v>
      </c>
      <c r="Y32" s="4">
        <f t="shared" si="13"/>
        <v>0</v>
      </c>
      <c r="Z32" s="4">
        <f t="shared" si="14"/>
        <v>130.16785377861621</v>
      </c>
      <c r="AA32" s="4"/>
      <c r="AB32" s="6">
        <f t="shared" si="1"/>
        <v>9956</v>
      </c>
      <c r="AC32" s="41">
        <f t="shared" si="15"/>
        <v>-9825.8321462213844</v>
      </c>
      <c r="AD32" s="41">
        <f>AC32/((1+Sheet1!$G$18/12)^(Sheet2!A32))</f>
        <v>-7788.5006650537562</v>
      </c>
      <c r="AE32" s="35"/>
      <c r="AF32" s="41">
        <f t="shared" si="2"/>
        <v>-3484.6</v>
      </c>
      <c r="AG32" s="35"/>
      <c r="AH32" s="35"/>
      <c r="AI32" s="35"/>
      <c r="AJ32" s="35"/>
      <c r="AM32" s="4">
        <f>+L32*Sheet1!$M$10/10000/12</f>
        <v>24.030988389898379</v>
      </c>
      <c r="AN32" s="4">
        <f t="shared" si="16"/>
        <v>0</v>
      </c>
      <c r="AO32" s="4"/>
      <c r="AP32" s="4">
        <f t="shared" si="3"/>
        <v>24.030988389898379</v>
      </c>
      <c r="AS32" s="6">
        <f t="shared" si="4"/>
        <v>106.13686538871782</v>
      </c>
      <c r="AT32" s="6">
        <f t="shared" si="5"/>
        <v>0</v>
      </c>
      <c r="AU32" s="6">
        <f t="shared" si="6"/>
        <v>863.91665106366679</v>
      </c>
      <c r="AV32" s="4">
        <f t="shared" si="17"/>
        <v>970.05351645238466</v>
      </c>
      <c r="AX32" s="4">
        <f>((AV32+AW32)/((1+Sheet1!$M$15)^(Sheet1!A78/12)))</f>
        <v>810.60061989098608</v>
      </c>
    </row>
    <row r="33" spans="1:50" x14ac:dyDescent="0.2">
      <c r="A33">
        <v>29</v>
      </c>
      <c r="B33" s="1">
        <v>37438</v>
      </c>
      <c r="C33" s="4">
        <f>SUM(Sheet1!D79:W79)</f>
        <v>9956</v>
      </c>
      <c r="E33" s="4">
        <f t="shared" si="7"/>
        <v>52698.915714883675</v>
      </c>
      <c r="F33" s="4">
        <f>Sheet1!$M$17*Sheet2!C33</f>
        <v>3484.6</v>
      </c>
      <c r="G33" s="4">
        <f>(Sheet1!$M$18/12)*(E33+F33)</f>
        <v>936.3919285813945</v>
      </c>
      <c r="H33" s="4">
        <v>0</v>
      </c>
      <c r="J33" s="4">
        <f t="shared" si="8"/>
        <v>57119.907643465071</v>
      </c>
      <c r="K33" s="4"/>
      <c r="L33" s="4">
        <f>+Sheet1!$G$8-Sheet2!R32</f>
        <v>184957.10337363742</v>
      </c>
      <c r="M33" s="4">
        <f t="shared" si="9"/>
        <v>110042.89662636256</v>
      </c>
      <c r="N33" s="4">
        <f>SUM(Sheet1!D79:W79)*Sheet1!$G$16</f>
        <v>6471.4000000000005</v>
      </c>
      <c r="O33" s="4">
        <f>((Sheet1!$G$13+Sheet1!$G$11/10000)/12)*(M33+N33)</f>
        <v>874.09996281569067</v>
      </c>
      <c r="P33" s="4">
        <v>0</v>
      </c>
      <c r="Q33" s="4"/>
      <c r="R33" s="4">
        <f t="shared" si="0"/>
        <v>117388.39658917824</v>
      </c>
      <c r="S33" s="4"/>
      <c r="U33" s="4">
        <f>L33*Sheet1!$G$10/10000/12</f>
        <v>125.23137207590035</v>
      </c>
      <c r="V33" s="4">
        <f t="shared" si="10"/>
        <v>0</v>
      </c>
      <c r="W33" s="4">
        <f t="shared" si="11"/>
        <v>0</v>
      </c>
      <c r="X33" s="4">
        <f t="shared" si="12"/>
        <v>0</v>
      </c>
      <c r="Y33" s="4">
        <f t="shared" si="13"/>
        <v>0</v>
      </c>
      <c r="Z33" s="4">
        <f t="shared" si="14"/>
        <v>125.23137207590035</v>
      </c>
      <c r="AA33" s="4"/>
      <c r="AB33" s="6">
        <f t="shared" si="1"/>
        <v>9956</v>
      </c>
      <c r="AC33" s="41">
        <f t="shared" si="15"/>
        <v>-9830.7686279240988</v>
      </c>
      <c r="AD33" s="41">
        <f>AC33/((1+Sheet1!$G$18/12)^(Sheet2!A33))</f>
        <v>-7728.0134824602192</v>
      </c>
      <c r="AE33" s="35"/>
      <c r="AF33" s="41">
        <f t="shared" si="2"/>
        <v>-3484.6</v>
      </c>
      <c r="AG33" s="35"/>
      <c r="AH33" s="35"/>
      <c r="AI33" s="35"/>
      <c r="AJ33" s="35"/>
      <c r="AM33" s="4">
        <f>+L33*Sheet1!$M$10/10000/12</f>
        <v>23.11963792170468</v>
      </c>
      <c r="AN33" s="4">
        <f t="shared" si="16"/>
        <v>0</v>
      </c>
      <c r="AO33" s="4"/>
      <c r="AP33" s="4">
        <f t="shared" si="3"/>
        <v>23.11963792170468</v>
      </c>
      <c r="AS33" s="6">
        <f t="shared" si="4"/>
        <v>102.11173415419567</v>
      </c>
      <c r="AT33" s="6">
        <f t="shared" si="5"/>
        <v>0</v>
      </c>
      <c r="AU33" s="6">
        <f t="shared" si="6"/>
        <v>936.3919285813945</v>
      </c>
      <c r="AV33" s="4">
        <f t="shared" si="17"/>
        <v>1038.5036627355901</v>
      </c>
      <c r="AX33" s="4">
        <f>((AV33+AW33)/((1+Sheet1!$M$15)^(Sheet1!A79/12)))</f>
        <v>862.25149660469367</v>
      </c>
    </row>
    <row r="34" spans="1:50" x14ac:dyDescent="0.2">
      <c r="A34">
        <v>30</v>
      </c>
      <c r="B34" s="1">
        <v>37469</v>
      </c>
      <c r="C34" s="4">
        <f>SUM(Sheet1!D80:W80)</f>
        <v>9956</v>
      </c>
      <c r="E34" s="4">
        <f t="shared" si="7"/>
        <v>57119.907643465071</v>
      </c>
      <c r="F34" s="4">
        <f>Sheet1!$M$17*Sheet2!C34</f>
        <v>3484.6</v>
      </c>
      <c r="G34" s="4">
        <f>(Sheet1!$M$18/12)*(E34+F34)</f>
        <v>1010.0751273910845</v>
      </c>
      <c r="H34" s="4">
        <v>0</v>
      </c>
      <c r="J34" s="4">
        <f t="shared" si="8"/>
        <v>61614.582770856156</v>
      </c>
      <c r="K34" s="4"/>
      <c r="L34" s="4">
        <f>+Sheet1!$G$8-Sheet2!R33</f>
        <v>177611.60341082176</v>
      </c>
      <c r="M34" s="4">
        <f t="shared" si="9"/>
        <v>117388.39658917824</v>
      </c>
      <c r="N34" s="4">
        <f>SUM(Sheet1!D80:W80)*Sheet1!$G$16</f>
        <v>6471.4000000000005</v>
      </c>
      <c r="O34" s="4">
        <f>((Sheet1!$G$13+Sheet1!$G$11/10000)/12)*(M34+N34)</f>
        <v>929.2065156617308</v>
      </c>
      <c r="P34" s="4">
        <v>0</v>
      </c>
      <c r="Q34" s="4"/>
      <c r="R34" s="4">
        <f t="shared" si="0"/>
        <v>124789.00310483997</v>
      </c>
      <c r="S34" s="4"/>
      <c r="U34" s="4">
        <f>L34*Sheet1!$G$10/10000/12</f>
        <v>120.25785647607724</v>
      </c>
      <c r="V34" s="4">
        <f t="shared" si="10"/>
        <v>0</v>
      </c>
      <c r="W34" s="4">
        <f t="shared" si="11"/>
        <v>0</v>
      </c>
      <c r="X34" s="4">
        <f t="shared" si="12"/>
        <v>0</v>
      </c>
      <c r="Y34" s="4">
        <f t="shared" si="13"/>
        <v>0</v>
      </c>
      <c r="Z34" s="4">
        <f t="shared" si="14"/>
        <v>120.25785647607724</v>
      </c>
      <c r="AA34" s="4"/>
      <c r="AB34" s="6">
        <f t="shared" si="1"/>
        <v>9956</v>
      </c>
      <c r="AC34" s="41">
        <f t="shared" si="15"/>
        <v>-9835.742143523923</v>
      </c>
      <c r="AD34" s="41">
        <f>AC34/((1+Sheet1!$G$18/12)^(Sheet2!A34))</f>
        <v>-7668.0229948550405</v>
      </c>
      <c r="AE34" s="35"/>
      <c r="AF34" s="41">
        <f t="shared" si="2"/>
        <v>-3484.6</v>
      </c>
      <c r="AG34" s="35"/>
      <c r="AH34" s="35"/>
      <c r="AI34" s="35"/>
      <c r="AJ34" s="35"/>
      <c r="AM34" s="4">
        <f>+L34*Sheet1!$M$10/10000/12</f>
        <v>22.201450426352718</v>
      </c>
      <c r="AN34" s="4">
        <f t="shared" si="16"/>
        <v>0</v>
      </c>
      <c r="AO34" s="4"/>
      <c r="AP34" s="4">
        <f t="shared" si="3"/>
        <v>22.201450426352718</v>
      </c>
      <c r="AS34" s="6">
        <f t="shared" si="4"/>
        <v>98.056406049724515</v>
      </c>
      <c r="AT34" s="6">
        <f t="shared" si="5"/>
        <v>0</v>
      </c>
      <c r="AU34" s="6">
        <f t="shared" si="6"/>
        <v>1010.0751273910845</v>
      </c>
      <c r="AV34" s="4">
        <f t="shared" si="17"/>
        <v>1108.1315334408091</v>
      </c>
      <c r="AX34" s="4">
        <f>((AV34+AW34)/((1+Sheet1!$M$15)^(Sheet1!A80/12)))</f>
        <v>914.18043999994825</v>
      </c>
    </row>
    <row r="35" spans="1:50" x14ac:dyDescent="0.2">
      <c r="A35">
        <v>31</v>
      </c>
      <c r="B35" s="1">
        <v>37500</v>
      </c>
      <c r="C35" s="4">
        <f>SUM(Sheet1!D81:W81)</f>
        <v>10300</v>
      </c>
      <c r="E35" s="4">
        <f t="shared" si="7"/>
        <v>61614.582770856156</v>
      </c>
      <c r="F35" s="4">
        <f>Sheet1!$M$17*Sheet2!C35</f>
        <v>3604.9999999999995</v>
      </c>
      <c r="G35" s="4">
        <f>(Sheet1!$M$18/12)*(E35+F35)</f>
        <v>1086.9930461809358</v>
      </c>
      <c r="H35" s="4">
        <v>0</v>
      </c>
      <c r="J35" s="4">
        <f t="shared" si="8"/>
        <v>66306.575817037097</v>
      </c>
      <c r="K35" s="4"/>
      <c r="L35" s="4">
        <f>+Sheet1!$G$8-Sheet2!R34</f>
        <v>170210.99689516003</v>
      </c>
      <c r="M35" s="4">
        <f t="shared" si="9"/>
        <v>124789.00310483997</v>
      </c>
      <c r="N35" s="4">
        <f>SUM(Sheet1!D81:W81)*Sheet1!$G$16</f>
        <v>6695</v>
      </c>
      <c r="O35" s="4">
        <f>((Sheet1!$G$13+Sheet1!$G$11/10000)/12)*(M35+N35)</f>
        <v>986.40394829276806</v>
      </c>
      <c r="P35" s="4">
        <v>0</v>
      </c>
      <c r="Q35" s="4"/>
      <c r="R35" s="4">
        <f t="shared" si="0"/>
        <v>132470.40705313275</v>
      </c>
      <c r="S35" s="4"/>
      <c r="U35" s="4">
        <f>L35*Sheet1!$G$10/10000/12</f>
        <v>115.24702914776459</v>
      </c>
      <c r="V35" s="4">
        <f t="shared" si="10"/>
        <v>0</v>
      </c>
      <c r="W35" s="4">
        <f t="shared" si="11"/>
        <v>0</v>
      </c>
      <c r="X35" s="4">
        <f t="shared" si="12"/>
        <v>0</v>
      </c>
      <c r="Y35" s="4">
        <f t="shared" si="13"/>
        <v>0</v>
      </c>
      <c r="Z35" s="4">
        <f t="shared" si="14"/>
        <v>115.24702914776459</v>
      </c>
      <c r="AA35" s="4"/>
      <c r="AB35" s="6">
        <f t="shared" si="1"/>
        <v>10300</v>
      </c>
      <c r="AC35" s="41">
        <f t="shared" si="15"/>
        <v>-10184.752970852236</v>
      </c>
      <c r="AD35" s="41">
        <f>AC35/((1+Sheet1!$G$18/12)^(Sheet2!A35))</f>
        <v>-7874.4938365110102</v>
      </c>
      <c r="AE35" s="35"/>
      <c r="AF35" s="41">
        <f t="shared" si="2"/>
        <v>-3604.9999999999995</v>
      </c>
      <c r="AG35" s="35"/>
      <c r="AH35" s="35"/>
      <c r="AI35" s="35"/>
      <c r="AJ35" s="35"/>
      <c r="AM35" s="4">
        <f>+L35*Sheet1!$M$10/10000/12</f>
        <v>21.276374611895005</v>
      </c>
      <c r="AN35" s="4">
        <f t="shared" si="16"/>
        <v>0</v>
      </c>
      <c r="AO35" s="4"/>
      <c r="AP35" s="4">
        <f t="shared" si="3"/>
        <v>21.276374611895005</v>
      </c>
      <c r="AS35" s="6">
        <f t="shared" si="4"/>
        <v>93.970654535869585</v>
      </c>
      <c r="AT35" s="6">
        <f t="shared" si="5"/>
        <v>0</v>
      </c>
      <c r="AU35" s="6">
        <f t="shared" si="6"/>
        <v>1086.9930461809358</v>
      </c>
      <c r="AV35" s="4">
        <f t="shared" si="17"/>
        <v>1180.9637007168053</v>
      </c>
      <c r="AX35" s="4">
        <f>((AV35+AW35)/((1+Sheet1!$M$15)^(Sheet1!A81/12)))</f>
        <v>968.03675513170117</v>
      </c>
    </row>
    <row r="36" spans="1:50" x14ac:dyDescent="0.2">
      <c r="A36">
        <v>32</v>
      </c>
      <c r="B36" s="1">
        <v>37530</v>
      </c>
      <c r="C36" s="4">
        <f>SUM(Sheet1!D82:W82)</f>
        <v>24970</v>
      </c>
      <c r="E36" s="4">
        <f t="shared" si="7"/>
        <v>66306.575817037097</v>
      </c>
      <c r="F36" s="4">
        <f>Sheet1!$M$17*Sheet2!C36</f>
        <v>8739.5</v>
      </c>
      <c r="G36" s="4">
        <f>(Sheet1!$M$18/12)*(E36+F36)</f>
        <v>1250.7679302839515</v>
      </c>
      <c r="H36" s="4">
        <v>0</v>
      </c>
      <c r="J36" s="4">
        <f t="shared" si="8"/>
        <v>76296.843747321051</v>
      </c>
      <c r="K36" s="4"/>
      <c r="L36" s="4">
        <f>+Sheet1!$G$8-Sheet2!R35</f>
        <v>162529.59294686725</v>
      </c>
      <c r="M36" s="4">
        <f t="shared" si="9"/>
        <v>132470.40705313275</v>
      </c>
      <c r="N36" s="4">
        <f>SUM(Sheet1!D82:W82)*Sheet1!$G$16</f>
        <v>16230.5</v>
      </c>
      <c r="O36" s="4">
        <f>((Sheet1!$G$13+Sheet1!$G$11/10000)/12)*(M36+N36)</f>
        <v>1115.5665964548562</v>
      </c>
      <c r="P36" s="4">
        <v>0</v>
      </c>
      <c r="Q36" s="4"/>
      <c r="R36" s="4">
        <f t="shared" si="0"/>
        <v>149816.4736495876</v>
      </c>
      <c r="S36" s="4"/>
      <c r="U36" s="4">
        <f>L36*Sheet1!$G$10/10000/12</f>
        <v>110.04607855777471</v>
      </c>
      <c r="V36" s="4">
        <f t="shared" si="10"/>
        <v>0</v>
      </c>
      <c r="W36" s="4">
        <f t="shared" si="11"/>
        <v>0</v>
      </c>
      <c r="X36" s="4">
        <f t="shared" si="12"/>
        <v>0</v>
      </c>
      <c r="Y36" s="4">
        <f t="shared" si="13"/>
        <v>0</v>
      </c>
      <c r="Z36" s="4">
        <f t="shared" si="14"/>
        <v>110.04607855777471</v>
      </c>
      <c r="AA36" s="4"/>
      <c r="AB36" s="6">
        <f t="shared" si="1"/>
        <v>24970</v>
      </c>
      <c r="AC36" s="41">
        <f t="shared" si="15"/>
        <v>-24859.953921442226</v>
      </c>
      <c r="AD36" s="41">
        <f>AC36/((1+Sheet1!$G$18/12)^(Sheet2!A36))</f>
        <v>-19061.994624004696</v>
      </c>
      <c r="AE36" s="35"/>
      <c r="AF36" s="41">
        <f t="shared" si="2"/>
        <v>-8739.5</v>
      </c>
      <c r="AG36" s="35"/>
      <c r="AH36" s="35"/>
      <c r="AI36" s="35"/>
      <c r="AJ36" s="35"/>
      <c r="AM36" s="4">
        <f>+L36*Sheet1!$M$10/10000/12</f>
        <v>20.316199118358405</v>
      </c>
      <c r="AN36" s="4">
        <f t="shared" si="16"/>
        <v>0</v>
      </c>
      <c r="AO36" s="4"/>
      <c r="AP36" s="4">
        <f t="shared" si="3"/>
        <v>20.316199118358405</v>
      </c>
      <c r="AS36" s="6">
        <f t="shared" si="4"/>
        <v>89.729879439416294</v>
      </c>
      <c r="AT36" s="6">
        <f t="shared" si="5"/>
        <v>0</v>
      </c>
      <c r="AU36" s="6">
        <f t="shared" si="6"/>
        <v>1250.7679302839515</v>
      </c>
      <c r="AV36" s="4">
        <f t="shared" si="17"/>
        <v>1340.4978097233677</v>
      </c>
      <c r="AW36">
        <f>+Sheet1!P158+Sheet1!Q158</f>
        <v>0</v>
      </c>
      <c r="AX36" s="4">
        <f>((AV36+AW36)/((1+Sheet1!$M$15)^(Sheet1!A82/12)))</f>
        <v>1091.782412741843</v>
      </c>
    </row>
    <row r="37" spans="1:50" x14ac:dyDescent="0.2">
      <c r="A37">
        <v>33</v>
      </c>
      <c r="B37" s="1">
        <v>37561</v>
      </c>
      <c r="C37" s="4">
        <f>SUM(Sheet1!D83:W83)-SUM(Sheet1!P83:Q83)</f>
        <v>15820</v>
      </c>
      <c r="E37" s="4">
        <f t="shared" si="7"/>
        <v>76296.843747321051</v>
      </c>
      <c r="F37" s="4">
        <f>Sheet1!$M$17*Sheet2!C37</f>
        <v>5537</v>
      </c>
      <c r="G37" s="4">
        <f>(Sheet1!$M$18/12)*(E37+F37)</f>
        <v>1363.8973957886842</v>
      </c>
      <c r="H37" s="4">
        <f>+Sheet1!P436+Sheet1!Q436</f>
        <v>21137.200000000004</v>
      </c>
      <c r="I37" s="4">
        <f>+Sheet1!P487+Sheet1!Q487</f>
        <v>3553.1974941414542</v>
      </c>
      <c r="J37" s="4">
        <f t="shared" si="8"/>
        <v>58507.343648968272</v>
      </c>
      <c r="K37" s="4"/>
      <c r="L37" s="4">
        <f>+Sheet1!$G$8-Sheet2!R36</f>
        <v>145183.5263504124</v>
      </c>
      <c r="M37" s="4">
        <f t="shared" si="9"/>
        <v>149816.4736495876</v>
      </c>
      <c r="N37" s="4">
        <f>(SUM(Sheet1!D83:W83)-SUM(Sheet1!P83:Q83))*Sheet1!$G$16</f>
        <v>10283</v>
      </c>
      <c r="O37" s="4">
        <f>((Sheet1!$G$13+Sheet1!$G$11/10000)/12)*(M37+N37)</f>
        <v>1201.0795929420103</v>
      </c>
      <c r="P37" s="4">
        <f>SUM(Sheet1!P51:P82)+SUM(Sheet1!Q51:Q82)+Sheet1!P46+Sheet1!Q46-H37</f>
        <v>44430.799999999996</v>
      </c>
      <c r="Q37" s="4">
        <f>+Sheet1!P333+Sheet1!Q333</f>
        <v>4231.9794013490864</v>
      </c>
      <c r="R37" s="4">
        <f t="shared" si="0"/>
        <v>112637.77384118052</v>
      </c>
      <c r="S37" s="4"/>
      <c r="U37" s="4">
        <f>L37*Sheet1!$G$10/10000/12</f>
        <v>98.30134596642506</v>
      </c>
      <c r="V37" s="4">
        <f t="shared" si="10"/>
        <v>44430.799999999996</v>
      </c>
      <c r="W37" s="4">
        <f t="shared" si="11"/>
        <v>4231.9794013490864</v>
      </c>
      <c r="X37" s="4">
        <f t="shared" si="12"/>
        <v>21137.200000000004</v>
      </c>
      <c r="Y37" s="4">
        <f t="shared" si="13"/>
        <v>3553.1974941414542</v>
      </c>
      <c r="Z37" s="4">
        <f t="shared" si="14"/>
        <v>73451.478241456949</v>
      </c>
      <c r="AA37" s="4">
        <f>+Sheet1!P158+Sheet1!Q158</f>
        <v>0</v>
      </c>
      <c r="AB37" s="6">
        <f t="shared" si="1"/>
        <v>15820</v>
      </c>
      <c r="AC37" s="41">
        <f t="shared" si="15"/>
        <v>57631.478241456949</v>
      </c>
      <c r="AD37" s="41">
        <f>AC37/((1+Sheet1!$G$18/12)^(Sheet2!A37))</f>
        <v>43825.1749489555</v>
      </c>
      <c r="AE37" s="35"/>
      <c r="AF37" s="41">
        <f t="shared" si="2"/>
        <v>19153.39749414146</v>
      </c>
      <c r="AG37" s="35"/>
      <c r="AH37" s="35"/>
      <c r="AI37" s="35"/>
      <c r="AJ37" s="35"/>
      <c r="AM37" s="4">
        <f>+L37*Sheet1!$M$10/10000/12</f>
        <v>18.147940793801549</v>
      </c>
      <c r="AN37" s="4">
        <f t="shared" si="16"/>
        <v>44430.799999999996</v>
      </c>
      <c r="AO37" s="4">
        <f>+Sheet1!P385+Sheet1!Q385</f>
        <v>2188.6194911766306</v>
      </c>
      <c r="AP37" s="4">
        <f t="shared" si="3"/>
        <v>46637.567431970427</v>
      </c>
      <c r="AS37" s="6">
        <f t="shared" si="4"/>
        <v>80.153405172623508</v>
      </c>
      <c r="AT37" s="6">
        <f t="shared" si="5"/>
        <v>2043.3599101724558</v>
      </c>
      <c r="AU37" s="6">
        <f t="shared" si="6"/>
        <v>1363.8973957886842</v>
      </c>
      <c r="AV37" s="4">
        <f t="shared" si="17"/>
        <v>3487.4107111337635</v>
      </c>
      <c r="AX37" s="4">
        <f>((AV37+AW37)/((1+Sheet1!$M$15)^(Sheet1!A83/12)))</f>
        <v>2822.1998829113468</v>
      </c>
    </row>
    <row r="38" spans="1:50" x14ac:dyDescent="0.2">
      <c r="A38">
        <v>34</v>
      </c>
      <c r="B38" s="1">
        <v>37591</v>
      </c>
      <c r="C38" s="4">
        <f>SUM(Sheet1!D84:W84)</f>
        <v>31300</v>
      </c>
      <c r="E38" s="4">
        <f t="shared" si="7"/>
        <v>58507.343648968272</v>
      </c>
      <c r="F38" s="4">
        <f>Sheet1!$M$17*Sheet2!C38</f>
        <v>10955</v>
      </c>
      <c r="G38" s="4">
        <f>(Sheet1!$M$18/12)*(E38+F38)</f>
        <v>1157.7057274828044</v>
      </c>
      <c r="H38" s="4">
        <v>0</v>
      </c>
      <c r="J38" s="4">
        <f t="shared" si="8"/>
        <v>70620.049376451076</v>
      </c>
      <c r="K38" s="4"/>
      <c r="L38" s="4">
        <f>+Sheet1!$G$8-Sheet2!R37</f>
        <v>182362.22615881948</v>
      </c>
      <c r="M38" s="4">
        <f t="shared" si="9"/>
        <v>112637.77384118052</v>
      </c>
      <c r="N38" s="4">
        <f>SUM(Sheet1!D84:W84)*Sheet1!$G$16</f>
        <v>20345</v>
      </c>
      <c r="O38" s="4">
        <f>((Sheet1!$G$13+Sheet1!$G$11/10000)/12)*(M38+N38)</f>
        <v>997.64785125435628</v>
      </c>
      <c r="P38" s="4">
        <v>0</v>
      </c>
      <c r="Q38" s="4"/>
      <c r="R38" s="4">
        <f t="shared" si="0"/>
        <v>133980.42169243487</v>
      </c>
      <c r="S38" s="4"/>
      <c r="U38" s="4">
        <f>L38*Sheet1!$G$10/10000/12</f>
        <v>123.47442396170068</v>
      </c>
      <c r="V38" s="4">
        <f t="shared" si="10"/>
        <v>0</v>
      </c>
      <c r="W38" s="4">
        <f t="shared" si="11"/>
        <v>0</v>
      </c>
      <c r="X38" s="4">
        <f t="shared" si="12"/>
        <v>0</v>
      </c>
      <c r="Y38" s="4">
        <f t="shared" si="13"/>
        <v>0</v>
      </c>
      <c r="Z38" s="4">
        <f t="shared" si="14"/>
        <v>123.47442396170068</v>
      </c>
      <c r="AA38" s="4"/>
      <c r="AB38" s="6">
        <f t="shared" si="1"/>
        <v>31300</v>
      </c>
      <c r="AC38" s="41">
        <f t="shared" si="15"/>
        <v>-31176.525576038301</v>
      </c>
      <c r="AD38" s="41">
        <f>AC38/((1+Sheet1!$G$18/12)^(Sheet2!A38))</f>
        <v>-23511.88717633675</v>
      </c>
      <c r="AE38" s="35"/>
      <c r="AF38" s="41">
        <f t="shared" si="2"/>
        <v>-10955</v>
      </c>
      <c r="AG38" s="35"/>
      <c r="AH38" s="35"/>
      <c r="AI38" s="35"/>
      <c r="AJ38" s="35"/>
      <c r="AM38" s="4">
        <f>+L38*Sheet1!$M$10/10000/12</f>
        <v>22.795278269852432</v>
      </c>
      <c r="AN38" s="4">
        <f t="shared" si="16"/>
        <v>0</v>
      </c>
      <c r="AO38" s="4"/>
      <c r="AP38" s="4">
        <f t="shared" si="3"/>
        <v>22.795278269852432</v>
      </c>
      <c r="AS38" s="6">
        <f t="shared" si="4"/>
        <v>100.67914569184825</v>
      </c>
      <c r="AT38" s="6">
        <f t="shared" si="5"/>
        <v>0</v>
      </c>
      <c r="AU38" s="6">
        <f t="shared" si="6"/>
        <v>1157.7057274828044</v>
      </c>
      <c r="AV38" s="4">
        <f t="shared" si="17"/>
        <v>1258.3848731746525</v>
      </c>
      <c r="AW38">
        <f>+Sheet1!R158+Sheet1!S158</f>
        <v>0</v>
      </c>
      <c r="AX38" s="4">
        <f>((AV38+AW38)/((1+Sheet1!$M$15)^(Sheet1!A84/12)))</f>
        <v>1011.8423405813182</v>
      </c>
    </row>
    <row r="39" spans="1:50" x14ac:dyDescent="0.2">
      <c r="A39">
        <v>35</v>
      </c>
      <c r="B39" s="1">
        <v>37622</v>
      </c>
      <c r="C39" s="4">
        <f>SUM(Sheet1!D85:W85)-SUM(Sheet1!R85:U85)</f>
        <v>2500</v>
      </c>
      <c r="E39" s="4">
        <f t="shared" si="7"/>
        <v>70620.049376451076</v>
      </c>
      <c r="F39" s="4">
        <f>Sheet1!$M$17*Sheet2!C39</f>
        <v>875</v>
      </c>
      <c r="G39" s="4">
        <f>(Sheet1!$M$18/12)*(E39+F39)</f>
        <v>1191.5841562741846</v>
      </c>
      <c r="H39" s="4">
        <f>+Sheet1!R436+Sheet1!S436+Sheet1!T436+Sheet1!U436</f>
        <v>45990</v>
      </c>
      <c r="I39" s="4">
        <f>+Sheet1!R487+Sheet1!S487+Sheet1!T487+Sheet1!U487</f>
        <v>8449.8414630117913</v>
      </c>
      <c r="J39" s="4">
        <f t="shared" si="8"/>
        <v>18246.792069713469</v>
      </c>
      <c r="K39" s="4"/>
      <c r="L39" s="4">
        <f>+Sheet1!$G$8-Sheet2!R38</f>
        <v>161019.57830756513</v>
      </c>
      <c r="M39" s="4">
        <f t="shared" si="9"/>
        <v>133980.42169243487</v>
      </c>
      <c r="N39" s="4">
        <f>(SUM(Sheet1!D85:W85)-SUM(Sheet1!R85:U85))*Sheet1!$G$16</f>
        <v>1625</v>
      </c>
      <c r="O39" s="4">
        <f>((Sheet1!$G$13+Sheet1!$G$11/10000)/12)*(M39+N39)</f>
        <v>1017.3231739884541</v>
      </c>
      <c r="P39" s="4">
        <f>SUM(Sheet1!R51:R84)+SUM(Sheet1!S51:S84)+SUM(Sheet1!T51:T84)+SUM(Sheet1!U51:U84)+Sheet1!R46+Sheet1!S46+Sheet1!T46+Sheet1!U46-H39</f>
        <v>92610</v>
      </c>
      <c r="Q39" s="4">
        <f>+Sheet1!R333+Sheet1!S333+Sheet1!T333+Sheet1!U333</f>
        <v>8726.000443485771</v>
      </c>
      <c r="R39" s="4">
        <f t="shared" si="0"/>
        <v>35286.744422937569</v>
      </c>
      <c r="S39" s="4"/>
      <c r="U39" s="4">
        <f>L39*Sheet1!$G$10/10000/12</f>
        <v>109.02367281241389</v>
      </c>
      <c r="V39" s="4">
        <f t="shared" si="10"/>
        <v>92610</v>
      </c>
      <c r="W39" s="4">
        <f t="shared" si="11"/>
        <v>8726.000443485771</v>
      </c>
      <c r="X39" s="4">
        <f t="shared" si="12"/>
        <v>45990</v>
      </c>
      <c r="Y39" s="4">
        <f t="shared" si="13"/>
        <v>8449.8414630117913</v>
      </c>
      <c r="Z39" s="4">
        <f t="shared" si="14"/>
        <v>155884.86557930999</v>
      </c>
      <c r="AA39" s="4">
        <f>+Sheet1!R158+Sheet1!S158+Sheet1!T158+Sheet1!U158</f>
        <v>0</v>
      </c>
      <c r="AB39" s="6">
        <f t="shared" si="1"/>
        <v>2500</v>
      </c>
      <c r="AC39" s="41">
        <f t="shared" si="15"/>
        <v>153384.86557930999</v>
      </c>
      <c r="AD39" s="41">
        <f>AC39/((1+Sheet1!$G$18/12)^(Sheet2!A39))</f>
        <v>114719.74174862326</v>
      </c>
      <c r="AE39" s="35"/>
      <c r="AF39" s="41">
        <f t="shared" si="2"/>
        <v>53564.841463011791</v>
      </c>
      <c r="AG39" s="35"/>
      <c r="AH39" s="35"/>
      <c r="AI39" s="35"/>
      <c r="AJ39" s="35"/>
      <c r="AM39" s="4">
        <f>+L39*Sheet1!$M$10/10000/12</f>
        <v>20.127447288445641</v>
      </c>
      <c r="AN39" s="4">
        <f t="shared" si="16"/>
        <v>92610</v>
      </c>
      <c r="AO39" s="4">
        <f>+Sheet1!R385+Sheet1!S385+Sheet1!T385+Sheet1!U385</f>
        <v>5161.3174844967198</v>
      </c>
      <c r="AP39" s="4">
        <f t="shared" si="3"/>
        <v>97791.444931785154</v>
      </c>
      <c r="AS39" s="6">
        <f t="shared" si="4"/>
        <v>88.896225523968255</v>
      </c>
      <c r="AT39" s="6">
        <f t="shared" si="5"/>
        <v>3564.6829589890513</v>
      </c>
      <c r="AU39" s="6">
        <f t="shared" si="6"/>
        <v>1191.5841562741846</v>
      </c>
      <c r="AV39" s="4">
        <f t="shared" si="17"/>
        <v>4845.1633407872041</v>
      </c>
      <c r="AW39">
        <f>+Sheet1!T158+Sheet1!U158</f>
        <v>0</v>
      </c>
      <c r="AX39" s="4">
        <f>((AV39+AW39)/((1+Sheet1!$M$15)^(Sheet1!A85/12)))</f>
        <v>3870.9937411167894</v>
      </c>
    </row>
    <row r="40" spans="1:50" x14ac:dyDescent="0.2">
      <c r="A40">
        <v>36</v>
      </c>
      <c r="B40" s="1">
        <v>37653</v>
      </c>
      <c r="C40" s="4">
        <f>SUM(Sheet1!D86:W86)</f>
        <v>2856</v>
      </c>
      <c r="E40" s="4">
        <f t="shared" si="7"/>
        <v>18246.792069713469</v>
      </c>
      <c r="F40" s="4">
        <f>Sheet1!$M$17*Sheet2!C40</f>
        <v>999.59999999999991</v>
      </c>
      <c r="G40" s="4">
        <f>(Sheet1!$M$18/12)*(E40+F40)</f>
        <v>320.77320116189111</v>
      </c>
      <c r="H40" s="4">
        <v>0</v>
      </c>
      <c r="J40" s="4">
        <f t="shared" si="8"/>
        <v>19567.165270875357</v>
      </c>
      <c r="K40" s="4"/>
      <c r="L40" s="4">
        <f>+Sheet1!$G$8-Sheet2!R39</f>
        <v>259713.25557706243</v>
      </c>
      <c r="M40" s="4">
        <f t="shared" si="9"/>
        <v>35286.744422937569</v>
      </c>
      <c r="N40" s="4">
        <f>SUM(Sheet1!D86:W86)*Sheet1!$G$16</f>
        <v>1856.4</v>
      </c>
      <c r="O40" s="4">
        <f>((Sheet1!$G$13+Sheet1!$G$11/10000)/12)*(M40+N40)</f>
        <v>278.65096472291287</v>
      </c>
      <c r="P40" s="4">
        <v>0</v>
      </c>
      <c r="Q40" s="4"/>
      <c r="R40" s="4">
        <f t="shared" si="0"/>
        <v>37421.795387660481</v>
      </c>
      <c r="S40" s="4"/>
      <c r="U40" s="4">
        <f>L40*Sheet1!$G$10/10000/12</f>
        <v>175.84751679696933</v>
      </c>
      <c r="V40" s="4">
        <f t="shared" si="10"/>
        <v>0</v>
      </c>
      <c r="W40" s="4">
        <f t="shared" si="11"/>
        <v>0</v>
      </c>
      <c r="X40" s="4">
        <f t="shared" si="12"/>
        <v>0</v>
      </c>
      <c r="Y40" s="4">
        <f t="shared" si="13"/>
        <v>0</v>
      </c>
      <c r="Z40" s="4">
        <f t="shared" si="14"/>
        <v>175.84751679696933</v>
      </c>
      <c r="AA40" s="4"/>
      <c r="AB40" s="6">
        <f t="shared" si="1"/>
        <v>2856</v>
      </c>
      <c r="AC40" s="41">
        <f t="shared" si="15"/>
        <v>-2680.1524832030309</v>
      </c>
      <c r="AD40" s="41">
        <f>AC40/((1+Sheet1!$G$18/12)^(Sheet2!A40))</f>
        <v>-1987.9755081068756</v>
      </c>
      <c r="AE40" s="35"/>
      <c r="AF40" s="41">
        <f t="shared" si="2"/>
        <v>-999.59999999999991</v>
      </c>
      <c r="AG40" s="35"/>
      <c r="AH40" s="35"/>
      <c r="AI40" s="35"/>
      <c r="AJ40" s="35"/>
      <c r="AM40" s="4">
        <f>+L40*Sheet1!$M$10/10000/12</f>
        <v>32.464156947132807</v>
      </c>
      <c r="AN40" s="4">
        <f t="shared" si="16"/>
        <v>0</v>
      </c>
      <c r="AO40" s="4"/>
      <c r="AP40" s="4">
        <f t="shared" si="3"/>
        <v>32.464156947132807</v>
      </c>
      <c r="AS40" s="6">
        <f t="shared" si="4"/>
        <v>143.38335984983652</v>
      </c>
      <c r="AT40" s="6">
        <f t="shared" si="5"/>
        <v>0</v>
      </c>
      <c r="AU40" s="6">
        <f t="shared" si="6"/>
        <v>320.77320116189111</v>
      </c>
      <c r="AV40" s="4">
        <f t="shared" si="17"/>
        <v>464.1565610117276</v>
      </c>
      <c r="AX40" s="4">
        <f>((AV40+AW40)/((1+Sheet1!$M$15)^(Sheet1!A86/12)))</f>
        <v>368.46244301215478</v>
      </c>
    </row>
    <row r="41" spans="1:50" x14ac:dyDescent="0.2">
      <c r="A41">
        <v>37</v>
      </c>
      <c r="B41" s="1">
        <v>37681</v>
      </c>
      <c r="C41" s="4">
        <f>SUM(Sheet1!D87:W87)</f>
        <v>17850</v>
      </c>
      <c r="E41" s="4">
        <f t="shared" si="7"/>
        <v>19567.165270875357</v>
      </c>
      <c r="F41" s="4">
        <f>Sheet1!$M$17*Sheet2!C41</f>
        <v>6247.5</v>
      </c>
      <c r="G41" s="4">
        <f>(Sheet1!$M$18/12)*(E41+F41)</f>
        <v>430.24442118125597</v>
      </c>
      <c r="H41" s="4">
        <v>0</v>
      </c>
      <c r="J41" s="4">
        <f t="shared" si="8"/>
        <v>26244.909692056612</v>
      </c>
      <c r="K41" s="4"/>
      <c r="L41" s="4">
        <f>+Sheet1!$G$8-Sheet2!R40</f>
        <v>257578.20461233953</v>
      </c>
      <c r="M41" s="4">
        <f t="shared" si="9"/>
        <v>37421.795387660481</v>
      </c>
      <c r="N41" s="4">
        <f>SUM(Sheet1!D87:W87)*Sheet1!$G$16</f>
        <v>11602.5</v>
      </c>
      <c r="O41" s="4">
        <f>((Sheet1!$G$13+Sheet1!$G$11/10000)/12)*(M41+N41)</f>
        <v>367.78434935617787</v>
      </c>
      <c r="P41" s="4">
        <v>0</v>
      </c>
      <c r="Q41" s="4"/>
      <c r="R41" s="4">
        <f t="shared" si="0"/>
        <v>49392.079737016662</v>
      </c>
      <c r="S41" s="4"/>
      <c r="U41" s="4">
        <f>L41*Sheet1!$G$10/10000/12</f>
        <v>174.40190937293821</v>
      </c>
      <c r="V41" s="4">
        <f t="shared" si="10"/>
        <v>0</v>
      </c>
      <c r="W41" s="4">
        <f t="shared" si="11"/>
        <v>0</v>
      </c>
      <c r="X41" s="4">
        <f t="shared" si="12"/>
        <v>0</v>
      </c>
      <c r="Y41" s="4">
        <f t="shared" si="13"/>
        <v>0</v>
      </c>
      <c r="Z41" s="4">
        <f t="shared" si="14"/>
        <v>174.40190937293821</v>
      </c>
      <c r="AA41" s="4"/>
      <c r="AB41" s="6">
        <f t="shared" si="1"/>
        <v>17850</v>
      </c>
      <c r="AC41" s="41">
        <f t="shared" si="15"/>
        <v>-17675.598090627063</v>
      </c>
      <c r="AD41" s="41">
        <f>AC41/((1+Sheet1!$G$18/12)^(Sheet2!A41))</f>
        <v>-13002.340052372774</v>
      </c>
      <c r="AE41" s="35"/>
      <c r="AF41" s="41">
        <f t="shared" si="2"/>
        <v>-6247.5</v>
      </c>
      <c r="AG41" s="35"/>
      <c r="AH41" s="35"/>
      <c r="AI41" s="35"/>
      <c r="AJ41" s="35"/>
      <c r="AM41" s="4">
        <f>+L41*Sheet1!$M$10/10000/12</f>
        <v>32.197275576542445</v>
      </c>
      <c r="AN41" s="4">
        <f t="shared" si="16"/>
        <v>0</v>
      </c>
      <c r="AO41" s="4"/>
      <c r="AP41" s="4">
        <f t="shared" si="3"/>
        <v>32.197275576542445</v>
      </c>
      <c r="AS41" s="6">
        <f t="shared" si="4"/>
        <v>142.20463379639577</v>
      </c>
      <c r="AT41" s="6">
        <f t="shared" si="5"/>
        <v>0</v>
      </c>
      <c r="AU41" s="6">
        <f t="shared" si="6"/>
        <v>430.24442118125597</v>
      </c>
      <c r="AV41" s="4">
        <f t="shared" si="17"/>
        <v>572.44905497765171</v>
      </c>
      <c r="AX41" s="4">
        <f>((AV41+AW41)/((1+Sheet1!$M$15)^(Sheet1!A87/12)))</f>
        <v>451.52340102522004</v>
      </c>
    </row>
    <row r="42" spans="1:50" ht="15" x14ac:dyDescent="0.35">
      <c r="A42">
        <v>38</v>
      </c>
      <c r="B42" s="1">
        <v>37712</v>
      </c>
      <c r="C42" s="4">
        <f>SUM(Sheet1!D88:W88)-SUM(Sheet1!V88:W88)</f>
        <v>0</v>
      </c>
      <c r="E42" s="4">
        <f t="shared" si="7"/>
        <v>26244.909692056612</v>
      </c>
      <c r="F42" s="4">
        <f>Sheet1!$M$17*Sheet2!C42</f>
        <v>0</v>
      </c>
      <c r="G42" s="4">
        <f>(Sheet1!$M$18/12)*(E42+F42)</f>
        <v>437.41516153427688</v>
      </c>
      <c r="H42" s="4">
        <f>+Sheet1!V436+Sheet1!W436</f>
        <v>22497.300000000003</v>
      </c>
      <c r="I42" s="4">
        <f>+Sheet1!V487+Sheet1!W487</f>
        <v>4185.0248535908067</v>
      </c>
      <c r="J42" s="4">
        <f t="shared" si="8"/>
        <v>8.0035533756017685E-11</v>
      </c>
      <c r="K42" s="4"/>
      <c r="L42" s="4">
        <f>+Sheet1!$G$8-Sheet2!R41</f>
        <v>245607.92026298333</v>
      </c>
      <c r="M42" s="4">
        <f t="shared" si="9"/>
        <v>49392.079737016662</v>
      </c>
      <c r="N42" s="4">
        <f>(SUM(Sheet1!D88:W88)-SUM(Sheet1!V88:W88))*Sheet1!$G$16</f>
        <v>0</v>
      </c>
      <c r="O42" s="4">
        <f>((Sheet1!$G$13+Sheet1!$G$11/10000)/12)*(M42+N42)</f>
        <v>370.54349819374374</v>
      </c>
      <c r="P42" s="4">
        <f>SUM(Sheet1!V51:V87)+SUM(Sheet1!W51:W87)+Sheet1!V46+Sheet1!W46-H42</f>
        <v>45350.7</v>
      </c>
      <c r="Q42" s="4">
        <f>+Sheet1!V333+Sheet1!W333</f>
        <v>4411.9232352101735</v>
      </c>
      <c r="R42" s="4">
        <f t="shared" si="0"/>
        <v>2.3464963305741549E-10</v>
      </c>
      <c r="S42" s="4"/>
      <c r="U42" s="4">
        <f>L42*Sheet1!$G$10/10000/12</f>
        <v>166.29702934472832</v>
      </c>
      <c r="V42" s="4">
        <f t="shared" si="10"/>
        <v>45350.7</v>
      </c>
      <c r="W42" s="4">
        <f t="shared" si="11"/>
        <v>4411.9232352101735</v>
      </c>
      <c r="X42" s="4">
        <f t="shared" si="12"/>
        <v>22497.300000000003</v>
      </c>
      <c r="Y42" s="4">
        <f t="shared" si="13"/>
        <v>4185.0248535908067</v>
      </c>
      <c r="Z42" s="4">
        <f t="shared" si="14"/>
        <v>76611.2451181457</v>
      </c>
      <c r="AA42" s="4">
        <f>+Sheet1!V158+Sheet1!W158</f>
        <v>0</v>
      </c>
      <c r="AB42" s="6">
        <f t="shared" si="1"/>
        <v>0</v>
      </c>
      <c r="AC42" s="41">
        <f t="shared" si="15"/>
        <v>76611.2451181457</v>
      </c>
      <c r="AD42" s="42">
        <f>AC42/((1+Sheet1!$G$18/12)^(Sheet2!A42))</f>
        <v>55890.217347743666</v>
      </c>
      <c r="AE42" s="35"/>
      <c r="AF42" s="41">
        <f t="shared" si="2"/>
        <v>26682.32485359081</v>
      </c>
      <c r="AG42" s="35"/>
      <c r="AH42" s="35"/>
      <c r="AI42" s="35"/>
      <c r="AJ42" s="35"/>
      <c r="AM42" s="4">
        <f>+L42*Sheet1!$M$10/10000/12</f>
        <v>30.700990032872912</v>
      </c>
      <c r="AN42" s="4">
        <f t="shared" si="16"/>
        <v>45350.7</v>
      </c>
      <c r="AO42" s="4">
        <f>+Sheet1!V385+Sheet1!W385</f>
        <v>2541.6428856194034</v>
      </c>
      <c r="AP42" s="4">
        <f t="shared" si="3"/>
        <v>47923.043875652271</v>
      </c>
      <c r="AS42" s="6">
        <f t="shared" si="4"/>
        <v>135.59603931185541</v>
      </c>
      <c r="AT42" s="6">
        <f t="shared" si="5"/>
        <v>1870.2803495907701</v>
      </c>
      <c r="AU42" s="6">
        <f t="shared" si="6"/>
        <v>437.41516153427688</v>
      </c>
      <c r="AV42" s="4">
        <f t="shared" si="17"/>
        <v>2443.2915504369021</v>
      </c>
      <c r="AW42">
        <f>Sheet1!V158+Sheet1!W158</f>
        <v>0</v>
      </c>
      <c r="AX42" s="18">
        <f>((AV42+AW42)/((1+Sheet1!$M$15)^(Sheet1!A88/12)))</f>
        <v>1914.8440106023538</v>
      </c>
    </row>
    <row r="43" spans="1:50" x14ac:dyDescent="0.2">
      <c r="AD43" s="43">
        <f>SUM(AD5:AD42)</f>
        <v>72901.886266092159</v>
      </c>
      <c r="AE43" s="37"/>
      <c r="AF43" s="37"/>
      <c r="AG43" s="37"/>
      <c r="AH43" s="37"/>
      <c r="AI43" s="37"/>
      <c r="AJ43" s="37"/>
      <c r="AU43" s="6"/>
      <c r="AX43" s="6">
        <f>SUM(AX5:AX42)</f>
        <v>53046.282948535722</v>
      </c>
    </row>
    <row r="44" spans="1:50" x14ac:dyDescent="0.2">
      <c r="M44" s="4"/>
      <c r="AF44" s="6">
        <f>SUM(AF5:AF43)</f>
        <v>33973.117105385485</v>
      </c>
    </row>
    <row r="45" spans="1:50" x14ac:dyDescent="0.2">
      <c r="M45" s="4"/>
    </row>
    <row r="46" spans="1:50" x14ac:dyDescent="0.2">
      <c r="M46" s="4"/>
    </row>
    <row r="47" spans="1:50" x14ac:dyDescent="0.2">
      <c r="M47" s="4"/>
    </row>
    <row r="48" spans="1:50" x14ac:dyDescent="0.2">
      <c r="M48" s="4"/>
    </row>
  </sheetData>
  <pageMargins left="0.75" right="0.75" top="0.75" bottom="0.75" header="0" footer="0"/>
  <pageSetup paperSize="5" scale="45" orientation="landscape" horizontalDpi="0" r:id="rId1"/>
  <headerFooter alignWithMargins="0"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Sheet1</vt:lpstr>
      <vt:lpstr>Sheet2</vt:lpstr>
      <vt:lpstr>Sheet1!Print_Area</vt:lpstr>
      <vt:lpstr>Sheet2!Print_Area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D. Herron</dc:creator>
  <cp:lastModifiedBy>Jan Havlíček</cp:lastModifiedBy>
  <cp:lastPrinted>2000-04-12T20:59:28Z</cp:lastPrinted>
  <dcterms:created xsi:type="dcterms:W3CDTF">2000-04-06T15:12:23Z</dcterms:created>
  <dcterms:modified xsi:type="dcterms:W3CDTF">2023-09-13T22:55:47Z</dcterms:modified>
</cp:coreProperties>
</file>