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43418E-CE32-4982-8C55-7477197192E4}" xr6:coauthVersionLast="47" xr6:coauthVersionMax="47" xr10:uidLastSave="{00000000-0000-0000-0000-000000000000}"/>
  <bookViews>
    <workbookView xWindow="-120" yWindow="-120" windowWidth="38640" windowHeight="15720" tabRatio="915" firstSheet="6" activeTab="12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Amortization" sheetId="35" r:id="rId12"/>
    <sheet name="Debt Structs" sheetId="32" r:id="rId13"/>
    <sheet name="Performance" sheetId="27" r:id="rId14"/>
    <sheet name="Perf." sheetId="28" r:id="rId15"/>
    <sheet name="BS" sheetId="19" state="hidden" r:id="rId16"/>
    <sheet name="Debt" sheetId="6" r:id="rId17"/>
    <sheet name="Depreciation" sheetId="7" r:id="rId18"/>
    <sheet name="Taxes" sheetId="8" r:id="rId19"/>
    <sheet name="IDC" sheetId="1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11">Amortization!$A$1:$W$41</definedName>
    <definedName name="_xlnm.Print_Area" localSheetId="2">Assumptions!$A$3:$P$80</definedName>
    <definedName name="_xlnm.Print_Area" localSheetId="15">BS!$A$2:$AH$9</definedName>
    <definedName name="_xlnm.Print_Area" localSheetId="9">'Cash Flows'!$A$60:$W$99</definedName>
    <definedName name="_xlnm.Print_Area" localSheetId="16">Debt!$A$2:$AF$69</definedName>
    <definedName name="_xlnm.Print_Area" localSheetId="12">'Debt Structs'!$A$2:$P$50</definedName>
    <definedName name="_xlnm.Print_Area" localSheetId="17">Depreciation!$A$2:$X$50</definedName>
    <definedName name="_xlnm.Print_Area" localSheetId="19">IDC!$A$2:$L$59</definedName>
    <definedName name="_xlnm.Print_Area" localSheetId="3">IS!$A$2:$W$45</definedName>
    <definedName name="_xlnm.Print_Area" localSheetId="7">'Returns Analysis'!$A$1:$W$60</definedName>
    <definedName name="_xlnm.Print_Area" localSheetId="10">Summary!$A$1:$H$38</definedName>
    <definedName name="_xlnm.Print_Area" localSheetId="18">Taxes!$A$2:$AF$41</definedName>
    <definedName name="_xlnm.Print_Titles" localSheetId="15">BS!$A:$A</definedName>
    <definedName name="_xlnm.Print_Titles" localSheetId="16">Debt!$A:$A</definedName>
    <definedName name="_xlnm.Print_Titles" localSheetId="17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8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F5" i="35" l="1"/>
  <c r="G5" i="35"/>
  <c r="H5" i="35"/>
  <c r="I5" i="35"/>
  <c r="F6" i="35"/>
  <c r="G6" i="35"/>
  <c r="F7" i="35"/>
  <c r="F8" i="35"/>
  <c r="G8" i="35"/>
  <c r="F9" i="35"/>
  <c r="G9" i="35"/>
  <c r="F10" i="35"/>
  <c r="G10" i="35"/>
  <c r="H10" i="35"/>
  <c r="I10" i="35"/>
  <c r="G11" i="35"/>
  <c r="H11" i="35"/>
  <c r="D15" i="35"/>
  <c r="E15" i="35"/>
  <c r="F15" i="35"/>
  <c r="G15" i="35"/>
  <c r="H15" i="35"/>
  <c r="D16" i="35"/>
  <c r="E16" i="35"/>
  <c r="F16" i="35"/>
  <c r="G16" i="35"/>
  <c r="H16" i="35"/>
  <c r="D17" i="35"/>
  <c r="E17" i="35"/>
  <c r="F17" i="35"/>
  <c r="G17" i="35"/>
  <c r="H17" i="35"/>
  <c r="D22" i="35"/>
  <c r="E22" i="35"/>
  <c r="F22" i="35"/>
  <c r="G22" i="35"/>
  <c r="H22" i="35"/>
  <c r="I22" i="35"/>
  <c r="J22" i="35"/>
  <c r="D23" i="35"/>
  <c r="E23" i="35"/>
  <c r="F23" i="35"/>
  <c r="G23" i="35"/>
  <c r="H23" i="35"/>
  <c r="I23" i="35"/>
  <c r="J23" i="35"/>
  <c r="D24" i="35"/>
  <c r="E24" i="35"/>
  <c r="F24" i="35"/>
  <c r="G24" i="35"/>
  <c r="H24" i="35"/>
  <c r="I24" i="35"/>
  <c r="J24" i="35"/>
  <c r="D25" i="35"/>
  <c r="E25" i="35"/>
  <c r="F25" i="35"/>
  <c r="G25" i="35"/>
  <c r="H25" i="35"/>
  <c r="I25" i="35"/>
  <c r="J25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B11" i="2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AC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C12" i="33"/>
  <c r="D12" i="33"/>
  <c r="E12" i="33"/>
  <c r="F12" i="33"/>
  <c r="G12" i="33"/>
  <c r="H12" i="33"/>
  <c r="I12" i="33"/>
  <c r="J12" i="33"/>
  <c r="K12" i="33"/>
  <c r="L12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C18" i="33"/>
  <c r="D18" i="33"/>
  <c r="E18" i="33"/>
  <c r="F18" i="33"/>
  <c r="G18" i="33"/>
  <c r="H18" i="33"/>
  <c r="I18" i="33"/>
  <c r="J18" i="33"/>
  <c r="K18" i="33"/>
  <c r="L18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C21" i="33"/>
  <c r="D21" i="33"/>
  <c r="E21" i="33"/>
  <c r="F21" i="33"/>
  <c r="G21" i="33"/>
  <c r="C22" i="33"/>
  <c r="D22" i="33"/>
  <c r="E22" i="33"/>
  <c r="F22" i="33"/>
  <c r="G22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B32" i="33"/>
  <c r="B35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B39" i="33"/>
  <c r="C39" i="33"/>
  <c r="D39" i="33"/>
  <c r="E39" i="33"/>
  <c r="F39" i="33"/>
  <c r="G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C42" i="33"/>
  <c r="C43" i="33"/>
  <c r="C44" i="33"/>
  <c r="C45" i="33"/>
  <c r="B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B52" i="33"/>
  <c r="C52" i="33"/>
  <c r="D52" i="33"/>
  <c r="E52" i="33"/>
  <c r="F52" i="33"/>
  <c r="G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C55" i="33"/>
  <c r="C56" i="33"/>
  <c r="C57" i="33"/>
  <c r="C58" i="33"/>
  <c r="B64" i="33"/>
  <c r="B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B70" i="33"/>
  <c r="C70" i="33"/>
  <c r="D70" i="33"/>
  <c r="E70" i="33"/>
  <c r="F70" i="33"/>
  <c r="G70" i="33"/>
  <c r="H70" i="33"/>
  <c r="I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S71" i="33"/>
  <c r="T71" i="33"/>
  <c r="U71" i="33"/>
  <c r="V71" i="33"/>
  <c r="W71" i="33"/>
  <c r="C73" i="33"/>
  <c r="C74" i="33"/>
  <c r="C75" i="33"/>
  <c r="C76" i="33"/>
  <c r="B80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S81" i="33"/>
  <c r="T81" i="33"/>
  <c r="U81" i="33"/>
  <c r="V81" i="33"/>
  <c r="W81" i="33"/>
  <c r="B84" i="33"/>
  <c r="C84" i="33"/>
  <c r="D84" i="33"/>
  <c r="E84" i="33"/>
  <c r="F84" i="33"/>
  <c r="G84" i="33"/>
  <c r="H84" i="33"/>
  <c r="I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B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S89" i="33"/>
  <c r="T89" i="33"/>
  <c r="U89" i="33"/>
  <c r="V89" i="33"/>
  <c r="W89" i="33"/>
  <c r="L90" i="33"/>
  <c r="B92" i="33"/>
  <c r="C92" i="33"/>
  <c r="D92" i="33"/>
  <c r="E92" i="33"/>
  <c r="F92" i="33"/>
  <c r="G92" i="33"/>
  <c r="H92" i="33"/>
  <c r="I92" i="33"/>
  <c r="J92" i="33"/>
  <c r="K92" i="33"/>
  <c r="L92" i="33"/>
  <c r="C93" i="33"/>
  <c r="C94" i="33"/>
  <c r="C96" i="33"/>
  <c r="C97" i="33"/>
  <c r="C98" i="33"/>
  <c r="C99" i="33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D3" i="32"/>
  <c r="E3" i="32"/>
  <c r="D8" i="32"/>
  <c r="E8" i="32"/>
  <c r="B16" i="32"/>
  <c r="C16" i="32"/>
  <c r="D16" i="32"/>
  <c r="E16" i="32"/>
  <c r="G16" i="32"/>
  <c r="H16" i="32"/>
  <c r="I16" i="32"/>
  <c r="J16" i="32"/>
  <c r="L16" i="32"/>
  <c r="M16" i="32"/>
  <c r="N16" i="32"/>
  <c r="Q16" i="32"/>
  <c r="R16" i="32"/>
  <c r="A17" i="32"/>
  <c r="B17" i="32"/>
  <c r="C17" i="32"/>
  <c r="D17" i="32"/>
  <c r="E17" i="32"/>
  <c r="G17" i="32"/>
  <c r="H17" i="32"/>
  <c r="I17" i="32"/>
  <c r="J17" i="32"/>
  <c r="L17" i="32"/>
  <c r="M17" i="32"/>
  <c r="N17" i="32"/>
  <c r="A18" i="32"/>
  <c r="B18" i="32"/>
  <c r="C18" i="32"/>
  <c r="D18" i="32"/>
  <c r="E18" i="32"/>
  <c r="G18" i="32"/>
  <c r="H18" i="32"/>
  <c r="I18" i="32"/>
  <c r="J18" i="32"/>
  <c r="L18" i="32"/>
  <c r="M18" i="32"/>
  <c r="N18" i="32"/>
  <c r="A19" i="32"/>
  <c r="B19" i="32"/>
  <c r="C19" i="32"/>
  <c r="D19" i="32"/>
  <c r="E19" i="32"/>
  <c r="G19" i="32"/>
  <c r="H19" i="32"/>
  <c r="I19" i="32"/>
  <c r="J19" i="32"/>
  <c r="L19" i="32"/>
  <c r="M19" i="32"/>
  <c r="N19" i="32"/>
  <c r="A20" i="32"/>
  <c r="B20" i="32"/>
  <c r="C20" i="32"/>
  <c r="D20" i="32"/>
  <c r="E20" i="32"/>
  <c r="G20" i="32"/>
  <c r="H20" i="32"/>
  <c r="I20" i="32"/>
  <c r="J20" i="32"/>
  <c r="L20" i="32"/>
  <c r="M20" i="32"/>
  <c r="N20" i="32"/>
  <c r="Q20" i="32"/>
  <c r="R20" i="32"/>
  <c r="A21" i="32"/>
  <c r="B21" i="32"/>
  <c r="C21" i="32"/>
  <c r="D21" i="32"/>
  <c r="E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R22" i="32"/>
  <c r="A23" i="32"/>
  <c r="B23" i="32"/>
  <c r="C23" i="32"/>
  <c r="D23" i="32"/>
  <c r="E23" i="32"/>
  <c r="A24" i="32"/>
  <c r="B24" i="32"/>
  <c r="C24" i="32"/>
  <c r="D24" i="32"/>
  <c r="E24" i="32"/>
  <c r="A25" i="32"/>
  <c r="B25" i="32"/>
  <c r="C25" i="32"/>
  <c r="D25" i="32"/>
  <c r="E25" i="32"/>
  <c r="A26" i="32"/>
  <c r="B26" i="32"/>
  <c r="C26" i="32"/>
  <c r="D26" i="32"/>
  <c r="E26" i="32"/>
  <c r="A27" i="32"/>
  <c r="B27" i="32"/>
  <c r="C27" i="32"/>
  <c r="D27" i="32"/>
  <c r="E27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B35" i="32"/>
  <c r="C35" i="32"/>
  <c r="D35" i="32"/>
  <c r="E35" i="32"/>
  <c r="A36" i="32"/>
  <c r="B36" i="32"/>
  <c r="C36" i="32"/>
  <c r="D36" i="32"/>
  <c r="E36" i="32"/>
  <c r="A37" i="32"/>
  <c r="B37" i="32"/>
  <c r="C37" i="32"/>
  <c r="D37" i="32"/>
  <c r="E37" i="32"/>
  <c r="A38" i="32"/>
  <c r="B38" i="32"/>
  <c r="C38" i="32"/>
  <c r="D38" i="32"/>
  <c r="E38" i="32"/>
  <c r="A39" i="32"/>
  <c r="B39" i="32"/>
  <c r="C39" i="32"/>
  <c r="D39" i="32"/>
  <c r="E39" i="32"/>
  <c r="A40" i="32"/>
  <c r="B40" i="32"/>
  <c r="C40" i="32"/>
  <c r="D40" i="32"/>
  <c r="E40" i="32"/>
  <c r="A41" i="32"/>
  <c r="B41" i="32"/>
  <c r="C41" i="32"/>
  <c r="D41" i="32"/>
  <c r="E41" i="32"/>
  <c r="A42" i="32"/>
  <c r="B42" i="32"/>
  <c r="C42" i="32"/>
  <c r="D42" i="32"/>
  <c r="E42" i="32"/>
  <c r="A43" i="32"/>
  <c r="B43" i="32"/>
  <c r="C43" i="32"/>
  <c r="D43" i="32"/>
  <c r="E43" i="32"/>
  <c r="A44" i="32"/>
  <c r="B44" i="32"/>
  <c r="C44" i="32"/>
  <c r="D44" i="32"/>
  <c r="E44" i="32"/>
  <c r="D59" i="32"/>
  <c r="E59" i="32"/>
  <c r="D64" i="32"/>
  <c r="E64" i="32"/>
  <c r="B74" i="32"/>
  <c r="C74" i="32"/>
  <c r="D74" i="32"/>
  <c r="E74" i="32"/>
  <c r="H74" i="32"/>
  <c r="I74" i="32"/>
  <c r="J74" i="32"/>
  <c r="K74" i="32"/>
  <c r="A75" i="32"/>
  <c r="B75" i="32"/>
  <c r="C75" i="32"/>
  <c r="D75" i="32"/>
  <c r="E75" i="32"/>
  <c r="G75" i="32"/>
  <c r="H75" i="32"/>
  <c r="I75" i="32"/>
  <c r="J75" i="32"/>
  <c r="K75" i="32"/>
  <c r="A76" i="32"/>
  <c r="B76" i="32"/>
  <c r="C76" i="32"/>
  <c r="D76" i="32"/>
  <c r="E76" i="32"/>
  <c r="G76" i="32"/>
  <c r="H76" i="32"/>
  <c r="I76" i="32"/>
  <c r="J76" i="32"/>
  <c r="K76" i="32"/>
  <c r="A77" i="32"/>
  <c r="B77" i="32"/>
  <c r="C77" i="32"/>
  <c r="D77" i="32"/>
  <c r="E77" i="32"/>
  <c r="G77" i="32"/>
  <c r="H77" i="32"/>
  <c r="I77" i="32"/>
  <c r="J77" i="32"/>
  <c r="K77" i="32"/>
  <c r="A78" i="32"/>
  <c r="B78" i="32"/>
  <c r="C78" i="32"/>
  <c r="D78" i="32"/>
  <c r="E78" i="32"/>
  <c r="G78" i="32"/>
  <c r="H78" i="32"/>
  <c r="I78" i="32"/>
  <c r="J78" i="32"/>
  <c r="K78" i="32"/>
  <c r="A79" i="32"/>
  <c r="B79" i="32"/>
  <c r="C79" i="32"/>
  <c r="D79" i="32"/>
  <c r="E79" i="32"/>
  <c r="G79" i="32"/>
  <c r="H79" i="32"/>
  <c r="I79" i="32"/>
  <c r="J79" i="32"/>
  <c r="K79" i="32"/>
  <c r="A80" i="32"/>
  <c r="B80" i="32"/>
  <c r="C80" i="32"/>
  <c r="D80" i="32"/>
  <c r="E80" i="32"/>
  <c r="G80" i="32"/>
  <c r="H80" i="32"/>
  <c r="I80" i="32"/>
  <c r="J80" i="32"/>
  <c r="K80" i="32"/>
  <c r="A81" i="32"/>
  <c r="B81" i="32"/>
  <c r="C81" i="32"/>
  <c r="D81" i="32"/>
  <c r="E81" i="32"/>
  <c r="G81" i="32"/>
  <c r="H81" i="32"/>
  <c r="I81" i="32"/>
  <c r="J81" i="32"/>
  <c r="K81" i="32"/>
  <c r="A82" i="32"/>
  <c r="B82" i="32"/>
  <c r="C82" i="32"/>
  <c r="D82" i="32"/>
  <c r="E82" i="32"/>
  <c r="G82" i="32"/>
  <c r="H82" i="32"/>
  <c r="I82" i="32"/>
  <c r="J82" i="32"/>
  <c r="K82" i="32"/>
  <c r="A83" i="32"/>
  <c r="B83" i="32"/>
  <c r="C83" i="32"/>
  <c r="D83" i="32"/>
  <c r="E83" i="32"/>
  <c r="G83" i="32"/>
  <c r="H83" i="32"/>
  <c r="I83" i="32"/>
  <c r="J83" i="32"/>
  <c r="K83" i="32"/>
  <c r="A84" i="32"/>
  <c r="B84" i="32"/>
  <c r="C84" i="32"/>
  <c r="D84" i="32"/>
  <c r="E84" i="32"/>
  <c r="G84" i="32"/>
  <c r="H84" i="32"/>
  <c r="I84" i="32"/>
  <c r="J84" i="32"/>
  <c r="K84" i="32"/>
  <c r="A85" i="32"/>
  <c r="B85" i="32"/>
  <c r="C85" i="32"/>
  <c r="D85" i="32"/>
  <c r="E85" i="32"/>
  <c r="G85" i="32"/>
  <c r="H85" i="32"/>
  <c r="I85" i="32"/>
  <c r="J85" i="32"/>
  <c r="K85" i="32"/>
  <c r="A86" i="32"/>
  <c r="B86" i="32"/>
  <c r="C86" i="32"/>
  <c r="D86" i="32"/>
  <c r="E86" i="32"/>
  <c r="G86" i="32"/>
  <c r="H86" i="32"/>
  <c r="I86" i="32"/>
  <c r="J86" i="32"/>
  <c r="K86" i="32"/>
  <c r="A87" i="32"/>
  <c r="B87" i="32"/>
  <c r="C87" i="32"/>
  <c r="D87" i="32"/>
  <c r="E87" i="32"/>
  <c r="A88" i="32"/>
  <c r="B88" i="32"/>
  <c r="C88" i="32"/>
  <c r="D88" i="32"/>
  <c r="E88" i="32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B4" i="34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<sst xmlns="http://schemas.openxmlformats.org/spreadsheetml/2006/main" count="979" uniqueCount="716">
  <si>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</si>
  <si>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</si>
  <si>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</si>
  <si>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</si>
  <si>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</si>
  <si>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</si>
  <si>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</si>
  <si>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</si>
  <si>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</si>
  <si>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</si>
  <si>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</si>
  <si>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</si>
  <si>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</si>
  <si>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</si>
  <si>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</si>
  <si>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</si>
  <si>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</si>
  <si>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</si>
  <si>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</si>
  <si>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</si>
  <si>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</si>
  <si>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</si>
  <si>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</si>
  <si>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</si>
  <si>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</si>
  <si>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</si>
  <si>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</si>
  <si>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</si>
  <si>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</si>
  <si>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</si>
  <si>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</si>
  <si>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</si>
  <si>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</si>
  <si>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</si>
  <si>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</si>
  <si>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</si>
  <si>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</si>
  <si>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</si>
  <si>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</si>
  <si>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</si>
  <si>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</si>
  <si>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</si>
  <si>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</si>
  <si>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</si>
  <si>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</si>
  <si>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</si>
  <si>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</si>
  <si>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</si>
  <si>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</si>
  <si>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</si>
  <si>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</si>
  <si>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</si>
  <si>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</si>
  <si>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</si>
  <si>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</si>
  <si>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</si>
  <si>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</si>
  <si>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</si>
  <si>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</si>
  <si>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</si>
  <si>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</si>
  <si>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</si>
  <si>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</si>
  <si>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</si>
  <si>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</si>
  <si>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</si>
  <si>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</si>
  <si>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</si>
  <si>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</si>
  <si>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</si>
  <si>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</si>
  <si>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</si>
  <si>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</si>
  <si>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</si>
  <si>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</si>
  <si>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</si>
  <si>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</si>
  <si>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</si>
  <si>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</si>
  <si>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</si>
  <si>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</si>
  <si>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</si>
  <si>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</si>
  <si>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</si>
  <si>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</si>
  <si>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</si>
  <si>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</si>
  <si>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</si>
  <si>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</si>
  <si>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</si>
  <si>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</si>
  <si>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</si>
  <si>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</si>
  <si>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</si>
  <si>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</si>
  <si>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</si>
  <si>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</si>
  <si>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</si>
  <si>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</si>
  <si>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</si>
  <si>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</si>
  <si>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</si>
  <si>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</si>
  <si>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</si>
  <si>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</si>
  <si>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</si>
  <si>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</si>
  <si>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</si>
  <si>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</si>
  <si>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</si>
  <si>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</si>
  <si>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</si>
  <si>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</si>
  <si>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</si>
  <si>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</si>
  <si>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</si>
  <si>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</si>
  <si>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</si>
  <si>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</si>
  <si>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</si>
  <si>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</si>
  <si>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</si>
  <si>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</si>
  <si>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</si>
  <si>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</si>
  <si>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</si>
  <si>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</si>
  <si>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</si>
  <si>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</si>
  <si>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</si>
  <si>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</si>
  <si>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</si>
  <si>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</si>
  <si>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</si>
  <si>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</si>
  <si>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</si>
  <si>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</si>
  <si>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</si>
  <si>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</si>
  <si>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</si>
  <si>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</si>
  <si>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</si>
  <si>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</si>
  <si>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</si>
  <si>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</si>
  <si>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</si>
  <si>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</si>
  <si>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</si>
  <si>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</si>
  <si>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</si>
  <si>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</si>
  <si>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</si>
  <si>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</si>
  <si>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</si>
  <si>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</si>
  <si>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</si>
  <si>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</si>
  <si>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</si>
  <si>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</si>
  <si>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</si>
  <si>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</si>
  <si>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</si>
  <si>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</si>
  <si>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</si>
  <si>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</si>
  <si>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</si>
  <si>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</si>
  <si>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</si>
  <si>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</si>
  <si>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</si>
  <si>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</si>
  <si>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</si>
  <si>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</si>
  <si>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</si>
  <si>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</si>
  <si>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</si>
  <si>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</si>
  <si>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</si>
  <si>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</si>
  <si>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</si>
  <si>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</si>
  <si>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</si>
  <si>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</si>
  <si>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</si>
  <si>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</si>
  <si>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</si>
  <si>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</si>
  <si>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</si>
  <si>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</si>
  <si>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</si>
  <si>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</si>
  <si>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</si>
  <si>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</si>
  <si>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</si>
  <si>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</si>
  <si>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</si>
  <si>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</si>
  <si>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</si>
  <si>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</si>
  <si>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</si>
  <si>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</si>
  <si>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</si>
  <si>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</si>
  <si>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</si>
  <si>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</si>
  <si>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</si>
  <si>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</si>
  <si>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</si>
  <si>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</si>
  <si>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</si>
  <si>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</si>
  <si>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</si>
  <si>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</si>
  <si>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</si>
  <si>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</si>
  <si>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</si>
  <si>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</si>
  <si>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</si>
  <si>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</si>
  <si>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</si>
  <si>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</si>
  <si>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</si>
  <si>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</si>
  <si>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</si>
  <si>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</si>
  <si>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</si>
  <si>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</si>
  <si>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</si>
  <si>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</si>
  <si>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</si>
  <si>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</si>
  <si>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</si>
  <si>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</si>
  <si>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</si>
  <si>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</si>
  <si>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</si>
  <si>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</si>
  <si>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</si>
  <si>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</si>
  <si>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</si>
  <si>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</si>
  <si>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</si>
  <si>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</si>
  <si>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</si>
  <si>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</si>
  <si>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</si>
  <si>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</si>
  <si>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</si>
  <si>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</si>
  <si>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</si>
  <si>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</si>
  <si>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</si>
  <si>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</si>
  <si>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</si>
  <si>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</si>
  <si>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</si>
  <si>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</si>
  <si>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</si>
  <si>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</si>
  <si>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</si>
  <si>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</si>
  <si>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</si>
  <si>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</si>
  <si>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</si>
  <si>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</si>
  <si>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</si>
  <si>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</si>
  <si>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</si>
  <si>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</si>
  <si>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</si>
  <si>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</si>
  <si>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</si>
  <si>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</si>
  <si>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</si>
  <si>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</si>
  <si>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</si>
  <si>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</si>
  <si>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</si>
  <si>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</si>
  <si>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</si>
  <si>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</si>
  <si>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</si>
  <si>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</si>
  <si>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</si>
  <si>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</si>
  <si>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</si>
  <si>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</si>
  <si>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</si>
  <si>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</si>
  <si>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</si>
  <si>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</si>
  <si>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</si>
  <si>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</si>
  <si>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</si>
  <si>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</si>
  <si>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</si>
  <si>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</si>
  <si>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</si>
  <si>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</si>
  <si>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</si>
  <si>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</si>
  <si>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</si>
  <si>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</si>
  <si>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</si>
  <si>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</si>
  <si>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</si>
  <si>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</si>
  <si>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</si>
  <si>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</si>
  <si>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</si>
  <si>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</si>
  <si>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</si>
  <si>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</si>
  <si>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</si>
  <si>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</si>
  <si>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</si>
  <si>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</si>
  <si>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</si>
  <si>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</si>
  <si>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</si>
  <si>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</si>
  <si>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</si>
  <si>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</si>
  <si>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</si>
  <si>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</si>
  <si>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</si>
  <si>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</si>
  <si>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</si>
  <si>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</si>
  <si>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</si>
  <si>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</si>
  <si>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</si>
  <si>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</si>
  <si>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</si>
  <si>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</si>
  <si>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</si>
  <si>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</si>
  <si>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</si>
  <si>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</si>
  <si>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</si>
  <si>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</si>
  <si>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</si>
  <si>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</si>
  <si>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</si>
  <si>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</si>
  <si>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</si>
  <si>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</si>
  <si>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</si>
  <si>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</si>
  <si>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</si>
  <si>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</si>
  <si>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</si>
  <si>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</si>
  <si>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</si>
  <si>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</si>
  <si>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</si>
  <si>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</si>
  <si>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</si>
  <si>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</si>
  <si>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</si>
  <si>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</si>
  <si>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</si>
  <si>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</si>
  <si>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</si>
  <si>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</si>
  <si>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</si>
  <si>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</si>
  <si>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</si>
  <si>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</si>
  <si>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</si>
  <si>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</si>
  <si>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</si>
  <si>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</si>
  <si>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</si>
  <si>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</si>
  <si>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</si>
  <si>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</si>
  <si>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</si>
  <si>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</si>
  <si>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</si>
  <si>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</si>
  <si>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</si>
  <si>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</si>
  <si>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</si>
  <si>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</si>
  <si>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</si>
  <si>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</si>
  <si>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</si>
  <si>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</si>
  <si>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</si>
  <si>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</si>
  <si>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</si>
  <si>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</si>
  <si>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</si>
  <si>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</si>
  <si>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</si>
  <si>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</si>
  <si>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</si>
  <si>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</si>
  <si>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</si>
  <si>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</si>
  <si>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</si>
  <si>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</si>
  <si>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</si>
  <si>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</si>
  <si>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</si>
  <si>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</si>
  <si>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</si>
  <si>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</si>
  <si>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</si>
  <si>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</si>
  <si>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</si>
  <si>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</si>
  <si>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</si>
  <si>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</si>
  <si>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</si>
  <si>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</si>
  <si>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</si>
  <si>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</si>
  <si>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</si>
  <si>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</si>
  <si>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</si>
  <si>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</si>
  <si>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</si>
  <si>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</si>
  <si>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</si>
  <si>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</si>
  <si>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</si>
  <si>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</si>
  <si>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</si>
  <si>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</si>
  <si>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</si>
  <si>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</si>
  <si>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</si>
  <si>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</si>
  <si>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</si>
  <si>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</si>
  <si>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</si>
  <si>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</si>
  <si>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</si>
  <si>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</si>
  <si>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</si>
  <si>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</si>
  <si>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</si>
  <si>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</si>
  <si>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</si>
  <si>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</si>
  <si>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</si>
  <si>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</si>
  <si>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</si>
  <si>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</si>
  <si>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</si>
  <si>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</si>
  <si>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</si>
  <si>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</si>
  <si>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</si>
  <si>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</si>
  <si>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</si>
  <si>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</si>
  <si>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</si>
  <si>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</si>
  <si>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</si>
  <si>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</si>
  <si>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</si>
  <si>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</si>
  <si>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</si>
  <si>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</si>
  <si>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</si>
  <si>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</si>
  <si>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</si>
  <si>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</si>
  <si>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</si>
  <si>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</si>
  <si>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</si>
  <si>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</si>
  <si>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</si>
  <si>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</si>
  <si>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</si>
  <si>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</si>
  <si>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</si>
  <si>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</si>
  <si>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</si>
  <si>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</si>
  <si>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</si>
  <si>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</si>
  <si>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</si>
  <si>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</si>
  <si>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</si>
  <si>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</si>
  <si>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</si>
  <si>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</si>
  <si>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</si>
  <si>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</si>
  <si>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</si>
  <si>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</si>
  <si>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</si>
  <si>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</si>
  <si>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</si>
  <si>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</si>
  <si>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</si>
  <si>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</si>
  <si>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</si>
  <si>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</si>
  <si>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</si>
  <si>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</si>
  <si>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</si>
  <si>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</si>
  <si>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</si>
  <si>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</si>
  <si>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</si>
  <si>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</si>
  <si>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</si>
  <si>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</si>
  <si>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</si>
  <si>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</si>
  <si>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</si>
  <si>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</si>
  <si>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</si>
  <si>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</si>
  <si>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</si>
  <si>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</si>
  <si>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</si>
  <si>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</si>
  <si>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</si>
  <si>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</si>
  <si>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</si>
  <si>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</si>
  <si>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</si>
  <si>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</si>
  <si>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</si>
  <si>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</si>
  <si>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</si>
  <si>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</si>
  <si>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</si>
  <si>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</si>
  <si>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</si>
  <si>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</si>
  <si>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</si>
  <si>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</si>
  <si>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</si>
  <si>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</si>
  <si>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</si>
  <si>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</si>
  <si>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</si>
  <si>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</si>
  <si>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</si>
  <si>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</si>
  <si>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</si>
  <si>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</si>
  <si>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</si>
  <si>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</si>
  <si>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</si>
  <si>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</si>
  <si>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</si>
  <si>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</si>
  <si>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</si>
  <si>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</si>
  <si>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</si>
  <si>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</si>
  <si>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</si>
  <si>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</si>
  <si>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</si>
  <si>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</si>
  <si>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</si>
  <si>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</si>
  <si>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</si>
  <si>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</si>
  <si>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</si>
  <si>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</si>
  <si>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</si>
  <si>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</si>
  <si>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</si>
  <si>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</si>
  <si>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</si>
  <si>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</si>
  <si>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</si>
  <si>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</si>
  <si>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</si>
  <si>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</si>
  <si>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</si>
  <si>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</si>
  <si>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</si>
  <si>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</si>
  <si>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</si>
  <si>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</si>
  <si>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</si>
  <si>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</si>
  <si>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</si>
  <si>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</si>
  <si>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</si>
  <si>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</si>
  <si>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</si>
  <si>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</si>
  <si>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</si>
  <si>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</si>
  <si>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</si>
  <si>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</si>
  <si>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</si>
  <si>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</si>
  <si>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</si>
  <si>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</si>
  <si>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</si>
  <si>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</si>
  <si>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</si>
  <si>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</si>
  <si>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</si>
  <si>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</si>
  <si>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</si>
  <si>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</si>
  <si>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</si>
  <si>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</si>
  <si>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</si>
  <si>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</si>
  <si>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</si>
  <si>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</si>
  <si>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</si>
  <si>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</si>
  <si>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</si>
  <si>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</si>
  <si>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</si>
  <si>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</si>
  <si>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</si>
  <si>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</si>
  <si>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</si>
  <si>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</si>
  <si>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</si>
  <si>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</si>
  <si>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</si>
  <si>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</si>
  <si>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</si>
  <si>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</si>
  <si>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</si>
  <si>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</si>
  <si>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</si>
  <si>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100% Lease</t>
  </si>
  <si>
    <t>Pmt Diff</t>
  </si>
  <si>
    <t>Prin Bal</t>
  </si>
  <si>
    <t>Pmt</t>
  </si>
  <si>
    <t>Int Pmt</t>
  </si>
  <si>
    <t>Prin Pmt</t>
  </si>
  <si>
    <t>10 yr Amort</t>
  </si>
  <si>
    <t>Debt Options</t>
  </si>
  <si>
    <t>New Debt</t>
  </si>
  <si>
    <t>10-Yr. Debt</t>
  </si>
  <si>
    <t>7-Yr. Debt</t>
  </si>
  <si>
    <t>Versions</t>
  </si>
  <si>
    <t>Optimal Debt</t>
  </si>
  <si>
    <t>With 20% of Initial Project Costs</t>
  </si>
  <si>
    <t>Lease Option</t>
  </si>
  <si>
    <t>10-Yr. Debt Option</t>
  </si>
  <si>
    <t>Debt Repayment - Bullet</t>
  </si>
  <si>
    <t>Debt Versions</t>
  </si>
  <si>
    <t>7 yr Term with 12 yr. Amort.</t>
  </si>
  <si>
    <t>Capacity Price</t>
  </si>
  <si>
    <t>Add Depreciation (Lease)</t>
  </si>
  <si>
    <t>NPV</t>
  </si>
  <si>
    <t>15 yr Amort on Lease Structure</t>
  </si>
  <si>
    <t>Cash In Flow</t>
  </si>
  <si>
    <t>Less Principal Payments (Lease Years 6-20)</t>
  </si>
  <si>
    <t>Cash In Flow (Trapped Cash)</t>
  </si>
  <si>
    <t>NPV @ 15% (000's)</t>
  </si>
  <si>
    <r>
      <t>Notes</t>
    </r>
    <r>
      <rPr>
        <b/>
        <sz val="10"/>
        <rFont val="Arial"/>
        <family val="2"/>
      </rPr>
      <t>:  Lease Structure</t>
    </r>
  </si>
  <si>
    <r>
      <t>Notes</t>
    </r>
    <r>
      <rPr>
        <b/>
        <sz val="10"/>
        <rFont val="Arial"/>
        <family val="2"/>
      </rPr>
      <t>:  Debt Structure</t>
    </r>
  </si>
  <si>
    <t xml:space="preserve">New Debt </t>
  </si>
  <si>
    <t>Debt Repayment - First Level</t>
  </si>
  <si>
    <t>Debt Repayment - Second Level</t>
  </si>
  <si>
    <t>Debt Repayment</t>
  </si>
  <si>
    <t>Total Cash Flow - 5 Year Term</t>
  </si>
  <si>
    <t>Total Cash Flow - 20 Year Term</t>
  </si>
  <si>
    <t>5 Year Term</t>
  </si>
  <si>
    <t>20 Year Term</t>
  </si>
  <si>
    <t>Debt Repayment - No Bullet</t>
  </si>
  <si>
    <t>7 Year Term</t>
  </si>
  <si>
    <t>Years 1-5: 8.0% Rate; 90/10 D/E: Capacity @ $4.50</t>
  </si>
  <si>
    <t xml:space="preserve">5 Year Lease Structure </t>
  </si>
  <si>
    <t>Years 1-7: 70/30 D/E; 9.5% Rate; 12 year amort.</t>
  </si>
  <si>
    <t xml:space="preserve">Years 6-20: 8.75% Rate; </t>
  </si>
  <si>
    <t>Total Cash Flow - 7 Year Term</t>
  </si>
  <si>
    <t>ENRON'S RETURN ANALYSIS</t>
  </si>
  <si>
    <t>Distribution to ENA</t>
  </si>
  <si>
    <t>Distribution to UAE</t>
  </si>
  <si>
    <t>UAE's RETURN ANALYSIS</t>
  </si>
  <si>
    <t>Enron Return Analysis</t>
  </si>
  <si>
    <t>Equity Distribution Percentage</t>
  </si>
  <si>
    <t>Amortization</t>
  </si>
  <si>
    <t>Schedules</t>
  </si>
  <si>
    <t>Principal Balance</t>
  </si>
  <si>
    <t>Payment</t>
  </si>
  <si>
    <t>Interest Payment</t>
  </si>
  <si>
    <t>Principal Payment</t>
  </si>
  <si>
    <t>Lease Years 1 -5</t>
  </si>
  <si>
    <t>12 yr Amort</t>
  </si>
  <si>
    <t>7 Year Debt w/ 12 yr. Amort</t>
  </si>
  <si>
    <t>13 Year Debt</t>
  </si>
  <si>
    <t>15 Year Debt</t>
  </si>
  <si>
    <t>13 yr Amort Debt Structure</t>
  </si>
  <si>
    <t>Less Principal Payments (Debt Years 8-20)</t>
  </si>
  <si>
    <t>Less Interest Payments (Debt Years 8-20)</t>
  </si>
  <si>
    <t>7-Yr. Debt Option w/ 12 Yr. Amort</t>
  </si>
  <si>
    <t>Less Principal Payments (Debt Years 1-7)</t>
  </si>
  <si>
    <t>Less Interest Payments (Debt Years 1-7)</t>
  </si>
  <si>
    <t>Payment to Equal Lease</t>
  </si>
  <si>
    <t>Less Interest Payments (Lease) &amp; (Int. Years 6-20)</t>
  </si>
  <si>
    <t>Debt (13 Yr.)</t>
  </si>
  <si>
    <t>Debt (7 Yr.)</t>
  </si>
  <si>
    <t>N/A</t>
  </si>
  <si>
    <t>Refinancing in Year 6 - 20</t>
  </si>
  <si>
    <t>Refinancing in Year 8-20</t>
  </si>
  <si>
    <t>7 Year Debt Structure</t>
  </si>
  <si>
    <t>Debt (15 Yr.)</t>
  </si>
  <si>
    <t>Cash Flows</t>
  </si>
  <si>
    <t>20 Year Lease Structure With Debt</t>
  </si>
  <si>
    <t>20 Year Debt Structure With Debt</t>
  </si>
  <si>
    <t>Less Lease Principal Payments</t>
  </si>
  <si>
    <t>100% Lease with Principal Payment (12 yr. Amort.)</t>
  </si>
  <si>
    <t>Lease with Prin.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</si>
</sst>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44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115" fillId="0" borderId="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2" fillId="10" borderId="3" xfId="21" applyNumberFormat="1" applyFont="1" applyFill="1" applyBorder="1" applyAlignment="1">
      <alignment horizontal="center"/>
    </xf>
    <xf numFmtId="0" fontId="1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6" fontId="2" fillId="10" borderId="3" xfId="0" applyNumberFormat="1" applyFont="1" applyFill="1" applyBorder="1" applyAlignment="1">
      <alignment horizontal="center"/>
    </xf>
    <xf numFmtId="0" fontId="115" fillId="0" borderId="0" xfId="0" applyFont="1" applyAlignment="1">
      <alignment horizontal="center"/>
    </xf>
    <xf numFmtId="6" fontId="0" fillId="0" borderId="6" xfId="0" applyNumberFormat="1" applyBorder="1"/>
    <xf numFmtId="6" fontId="0" fillId="11" borderId="0" xfId="0" applyNumberFormat="1" applyFill="1"/>
    <xf numFmtId="6" fontId="3" fillId="0" borderId="0" xfId="0" applyNumberFormat="1" applyFont="1" applyBorder="1"/>
    <xf numFmtId="44" fontId="3" fillId="0" borderId="4" xfId="4" applyFont="1" applyBorder="1"/>
    <xf numFmtId="0" fontId="3" fillId="11" borderId="0" xfId="0" applyFont="1" applyFill="1" applyAlignment="1">
      <alignment horizontal="center"/>
    </xf>
    <xf numFmtId="0" fontId="118" fillId="0" borderId="0" xfId="0" applyFont="1"/>
    <xf numFmtId="0" fontId="0" fillId="0" borderId="0" xfId="0" applyAlignment="1"/>
    <xf numFmtId="0" fontId="3" fillId="0" borderId="0" xfId="0" applyFont="1" applyBorder="1" applyAlignment="1"/>
    <xf numFmtId="165" fontId="2" fillId="10" borderId="3" xfId="4" applyNumberFormat="1" applyFont="1" applyFill="1" applyBorder="1" applyAlignment="1">
      <alignment horizontal="center"/>
    </xf>
    <xf numFmtId="164" fontId="2" fillId="10" borderId="3" xfId="21" applyNumberFormat="1" applyFont="1" applyFill="1" applyBorder="1" applyAlignment="1"/>
    <xf numFmtId="164" fontId="2" fillId="10" borderId="3" xfId="0" applyNumberFormat="1" applyFont="1" applyFill="1" applyBorder="1"/>
    <xf numFmtId="6" fontId="2" fillId="0" borderId="0" xfId="0" applyNumberFormat="1" applyFont="1" applyFill="1" applyBorder="1" applyAlignment="1">
      <alignment horizontal="center"/>
    </xf>
    <xf numFmtId="0" fontId="21" fillId="0" borderId="0" xfId="0" applyFont="1" applyAlignment="1"/>
    <xf numFmtId="0" fontId="19" fillId="0" borderId="0" xfId="0" applyFont="1" applyAlignment="1">
      <alignment horizontal="center"/>
    </xf>
    <xf numFmtId="165" fontId="3" fillId="0" borderId="4" xfId="0" applyNumberFormat="1" applyFont="1" applyBorder="1"/>
    <xf numFmtId="0" fontId="3" fillId="0" borderId="0" xfId="0" applyFont="1" applyFill="1" applyAlignment="1">
      <alignment horizontal="center"/>
    </xf>
    <xf numFmtId="0" fontId="3" fillId="0" borderId="6" xfId="0" applyFont="1" applyBorder="1" applyAlignment="1">
      <alignment horizontal="left"/>
    </xf>
    <xf numFmtId="165" fontId="0" fillId="0" borderId="0" xfId="4" applyNumberFormat="1" applyFont="1"/>
    <xf numFmtId="10" fontId="21" fillId="0" borderId="0" xfId="21" applyNumberFormat="1" applyFont="1" applyFill="1" applyBorder="1" applyAlignment="1">
      <alignment horizontal="center"/>
    </xf>
    <xf numFmtId="10" fontId="21" fillId="0" borderId="9" xfId="21" applyNumberFormat="1" applyFont="1" applyFill="1" applyBorder="1" applyAlignment="1">
      <alignment horizontal="center"/>
    </xf>
    <xf numFmtId="37" fontId="21" fillId="0" borderId="0" xfId="0" applyNumberFormat="1" applyFont="1" applyBorder="1" applyAlignment="1">
      <alignment horizontal="center"/>
    </xf>
    <xf numFmtId="164" fontId="21" fillId="0" borderId="0" xfId="21" applyNumberFormat="1" applyFont="1" applyBorder="1" applyAlignment="1">
      <alignment horizontal="center"/>
    </xf>
    <xf numFmtId="37" fontId="21" fillId="0" borderId="9" xfId="0" applyNumberFormat="1" applyFont="1" applyBorder="1" applyAlignment="1">
      <alignment horizontal="center"/>
    </xf>
    <xf numFmtId="164" fontId="21" fillId="0" borderId="9" xfId="21" applyNumberFormat="1" applyFont="1" applyBorder="1" applyAlignment="1">
      <alignment horizontal="center"/>
    </xf>
    <xf numFmtId="165" fontId="0" fillId="0" borderId="0" xfId="0" applyNumberFormat="1"/>
    <xf numFmtId="0" fontId="119" fillId="0" borderId="0" xfId="0" applyFont="1"/>
    <xf numFmtId="44" fontId="3" fillId="0" borderId="0" xfId="4" applyFont="1" applyBorder="1"/>
    <xf numFmtId="165" fontId="3" fillId="0" borderId="0" xfId="0" applyNumberFormat="1" applyFont="1" applyBorder="1"/>
    <xf numFmtId="165" fontId="3" fillId="0" borderId="0" xfId="0" applyNumberFormat="1" applyFont="1" applyFill="1" applyBorder="1" applyAlignment="1">
      <alignment horizontal="center"/>
    </xf>
    <xf numFmtId="6" fontId="50" fillId="11" borderId="0" xfId="0" applyNumberFormat="1" applyFont="1" applyFill="1" applyBorder="1" applyAlignment="1">
      <alignment horizontal="center"/>
    </xf>
    <xf numFmtId="165" fontId="2" fillId="0" borderId="0" xfId="0" applyNumberFormat="1" applyFont="1"/>
    <xf numFmtId="6" fontId="21" fillId="0" borderId="6" xfId="0" applyNumberFormat="1" applyFont="1" applyBorder="1" applyAlignment="1">
      <alignment horizontal="center"/>
    </xf>
    <xf numFmtId="6" fontId="21" fillId="0" borderId="13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65" fontId="3" fillId="0" borderId="21" xfId="0" applyNumberFormat="1" applyFont="1" applyBorder="1"/>
    <xf numFmtId="0" fontId="2" fillId="0" borderId="17" xfId="0" applyFont="1" applyBorder="1" applyAlignment="1">
      <alignment horizontal="left"/>
    </xf>
    <xf numFmtId="165" fontId="3" fillId="0" borderId="18" xfId="4" applyNumberFormat="1" applyFont="1" applyBorder="1"/>
    <xf numFmtId="0" fontId="19" fillId="11" borderId="0" xfId="0" applyFont="1" applyFill="1" applyAlignment="1">
      <alignment horizontal="center"/>
    </xf>
    <xf numFmtId="9" fontId="2" fillId="8" borderId="3" xfId="3" applyNumberFormat="1" applyFont="1" applyFill="1" applyBorder="1" applyAlignment="1">
      <alignment horizontal="right"/>
    </xf>
    <xf numFmtId="40" fontId="2" fillId="8" borderId="3" xfId="0" applyNumberFormat="1" applyFont="1" applyFill="1" applyBorder="1"/>
    <xf numFmtId="0" fontId="19" fillId="0" borderId="0" xfId="0" applyFont="1" applyFill="1" applyAlignment="1">
      <alignment horizontal="center"/>
    </xf>
    <xf numFmtId="164" fontId="0" fillId="0" borderId="0" xfId="21" applyNumberFormat="1" applyFont="1"/>
    <xf numFmtId="164" fontId="0" fillId="0" borderId="0" xfId="0" applyNumberFormat="1"/>
    <xf numFmtId="164" fontId="0" fillId="0" borderId="0" xfId="21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165" fontId="3" fillId="8" borderId="0" xfId="4" applyNumberFormat="1" applyFont="1" applyFill="1"/>
    <xf numFmtId="0" fontId="0" fillId="8" borderId="3" xfId="0" applyFill="1" applyBorder="1" applyAlignment="1">
      <alignment horizontal="center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2" fmlaLink="$AC$13" fmlaRange="$AC$9:$AC$12" noThreeD="1" sel="3"/>
</file>

<file path=xl/ctrlProps/ctrlProp6.xml><?xml version="1.0" encoding="utf-8"?>
<formControlPr xmlns="http://schemas.microsoft.com/office/spreadsheetml/2009/9/main" objectType="Drop" dropLines="3" dropStyle="combo" dx="22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D4148FB-4775-B02B-2E5D-76F66700D8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858F7C07-0EA8-A03B-7112-D8B2FB24F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7F181C24-7FDB-34E7-F6A5-07EA667340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D1729888-EDCB-746C-55EF-CDD38A1AF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200025</xdr:rowOff>
        </xdr:from>
        <xdr:to>
          <xdr:col>9</xdr:col>
          <xdr:colOff>0</xdr:colOff>
          <xdr:row>33</xdr:row>
          <xdr:rowOff>9525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48287C24-FC4A-B272-C454-4615D3CDBC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1209675</xdr:colOff>
          <xdr:row>29</xdr:row>
          <xdr:rowOff>0</xdr:rowOff>
        </xdr:from>
        <xdr:to>
          <xdr:col>8</xdr:col>
          <xdr:colOff>1181100</xdr:colOff>
          <xdr:row>30</xdr:row>
          <xdr:rowOff>19050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690C6B9E-FC8E-49CC-56AE-21E3C83E59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D61D6899-B20E-7942-5A63-E238FB8BB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Relationship Id="rId4" Type="http://schemas.openxmlformats.org/officeDocument/2006/relationships/ctrlProp" Target="../ctrlProps/ctrlProp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161</v>
      </c>
      <c r="C2" s="5"/>
    </row>
    <row r="3" spans="1:18" s="46" customFormat="1" ht="15.75"/>
    <row r="4" spans="1:18" s="46" customFormat="1" ht="18.75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.75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201</v>
      </c>
    </row>
    <row r="13" spans="1:18" s="46" customFormat="1" ht="15.75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270</v>
      </c>
    </row>
    <row r="28" spans="1:16" s="46" customFormat="1" ht="18.75">
      <c r="A28" s="281"/>
    </row>
    <row r="29" spans="1:16" s="46" customFormat="1" ht="15.75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99"/>
  <sheetViews>
    <sheetView zoomScale="75" zoomScaleNormal="75" workbookViewId="0">
      <selection activeCell="B32" sqref="B32"/>
    </sheetView>
  </sheetViews>
  <sheetFormatPr defaultRowHeight="12.75"/>
  <cols>
    <col min="1" max="1" width="45.5703125" style="12" customWidth="1"/>
    <col min="2" max="2" width="11.85546875" style="12" bestFit="1" customWidth="1"/>
    <col min="3" max="3" width="13.28515625" style="12" bestFit="1" customWidth="1"/>
    <col min="4" max="4" width="11.5703125" style="12" bestFit="1" customWidth="1"/>
    <col min="5" max="5" width="11.140625" style="12" bestFit="1" customWidth="1"/>
    <col min="6" max="8" width="11.5703125" style="12" bestFit="1" customWidth="1"/>
    <col min="9" max="9" width="11.140625" style="12" bestFit="1" customWidth="1"/>
    <col min="10" max="11" width="11.5703125" style="12" bestFit="1" customWidth="1"/>
    <col min="12" max="12" width="11.140625" style="12" bestFit="1" customWidth="1"/>
    <col min="13" max="13" width="10.7109375" style="12" bestFit="1" customWidth="1"/>
    <col min="14" max="16" width="11.140625" style="12" bestFit="1" customWidth="1"/>
    <col min="17" max="17" width="10.85546875" style="12" bestFit="1" customWidth="1"/>
    <col min="18" max="20" width="11.140625" style="12" bestFit="1" customWidth="1"/>
    <col min="21" max="21" width="10.85546875" style="12" bestFit="1" customWidth="1"/>
    <col min="22" max="22" width="11.5703125" style="12" bestFit="1" customWidth="1"/>
    <col min="23" max="23" width="11.140625" style="12" bestFit="1" customWidth="1"/>
    <col min="2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710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59"/>
      <c r="Y8" s="659"/>
      <c r="Z8" s="659"/>
      <c r="AA8" s="659"/>
      <c r="AB8" s="659"/>
      <c r="AC8" s="659"/>
      <c r="AD8" s="659"/>
      <c r="AE8" s="659"/>
      <c r="AF8" s="659"/>
      <c r="AG8" s="659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8.75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5">
        <v>0</v>
      </c>
      <c r="C11" s="65">
        <f>IS!C32</f>
        <v>6768.9999999999964</v>
      </c>
      <c r="D11" s="65">
        <f>IS!D32</f>
        <v>10416.430000000008</v>
      </c>
      <c r="E11" s="65">
        <f>IS!E32</f>
        <v>10368.562900000001</v>
      </c>
      <c r="F11" s="65">
        <f>IS!F32</f>
        <v>10319.361786999998</v>
      </c>
      <c r="G11" s="65">
        <f>IS!G32</f>
        <v>10268.788680610003</v>
      </c>
      <c r="H11" s="65">
        <f>IS!H32</f>
        <v>10216.804501828301</v>
      </c>
      <c r="I11" s="65">
        <f>IS!I32</f>
        <v>10163.369040899146</v>
      </c>
      <c r="J11" s="65">
        <f>IS!J32</f>
        <v>10108.44092422245</v>
      </c>
      <c r="K11" s="65">
        <f>IS!K32</f>
        <v>10051.977580287356</v>
      </c>
      <c r="L11" s="65">
        <f>IS!L32</f>
        <v>9993.935204600999</v>
      </c>
      <c r="M11" s="65">
        <f>IS!M32</f>
        <v>9934.2687235821395</v>
      </c>
      <c r="N11" s="65">
        <f>IS!N32</f>
        <v>9872.9317573895714</v>
      </c>
      <c r="O11" s="65">
        <f>IS!O32</f>
        <v>9809.8765816532323</v>
      </c>
      <c r="P11" s="65">
        <f>IS!P32</f>
        <v>9745.0540880756453</v>
      </c>
      <c r="Q11" s="65">
        <f>IS!Q32</f>
        <v>9678.41374387018</v>
      </c>
      <c r="R11" s="65">
        <f>IS!R32</f>
        <v>9609.9035500015925</v>
      </c>
      <c r="S11" s="65">
        <f>IS!S32</f>
        <v>9539.469998193279</v>
      </c>
      <c r="T11" s="65">
        <f>IS!T32</f>
        <v>9467.0580266645229</v>
      </c>
      <c r="U11" s="65">
        <f>IS!U32</f>
        <v>9392.6109745604226</v>
      </c>
      <c r="V11" s="65">
        <f>IS!V32</f>
        <v>9316.07053503512</v>
      </c>
      <c r="W11" s="65">
        <f>IS!W32</f>
        <v>2643.5950831576629</v>
      </c>
      <c r="X11" s="666"/>
      <c r="Y11" s="666"/>
      <c r="Z11" s="666"/>
      <c r="AA11" s="666"/>
      <c r="AB11" s="666"/>
      <c r="AC11" s="666"/>
      <c r="AD11" s="666"/>
      <c r="AE11" s="666"/>
      <c r="AF11" s="666"/>
      <c r="AG11" s="666"/>
    </row>
    <row r="12" spans="1:33">
      <c r="A12" s="45" t="s">
        <v>700</v>
      </c>
      <c r="B12" s="670">
        <v>0</v>
      </c>
      <c r="C12" s="695">
        <f>IF(Assumptions!$AC$14="10-Yr. Debt",-'Debt Structs'!D35,IF(Assumptions!$AC$14="7-Yr. Debt",-'Debt Structs'!I16,IF(Assumptions!$AC$14="Lease",-'Debt Structs'!N16,0)))</f>
        <v>-8357.8320000000003</v>
      </c>
      <c r="D12" s="695">
        <f>IF(Assumptions!$AC$14="10-Yr. Debt",-'Debt Structs'!D36,IF(Assumptions!$AC$14="7-Yr. Debt",-'Debt Structs'!I17,IF(Assumptions!$AC$14="Lease",-'Debt Structs'!N17,0)))</f>
        <v>-8357.8320000000003</v>
      </c>
      <c r="E12" s="695">
        <f>IF(Assumptions!$AC$14="10-Yr. Debt",-'Debt Structs'!D37,IF(Assumptions!$AC$14="7-Yr. Debt",-'Debt Structs'!I18,IF(Assumptions!$AC$14="Lease",-'Debt Structs'!N18,0)))</f>
        <v>-8357.8320000000003</v>
      </c>
      <c r="F12" s="695">
        <f>IF(Assumptions!$AC$14="10-Yr. Debt",-'Debt Structs'!D38,IF(Assumptions!$AC$14="7-Yr. Debt",-'Debt Structs'!I19,IF(Assumptions!$AC$14="Lease",-'Debt Structs'!N19,0)))</f>
        <v>-8357.8320000000003</v>
      </c>
      <c r="G12" s="695">
        <f>IF(Assumptions!$AC$14="10-Yr. Debt",-'Debt Structs'!D39,IF(Assumptions!$AC$14="7-Yr. Debt",-'Debt Structs'!I20,IF(Assumptions!$AC$14="Lease",-'Debt Structs'!N20,0)))</f>
        <v>-8357.8320000000003</v>
      </c>
      <c r="H12" s="719">
        <f>IF(Assumptions!$AC$14="10-Yr. Debt",-'Debt Structs'!D40,IF(Assumptions!$AC$14="7-Yr. Debt",-'Debt Structs'!I21,0))</f>
        <v>0</v>
      </c>
      <c r="I12" s="719">
        <f>IF(Assumptions!$AC$14="10-Yr. Debt",-'Debt Structs'!D41,IF(Assumptions!$AC$14="7-Yr. Debt",-'Debt Structs'!I22,0))</f>
        <v>0</v>
      </c>
      <c r="J12" s="719">
        <f>IF(Assumptions!$AC$14="Lease",0,IF(Assumptions!$AC$14="7-Yr. Debt",0,-'Debt Structs'!D42))</f>
        <v>0</v>
      </c>
      <c r="K12" s="719">
        <f>IF(Assumptions!$AC$14="Lease",0,IF(Assumptions!$AC$14="7-Yr. Debt",0,-'Debt Structs'!D43))</f>
        <v>0</v>
      </c>
      <c r="L12" s="719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702</v>
      </c>
      <c r="B13" s="719">
        <v>0</v>
      </c>
      <c r="C13" s="719">
        <v>0</v>
      </c>
      <c r="D13" s="719">
        <v>0</v>
      </c>
      <c r="E13" s="719">
        <v>0</v>
      </c>
      <c r="F13" s="719">
        <v>0</v>
      </c>
      <c r="G13" s="719">
        <v>0</v>
      </c>
      <c r="H13" s="670">
        <f>IF(Assumptions!AC14="Lease",-'Debt Structs'!D74,0)</f>
        <v>-7453.1209531575832</v>
      </c>
      <c r="I13" s="670">
        <f>IF(Assumptions!AC14="Lease",-'Debt Structs'!D75,0)</f>
        <v>-7194.2457159077358</v>
      </c>
      <c r="J13" s="670">
        <f>IF(Assumptions!AC14="Lease",-'Debt Structs'!D76,0)</f>
        <v>-6912.7188953985251</v>
      </c>
      <c r="K13" s="670">
        <f>IF(Assumptions!AC14="Lease",-'Debt Structs'!D77,0)</f>
        <v>-6606.5584780947593</v>
      </c>
      <c r="L13" s="670">
        <f>IF(Assumptions!AC14="Lease",-'Debt Structs'!D78,0)</f>
        <v>-6273.6090242769133</v>
      </c>
      <c r="M13" s="670">
        <f>IF(Assumptions!AC14="Lease",-'Debt Structs'!D79,0)</f>
        <v>-5911.5264932500058</v>
      </c>
      <c r="N13" s="670">
        <f>IF(Assumptions!AC14="Lease",-'Debt Structs'!D80,0)</f>
        <v>-5517.7617407582447</v>
      </c>
      <c r="O13" s="670">
        <f>IF(Assumptions!AC14="Lease",-'Debt Structs'!D81,0)</f>
        <v>-5089.5425724234537</v>
      </c>
      <c r="P13" s="670">
        <f>IF(Assumptions!AC14="Lease",-'Debt Structs'!D82,0)</f>
        <v>-4623.8542268593683</v>
      </c>
      <c r="Q13" s="670">
        <f>-IF(Assumptions!AC14="Lease",'Debt Structs'!D83,0)</f>
        <v>-4117.4181510584258</v>
      </c>
      <c r="R13" s="670">
        <f>IF(Assumptions!AC14="Lease",-'Debt Structs'!D84,0)</f>
        <v>-3566.6689186249009</v>
      </c>
      <c r="S13" s="670">
        <f>IF(Assumptions!AC14="Lease",-'Debt Structs'!D85,0)</f>
        <v>-2967.7291283534423</v>
      </c>
      <c r="T13" s="670">
        <f>IF(Assumptions!AC14="Lease",-'Debt Structs'!D86,0)</f>
        <v>-2316.3821064332315</v>
      </c>
      <c r="U13" s="670">
        <f>IF(Assumptions!AC14="Lease",-'Debt Structs'!D87,0)</f>
        <v>-1608.042220095002</v>
      </c>
      <c r="V13" s="670">
        <f>IF(Assumptions!AC14="Lease",-'Debt Structs'!D88,0)</f>
        <v>-837.72259370217762</v>
      </c>
      <c r="W13" s="719">
        <v>0</v>
      </c>
    </row>
    <row r="14" spans="1:33">
      <c r="A14" s="45" t="s">
        <v>697</v>
      </c>
      <c r="B14" s="696">
        <v>0</v>
      </c>
      <c r="C14" s="696">
        <v>0</v>
      </c>
      <c r="D14" s="696">
        <v>0</v>
      </c>
      <c r="E14" s="696">
        <v>0</v>
      </c>
      <c r="F14" s="696">
        <v>0</v>
      </c>
      <c r="G14" s="696">
        <v>0</v>
      </c>
      <c r="H14" s="696">
        <v>0</v>
      </c>
      <c r="I14" s="696">
        <v>0</v>
      </c>
      <c r="J14" s="667">
        <f>IF(Assumptions!AC14="7-Yr. Debt",-'Debt Structs'!J74,0)</f>
        <v>0</v>
      </c>
      <c r="K14" s="667">
        <f>IF(Assumptions!AC14="7-Yr. Debt",-'Debt Structs'!J75,0)</f>
        <v>0</v>
      </c>
      <c r="L14" s="667">
        <f>IF(Assumptions!AC14="7-Yr. Debt",-'Debt Structs'!J76,0)</f>
        <v>0</v>
      </c>
      <c r="M14" s="667">
        <f>IF(Assumptions!AC14="7-Yr. Debt",-'Debt Structs'!J77,0)</f>
        <v>0</v>
      </c>
      <c r="N14" s="667">
        <f>IF(Assumptions!AC14="7-Yr. Debt",-'Debt Structs'!J78,0)</f>
        <v>0</v>
      </c>
      <c r="O14" s="667">
        <f>IF(Assumptions!AC14="7-Yr. Debt",-'Debt Structs'!J79,0)</f>
        <v>0</v>
      </c>
      <c r="P14" s="667">
        <f>IF(Assumptions!AC14="7-Yr. Debt",-'Debt Structs'!J80,0)</f>
        <v>0</v>
      </c>
      <c r="Q14" s="667">
        <f>IF(Assumptions!AC14="7-Yr. Debt",-'Debt Structs'!J81,0)</f>
        <v>0</v>
      </c>
      <c r="R14" s="667">
        <f>IF(Assumptions!AC14="7-Yr. Debt",-'Debt Structs'!J82,0)</f>
        <v>0</v>
      </c>
      <c r="S14" s="667">
        <f>IF(Assumptions!AC14="7-Yr. Debt",-'Debt Structs'!J83,0)</f>
        <v>0</v>
      </c>
      <c r="T14" s="667">
        <f>IF(Assumptions!AC14="7-Yr. Debt",-'Debt Structs'!J84,0)</f>
        <v>0</v>
      </c>
      <c r="U14" s="667">
        <f>IF(Assumptions!AC14="7-Yr. Debt",-'Debt Structs'!J85,0)</f>
        <v>0</v>
      </c>
      <c r="V14" s="667">
        <f>IF(Assumptions!AC14="7-Yr. Debt",-'Debt Structs'!J86,0)</f>
        <v>0</v>
      </c>
      <c r="W14" s="696"/>
    </row>
    <row r="15" spans="1:33">
      <c r="A15" s="446" t="s">
        <v>348</v>
      </c>
      <c r="B15" s="723">
        <f>SUM(B11:B12)</f>
        <v>0</v>
      </c>
      <c r="C15" s="723">
        <f>SUM(C11:C14)</f>
        <v>-1588.832000000004</v>
      </c>
      <c r="D15" s="723">
        <f t="shared" ref="D15:W15" si="0">SUM(D11:D14)</f>
        <v>2058.5980000000072</v>
      </c>
      <c r="E15" s="723">
        <f t="shared" si="0"/>
        <v>2010.7309000000005</v>
      </c>
      <c r="F15" s="723">
        <f t="shared" si="0"/>
        <v>1961.5297869999977</v>
      </c>
      <c r="G15" s="723">
        <f t="shared" si="0"/>
        <v>1910.9566806100029</v>
      </c>
      <c r="H15" s="723">
        <f t="shared" si="0"/>
        <v>2763.6835486707178</v>
      </c>
      <c r="I15" s="723">
        <f t="shared" si="0"/>
        <v>2969.1233249914103</v>
      </c>
      <c r="J15" s="723">
        <f t="shared" si="0"/>
        <v>3195.722028823925</v>
      </c>
      <c r="K15" s="723">
        <f t="shared" si="0"/>
        <v>3445.4191021925963</v>
      </c>
      <c r="L15" s="723">
        <f t="shared" si="0"/>
        <v>3720.3261803240857</v>
      </c>
      <c r="M15" s="723">
        <f t="shared" si="0"/>
        <v>4022.7422303321337</v>
      </c>
      <c r="N15" s="723">
        <f t="shared" si="0"/>
        <v>4355.1700166313267</v>
      </c>
      <c r="O15" s="723">
        <f t="shared" si="0"/>
        <v>4720.3340092297785</v>
      </c>
      <c r="P15" s="723">
        <f t="shared" si="0"/>
        <v>5121.199861216277</v>
      </c>
      <c r="Q15" s="723">
        <f t="shared" si="0"/>
        <v>5560.9955928117542</v>
      </c>
      <c r="R15" s="723">
        <f t="shared" si="0"/>
        <v>6043.2346313766921</v>
      </c>
      <c r="S15" s="723">
        <f t="shared" si="0"/>
        <v>6571.7408698398367</v>
      </c>
      <c r="T15" s="723">
        <f t="shared" si="0"/>
        <v>7150.6759202312915</v>
      </c>
      <c r="U15" s="723">
        <f t="shared" si="0"/>
        <v>7784.5687544654211</v>
      </c>
      <c r="V15" s="723">
        <f t="shared" si="0"/>
        <v>8478.3479413329424</v>
      </c>
      <c r="W15" s="723">
        <f t="shared" si="0"/>
        <v>2643.5950831576629</v>
      </c>
    </row>
    <row r="16" spans="1:33">
      <c r="A16" s="45"/>
    </row>
    <row r="17" spans="1:23">
      <c r="A17" s="45" t="s">
        <v>349</v>
      </c>
      <c r="B17" s="668">
        <v>0</v>
      </c>
      <c r="C17" s="668">
        <f>-Taxes!B24-Taxes!B41</f>
        <v>0</v>
      </c>
      <c r="D17" s="668">
        <f>-Taxes!C24-Taxes!C41</f>
        <v>0</v>
      </c>
      <c r="E17" s="668">
        <f>-Taxes!D24-Taxes!D41</f>
        <v>0</v>
      </c>
      <c r="F17" s="668">
        <f>-Taxes!E24-Taxes!E41</f>
        <v>0</v>
      </c>
      <c r="G17" s="668">
        <f>-Taxes!F24-Taxes!F41</f>
        <v>0</v>
      </c>
      <c r="H17" s="668">
        <f>-Taxes!G24-Taxes!G41</f>
        <v>0</v>
      </c>
      <c r="I17" s="668">
        <f>-Taxes!H24-Taxes!H41</f>
        <v>0</v>
      </c>
      <c r="J17" s="668">
        <f>-Taxes!I24-Taxes!I41</f>
        <v>0</v>
      </c>
      <c r="K17" s="668">
        <f>-Taxes!J24-Taxes!J41</f>
        <v>0</v>
      </c>
      <c r="L17" s="668">
        <f>-Taxes!K24-Taxes!K41</f>
        <v>0</v>
      </c>
      <c r="M17" s="668">
        <f>-Taxes!L24-Taxes!L41</f>
        <v>0</v>
      </c>
      <c r="N17" s="668">
        <f>-Taxes!M24-Taxes!M41</f>
        <v>0</v>
      </c>
      <c r="O17" s="668">
        <f>-Taxes!N24-Taxes!N41</f>
        <v>0</v>
      </c>
      <c r="P17" s="668">
        <f>-Taxes!O24-Taxes!O41</f>
        <v>0</v>
      </c>
      <c r="Q17" s="668">
        <f>-Taxes!P24-Taxes!P41</f>
        <v>0</v>
      </c>
      <c r="R17" s="668">
        <f>-Taxes!Q24-Taxes!Q41</f>
        <v>0</v>
      </c>
      <c r="S17" s="668">
        <f>-Taxes!R24-Taxes!R41</f>
        <v>-62.965607616714919</v>
      </c>
      <c r="T17" s="668">
        <f>-Taxes!S24-Taxes!S41</f>
        <v>-1603.2450324361898</v>
      </c>
      <c r="U17" s="668">
        <f>-Taxes!T24-Taxes!T41</f>
        <v>-3714.7776404386468</v>
      </c>
      <c r="V17" s="668">
        <f>-Taxes!U24-Taxes!U41</f>
        <v>-3684.5058966063898</v>
      </c>
      <c r="W17" s="668">
        <f>-Taxes!V24-Taxes!V41</f>
        <v>-1045.5418553888555</v>
      </c>
    </row>
    <row r="18" spans="1:23">
      <c r="A18" s="45" t="s">
        <v>699</v>
      </c>
      <c r="B18" s="668">
        <v>0</v>
      </c>
      <c r="C18" s="670">
        <f>IF(Assumptions!$AC$14="10-Yr. Debt",-'Debt Structs'!E35,IF(Assumptions!$AC$14="7-Yr. Debt",-'Debt Structs'!J16,IF(Assumptions!$AC$14="Lease",-'Debt Structs'!O16,0)))</f>
        <v>0</v>
      </c>
      <c r="D18" s="670">
        <f>IF(Assumptions!$AC$14="10-Yr. Debt",-'Debt Structs'!E36,IF(Assumptions!$AC$14="7-Yr. Debt",-'Debt Structs'!J17,IF(Assumptions!$AC$14="Lease",-'Debt Structs'!O17,0)))</f>
        <v>0</v>
      </c>
      <c r="E18" s="670">
        <f>IF(Assumptions!$AC$14="10-Yr. Debt",-'Debt Structs'!E37,IF(Assumptions!$AC$14="7-Yr. Debt",-'Debt Structs'!J18,IF(Assumptions!$AC$14="Lease",-'Debt Structs'!O18,0)))</f>
        <v>0</v>
      </c>
      <c r="F18" s="670">
        <f>IF(Assumptions!$AC$14="10-Yr. Debt",-'Debt Structs'!E38,IF(Assumptions!$AC$14="7-Yr. Debt",-'Debt Structs'!J19,IF(Assumptions!$AC$14="Lease",-'Debt Structs'!O19,0)))</f>
        <v>0</v>
      </c>
      <c r="G18" s="670">
        <f>IF(Assumptions!$AC$14="10-Yr. Debt",-'Debt Structs'!E39,IF(Assumptions!$AC$14="7-Yr. Debt",-'Debt Structs'!J20,IF(Assumptions!$AC$14="Lease",-'Debt Structs'!O20,0)))</f>
        <v>0</v>
      </c>
      <c r="H18" s="670">
        <f>IF(Assumptions!$AC$14="10-Yr. Debt",-'Debt Structs'!E40,IF(Assumptions!$AC$14="7-Yr. Debt",-'Debt Structs'!J21,0))</f>
        <v>0</v>
      </c>
      <c r="I18" s="670">
        <f>IF(Assumptions!$AC$14="10-Yr. Debt",-'Debt Structs'!E41,IF(Assumptions!$AC$14="7-Yr. Debt",-'Debt Structs'!J22,0))</f>
        <v>0</v>
      </c>
      <c r="J18" s="670">
        <f>IF(Assumptions!$AC$14="Lease",0,IF(Assumptions!$AC$14="7-Yr. Debt",0,-'Debt Structs'!E42))</f>
        <v>0</v>
      </c>
      <c r="K18" s="670">
        <f>IF(Assumptions!$AC$14="Lease",0,IF(Assumptions!$AC$14="7-Yr. Debt",0,-'Debt Structs'!E43))</f>
        <v>0</v>
      </c>
      <c r="L18" s="670">
        <f>IF(Assumptions!$AC$14="Lease",0,IF(Assumptions!$AC$14="7-Yr. Debt",0,-'Debt Structs'!E44))</f>
        <v>0</v>
      </c>
    </row>
    <row r="19" spans="1:23">
      <c r="A19" s="45" t="s">
        <v>658</v>
      </c>
      <c r="B19" s="668">
        <v>0</v>
      </c>
      <c r="C19" s="668">
        <v>0</v>
      </c>
      <c r="D19" s="668">
        <v>0</v>
      </c>
      <c r="E19" s="668">
        <v>0</v>
      </c>
      <c r="F19" s="668">
        <v>0</v>
      </c>
      <c r="G19" s="668">
        <v>0</v>
      </c>
      <c r="H19" s="670">
        <f>IF(Assumptions!AC14="Lease",-'Debt Structs'!E74,0)</f>
        <v>-2958.5741399982699</v>
      </c>
      <c r="I19" s="670">
        <f>IF(Assumptions!AC14="Lease",-'Debt Structs'!E75,0)</f>
        <v>-3217.4493772481173</v>
      </c>
      <c r="J19" s="670">
        <f>IF(Assumptions!AC14="Lease",-'Debt Structs'!E76,0)</f>
        <v>-3498.976197757328</v>
      </c>
      <c r="K19" s="670">
        <f>IF(Assumptions!AC14="Lease",-'Debt Structs'!E77,0)</f>
        <v>-3805.1366150610938</v>
      </c>
      <c r="L19" s="670">
        <f>IF(Assumptions!AC14="Lease",-'Debt Structs'!E78,0)</f>
        <v>-4138.0860688789398</v>
      </c>
      <c r="M19" s="668">
        <f>IF(Assumptions!AC14="Lease",-'Debt Structs'!E79,0)</f>
        <v>-4500.1685999058473</v>
      </c>
      <c r="N19" s="668">
        <f>IF(Assumptions!AC14="Lease",-'Debt Structs'!E80,0)</f>
        <v>-4893.9333523976084</v>
      </c>
      <c r="O19" s="668">
        <f>IF(Assumptions!AC14="Lease",-'Debt Structs'!E81,0)</f>
        <v>-5322.1525207323994</v>
      </c>
      <c r="P19" s="668">
        <f>IF(Assumptions!AC14="Lease",-'Debt Structs'!E82,0)</f>
        <v>-5787.8408662964848</v>
      </c>
      <c r="Q19" s="668">
        <f>IF(Assumptions!AC14="Lease",-'Debt Structs'!E83,0)</f>
        <v>-6294.2769420974273</v>
      </c>
      <c r="R19" s="668">
        <f>IF(Assumptions!AC14="Lease",-'Debt Structs'!E84,0)</f>
        <v>-6845.0261745309526</v>
      </c>
      <c r="S19" s="668">
        <f>IF(Assumptions!AC14="Lease",-'Debt Structs'!E85,0)</f>
        <v>-7443.9659648024108</v>
      </c>
      <c r="T19" s="668">
        <f>IF(Assumptions!AC14="Lease",-'Debt Structs'!E86,0)</f>
        <v>-8095.3129867226216</v>
      </c>
      <c r="U19" s="668">
        <f>IF(Assumptions!AC14="Lease",-'Debt Structs'!E87,0)</f>
        <v>-8803.6528730608516</v>
      </c>
      <c r="V19" s="668">
        <f>IF(Assumptions!AC14="Lease",-'Debt Structs'!E88,0)</f>
        <v>-9573.9724994536755</v>
      </c>
      <c r="W19" s="665">
        <v>0</v>
      </c>
    </row>
    <row r="20" spans="1:23">
      <c r="A20" s="45" t="s">
        <v>696</v>
      </c>
      <c r="B20" s="668">
        <v>0</v>
      </c>
      <c r="C20" s="668">
        <v>0</v>
      </c>
      <c r="D20" s="668">
        <v>0</v>
      </c>
      <c r="E20" s="668">
        <v>0</v>
      </c>
      <c r="F20" s="668">
        <v>0</v>
      </c>
      <c r="G20" s="668">
        <v>0</v>
      </c>
      <c r="H20" s="668">
        <v>0</v>
      </c>
      <c r="I20" s="668">
        <v>0</v>
      </c>
      <c r="J20" s="670">
        <f>IF(Assumptions!AC14="7-Yr. Debt",-'Debt Structs'!K74,0)</f>
        <v>0</v>
      </c>
      <c r="K20" s="670">
        <f>IF(Assumptions!AC14="7-Yr. Debt",-'Debt Structs'!K75,0)</f>
        <v>0</v>
      </c>
      <c r="L20" s="670">
        <f>IF(Assumptions!AC14="7-Yr. Debt",-'Debt Structs'!K76,0)</f>
        <v>0</v>
      </c>
      <c r="M20" s="668">
        <f>IF(Assumptions!AC14="7-Yr. Debt",-'Debt Structs'!K77,0)</f>
        <v>0</v>
      </c>
      <c r="N20" s="668">
        <f>IF(Assumptions!AC14="7-Yr. Debt",-'Debt Structs'!K78,0)</f>
        <v>0</v>
      </c>
      <c r="O20" s="668">
        <f>IF(Assumptions!AC14="7-Yr. Debt",-'Debt Structs'!K79,0)</f>
        <v>0</v>
      </c>
      <c r="P20" s="668">
        <f>IF(Assumptions!AC14="7-Yr. Debt",-'Debt Structs'!K80,0)</f>
        <v>0</v>
      </c>
      <c r="Q20" s="668">
        <f>IF(Assumptions!AC14="7-Yr. Debt",-'Debt Structs'!K81,0)</f>
        <v>0</v>
      </c>
      <c r="R20" s="668">
        <f>IF(Assumptions!AC14="7-Yr. Debt",-'Debt Structs'!K82,0)</f>
        <v>0</v>
      </c>
      <c r="S20" s="668">
        <f>IF(Assumptions!AC14="7-Yr. Debt",-'Debt Structs'!K83,0)</f>
        <v>0</v>
      </c>
      <c r="T20" s="668">
        <f>IF(Assumptions!AC14="7-Yr. Debt",-'Debt Structs'!K84,0)</f>
        <v>0</v>
      </c>
      <c r="U20" s="668">
        <f>IF(Assumptions!AC14="7-Yr. Debt",-'Debt Structs'!K85,0)</f>
        <v>0</v>
      </c>
      <c r="V20" s="668">
        <f>IF(Assumptions!AC14="7-Yr. Debt",-'Debt Structs'!K86,0)</f>
        <v>0</v>
      </c>
      <c r="W20" s="665"/>
    </row>
    <row r="21" spans="1:23">
      <c r="A21" s="45" t="s">
        <v>713</v>
      </c>
      <c r="B21" s="668">
        <v>0</v>
      </c>
      <c r="C21" s="738">
        <f>IF(Assumptions!J33="Yes",-'Debt Structs'!O27,0)</f>
        <v>-4281.8231817265432</v>
      </c>
      <c r="D21" s="738">
        <f>IF(Assumptions!J33="Yes",-'Debt Structs'!O28,0)</f>
        <v>-4624.3690362646666</v>
      </c>
      <c r="E21" s="738">
        <f>IF(Assumptions!J33="Yes",-'Debt Structs'!O29,0)</f>
        <v>-4994.3185591658412</v>
      </c>
      <c r="F21" s="738">
        <f>IF(Assumptions!J33="Yes",-'Debt Structs'!O30,0)</f>
        <v>-5393.8640438991079</v>
      </c>
      <c r="G21" s="738">
        <f>IF(Assumptions!J33="Yes",-'Debt Structs'!O31,0)</f>
        <v>-5825.3731674110368</v>
      </c>
      <c r="H21" s="668"/>
      <c r="I21" s="668"/>
      <c r="J21" s="670"/>
      <c r="K21" s="670"/>
      <c r="L21" s="670"/>
      <c r="M21" s="668"/>
      <c r="N21" s="668"/>
      <c r="O21" s="668"/>
      <c r="P21" s="668"/>
      <c r="Q21" s="668"/>
      <c r="R21" s="668"/>
      <c r="S21" s="668"/>
      <c r="T21" s="668"/>
      <c r="U21" s="668"/>
      <c r="V21" s="668"/>
      <c r="W21" s="665"/>
    </row>
    <row r="22" spans="1:23">
      <c r="A22" s="45" t="s">
        <v>654</v>
      </c>
      <c r="B22" s="668">
        <v>0</v>
      </c>
      <c r="C22" s="670">
        <f>IF(Assumptions!$AC$14="Lease",IS!C34,0)</f>
        <v>4714.8666666666668</v>
      </c>
      <c r="D22" s="670">
        <f>IF(Assumptions!$AC$14="Lease",IS!D34,0)</f>
        <v>7072.2999999999993</v>
      </c>
      <c r="E22" s="670">
        <f>IF(Assumptions!$AC$14="Lease",IS!E34,0)</f>
        <v>7072.2999999999993</v>
      </c>
      <c r="F22" s="670">
        <f>IF(Assumptions!$AC$14="Lease",IS!F34,0)</f>
        <v>7072.2999999999993</v>
      </c>
      <c r="G22" s="670">
        <f>IF(Assumptions!$AC$14="Lease",IS!G34,0)</f>
        <v>7072.2999999999993</v>
      </c>
      <c r="H22" s="670">
        <v>0</v>
      </c>
      <c r="I22" s="670">
        <v>0</v>
      </c>
      <c r="J22" s="670">
        <v>0</v>
      </c>
      <c r="K22" s="670">
        <v>0</v>
      </c>
      <c r="L22" s="670">
        <v>0</v>
      </c>
    </row>
    <row r="23" spans="1:23">
      <c r="A23" s="45" t="s">
        <v>350</v>
      </c>
      <c r="B23" s="669">
        <v>0</v>
      </c>
      <c r="C23" s="669">
        <v>0</v>
      </c>
      <c r="D23" s="669">
        <v>0</v>
      </c>
      <c r="E23" s="669">
        <v>0</v>
      </c>
      <c r="F23" s="669">
        <v>0</v>
      </c>
      <c r="G23" s="669">
        <v>0</v>
      </c>
      <c r="H23" s="669">
        <v>0</v>
      </c>
      <c r="I23" s="669">
        <v>0</v>
      </c>
      <c r="J23" s="669">
        <v>0</v>
      </c>
      <c r="K23" s="669">
        <v>0</v>
      </c>
      <c r="L23" s="669">
        <v>0</v>
      </c>
      <c r="M23" s="669">
        <v>0</v>
      </c>
      <c r="N23" s="669">
        <v>0</v>
      </c>
      <c r="O23" s="669">
        <v>0</v>
      </c>
      <c r="P23" s="669">
        <v>0</v>
      </c>
      <c r="Q23" s="669">
        <v>0</v>
      </c>
      <c r="R23" s="669">
        <v>0</v>
      </c>
      <c r="S23" s="669">
        <v>0</v>
      </c>
      <c r="T23" s="669">
        <v>0</v>
      </c>
      <c r="U23" s="669">
        <v>0</v>
      </c>
      <c r="V23" s="669">
        <v>0</v>
      </c>
      <c r="W23" s="669">
        <v>0</v>
      </c>
    </row>
    <row r="24" spans="1:23">
      <c r="A24" s="446" t="s">
        <v>351</v>
      </c>
      <c r="B24" s="723">
        <f>B23+B18+B17+B15</f>
        <v>0</v>
      </c>
      <c r="C24" s="723">
        <f>C23+C22+C18+C17+C15+C21</f>
        <v>-1155.7885150598804</v>
      </c>
      <c r="D24" s="723">
        <f t="shared" ref="D24:W24" si="1">D23+D22+D18+D17+D15+D21</f>
        <v>4506.5289637353399</v>
      </c>
      <c r="E24" s="723">
        <f t="shared" si="1"/>
        <v>4088.7123408341586</v>
      </c>
      <c r="F24" s="723">
        <f t="shared" si="1"/>
        <v>3639.9657431008891</v>
      </c>
      <c r="G24" s="723">
        <f t="shared" si="1"/>
        <v>3157.8835131989654</v>
      </c>
      <c r="H24" s="723">
        <f t="shared" si="1"/>
        <v>2763.6835486707178</v>
      </c>
      <c r="I24" s="723">
        <f t="shared" si="1"/>
        <v>2969.1233249914103</v>
      </c>
      <c r="J24" s="723">
        <f t="shared" si="1"/>
        <v>3195.722028823925</v>
      </c>
      <c r="K24" s="723">
        <f t="shared" si="1"/>
        <v>3445.4191021925963</v>
      </c>
      <c r="L24" s="723">
        <f t="shared" si="1"/>
        <v>3720.3261803240857</v>
      </c>
      <c r="M24" s="723">
        <f t="shared" si="1"/>
        <v>4022.7422303321337</v>
      </c>
      <c r="N24" s="723">
        <f t="shared" si="1"/>
        <v>4355.1700166313267</v>
      </c>
      <c r="O24" s="723">
        <f t="shared" si="1"/>
        <v>4720.3340092297785</v>
      </c>
      <c r="P24" s="723">
        <f t="shared" si="1"/>
        <v>5121.199861216277</v>
      </c>
      <c r="Q24" s="723">
        <f t="shared" si="1"/>
        <v>5560.9955928117542</v>
      </c>
      <c r="R24" s="723">
        <f t="shared" si="1"/>
        <v>6043.2346313766921</v>
      </c>
      <c r="S24" s="723">
        <f t="shared" si="1"/>
        <v>6508.7752622231219</v>
      </c>
      <c r="T24" s="723">
        <f t="shared" si="1"/>
        <v>5547.4308877951016</v>
      </c>
      <c r="U24" s="723">
        <f t="shared" si="1"/>
        <v>4069.7911140267743</v>
      </c>
      <c r="V24" s="723">
        <f t="shared" si="1"/>
        <v>4793.8420447265526</v>
      </c>
      <c r="W24" s="723">
        <f t="shared" si="1"/>
        <v>1598.0532277688073</v>
      </c>
    </row>
    <row r="25" spans="1:23">
      <c r="A25" s="333"/>
    </row>
    <row r="26" spans="1:23">
      <c r="A26" s="386" t="s">
        <v>683</v>
      </c>
      <c r="B26" s="517">
        <v>0.5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330"/>
    </row>
    <row r="27" spans="1:23">
      <c r="A27" s="726" t="s">
        <v>679</v>
      </c>
      <c r="B27" s="720">
        <f>B24*$B$26</f>
        <v>0</v>
      </c>
      <c r="C27" s="720">
        <f t="shared" ref="C27:W27" si="2">C24*$B$26</f>
        <v>-577.89425752994021</v>
      </c>
      <c r="D27" s="720">
        <f t="shared" si="2"/>
        <v>2253.2644818676699</v>
      </c>
      <c r="E27" s="720">
        <f t="shared" si="2"/>
        <v>2044.3561704170793</v>
      </c>
      <c r="F27" s="720">
        <f t="shared" si="2"/>
        <v>1819.9828715504445</v>
      </c>
      <c r="G27" s="720">
        <f t="shared" si="2"/>
        <v>1578.9417565994827</v>
      </c>
      <c r="H27" s="720">
        <f t="shared" si="2"/>
        <v>1381.8417743353589</v>
      </c>
      <c r="I27" s="720">
        <f t="shared" si="2"/>
        <v>1484.5616624957051</v>
      </c>
      <c r="J27" s="720">
        <f t="shared" si="2"/>
        <v>1597.8610144119625</v>
      </c>
      <c r="K27" s="720">
        <f t="shared" si="2"/>
        <v>1722.7095510962981</v>
      </c>
      <c r="L27" s="720">
        <f t="shared" si="2"/>
        <v>1860.1630901620429</v>
      </c>
      <c r="M27" s="720">
        <f t="shared" si="2"/>
        <v>2011.3711151660668</v>
      </c>
      <c r="N27" s="720">
        <f t="shared" si="2"/>
        <v>2177.5850083156633</v>
      </c>
      <c r="O27" s="720">
        <f t="shared" si="2"/>
        <v>2360.1670046148893</v>
      </c>
      <c r="P27" s="720">
        <f t="shared" si="2"/>
        <v>2560.5999306081385</v>
      </c>
      <c r="Q27" s="720">
        <f t="shared" si="2"/>
        <v>2780.4977964058771</v>
      </c>
      <c r="R27" s="720">
        <f t="shared" si="2"/>
        <v>3021.617315688346</v>
      </c>
      <c r="S27" s="720">
        <f t="shared" si="2"/>
        <v>3254.3876311115609</v>
      </c>
      <c r="T27" s="720">
        <f t="shared" si="2"/>
        <v>2773.7154438975508</v>
      </c>
      <c r="U27" s="720">
        <f t="shared" si="2"/>
        <v>2034.8955570133871</v>
      </c>
      <c r="V27" s="720">
        <f t="shared" si="2"/>
        <v>2396.9210223632763</v>
      </c>
      <c r="W27" s="727">
        <f t="shared" si="2"/>
        <v>799.02661388440367</v>
      </c>
    </row>
    <row r="28" spans="1:23">
      <c r="A28" s="728" t="s">
        <v>680</v>
      </c>
      <c r="B28" s="707">
        <f>B25*$B$26</f>
        <v>0</v>
      </c>
      <c r="C28" s="667">
        <f>C24*(1-$B$26)</f>
        <v>-577.89425752994021</v>
      </c>
      <c r="D28" s="667">
        <f t="shared" ref="D28:W28" si="3">D24*(1-$B$26)</f>
        <v>2253.2644818676699</v>
      </c>
      <c r="E28" s="667">
        <f t="shared" si="3"/>
        <v>2044.3561704170793</v>
      </c>
      <c r="F28" s="667">
        <f t="shared" si="3"/>
        <v>1819.9828715504445</v>
      </c>
      <c r="G28" s="667">
        <f t="shared" si="3"/>
        <v>1578.9417565994827</v>
      </c>
      <c r="H28" s="667">
        <f t="shared" si="3"/>
        <v>1381.8417743353589</v>
      </c>
      <c r="I28" s="667">
        <f t="shared" si="3"/>
        <v>1484.5616624957051</v>
      </c>
      <c r="J28" s="667">
        <f t="shared" si="3"/>
        <v>1597.8610144119625</v>
      </c>
      <c r="K28" s="667">
        <f t="shared" si="3"/>
        <v>1722.7095510962981</v>
      </c>
      <c r="L28" s="667">
        <f t="shared" si="3"/>
        <v>1860.1630901620429</v>
      </c>
      <c r="M28" s="667">
        <f t="shared" si="3"/>
        <v>2011.3711151660668</v>
      </c>
      <c r="N28" s="667">
        <f t="shared" si="3"/>
        <v>2177.5850083156633</v>
      </c>
      <c r="O28" s="667">
        <f t="shared" si="3"/>
        <v>2360.1670046148893</v>
      </c>
      <c r="P28" s="667">
        <f t="shared" si="3"/>
        <v>2560.5999306081385</v>
      </c>
      <c r="Q28" s="667">
        <f t="shared" si="3"/>
        <v>2780.4977964058771</v>
      </c>
      <c r="R28" s="667">
        <f t="shared" si="3"/>
        <v>3021.617315688346</v>
      </c>
      <c r="S28" s="667">
        <f t="shared" si="3"/>
        <v>3254.3876311115609</v>
      </c>
      <c r="T28" s="667">
        <f t="shared" si="3"/>
        <v>2773.7154438975508</v>
      </c>
      <c r="U28" s="667">
        <f t="shared" si="3"/>
        <v>2034.8955570133871</v>
      </c>
      <c r="V28" s="667">
        <f t="shared" si="3"/>
        <v>2396.9210223632763</v>
      </c>
      <c r="W28" s="729">
        <f t="shared" si="3"/>
        <v>799.02661388440367</v>
      </c>
    </row>
    <row r="30" spans="1:23" ht="15.75">
      <c r="A30" s="730" t="s">
        <v>648</v>
      </c>
    </row>
    <row r="31" spans="1:23" ht="15.75">
      <c r="A31" s="733"/>
    </row>
    <row r="32" spans="1:23">
      <c r="A32" s="11" t="s">
        <v>653</v>
      </c>
      <c r="B32" s="732">
        <f>Assumptions!H54</f>
        <v>4.5</v>
      </c>
    </row>
    <row r="33" spans="1:23">
      <c r="A33" s="447"/>
    </row>
    <row r="34" spans="1:23">
      <c r="A34" s="229" t="s">
        <v>678</v>
      </c>
      <c r="C34" s="11">
        <v>1</v>
      </c>
      <c r="D34" s="11">
        <v>2</v>
      </c>
      <c r="E34" s="11">
        <v>3</v>
      </c>
      <c r="F34" s="11">
        <v>4</v>
      </c>
      <c r="G34" s="11">
        <v>5</v>
      </c>
      <c r="H34" s="11">
        <v>6</v>
      </c>
      <c r="I34" s="11">
        <v>7</v>
      </c>
      <c r="J34" s="11">
        <v>8</v>
      </c>
      <c r="K34" s="11">
        <v>9</v>
      </c>
      <c r="L34" s="11">
        <v>10</v>
      </c>
      <c r="M34" s="11">
        <v>11</v>
      </c>
      <c r="N34" s="11">
        <v>12</v>
      </c>
      <c r="O34" s="11">
        <v>13</v>
      </c>
      <c r="P34" s="11">
        <v>14</v>
      </c>
      <c r="Q34" s="11">
        <v>15</v>
      </c>
      <c r="R34" s="11">
        <v>16</v>
      </c>
      <c r="S34" s="11">
        <v>17</v>
      </c>
      <c r="T34" s="11">
        <v>18</v>
      </c>
      <c r="U34" s="11">
        <v>19</v>
      </c>
      <c r="V34" s="11">
        <v>20</v>
      </c>
      <c r="W34" s="11">
        <v>21</v>
      </c>
    </row>
    <row r="35" spans="1:23">
      <c r="A35" s="56" t="s">
        <v>354</v>
      </c>
      <c r="B35" s="668">
        <f>(-'Debt Structs'!E8)*B26</f>
        <v>-5804.05</v>
      </c>
      <c r="H35" s="708"/>
    </row>
    <row r="36" spans="1:23">
      <c r="A36" s="56" t="s">
        <v>353</v>
      </c>
      <c r="B36" s="36">
        <v>0</v>
      </c>
      <c r="C36" s="36">
        <f>C27</f>
        <v>-577.89425752994021</v>
      </c>
      <c r="D36" s="36">
        <f>D27</f>
        <v>2253.2644818676699</v>
      </c>
      <c r="E36" s="36">
        <f>E27</f>
        <v>2044.3561704170793</v>
      </c>
      <c r="F36" s="36">
        <f>F27</f>
        <v>1819.9828715504445</v>
      </c>
      <c r="G36" s="36">
        <f>G27</f>
        <v>1578.9417565994827</v>
      </c>
      <c r="H36" s="36">
        <f t="shared" ref="H36:W36" si="4">H27</f>
        <v>1381.8417743353589</v>
      </c>
      <c r="I36" s="36">
        <f t="shared" si="4"/>
        <v>1484.5616624957051</v>
      </c>
      <c r="J36" s="36">
        <f t="shared" si="4"/>
        <v>1597.8610144119625</v>
      </c>
      <c r="K36" s="36">
        <f t="shared" si="4"/>
        <v>1722.7095510962981</v>
      </c>
      <c r="L36" s="36">
        <f t="shared" si="4"/>
        <v>1860.1630901620429</v>
      </c>
      <c r="M36" s="36">
        <f t="shared" si="4"/>
        <v>2011.3711151660668</v>
      </c>
      <c r="N36" s="36">
        <f t="shared" si="4"/>
        <v>2177.5850083156633</v>
      </c>
      <c r="O36" s="36">
        <f t="shared" si="4"/>
        <v>2360.1670046148893</v>
      </c>
      <c r="P36" s="36">
        <f t="shared" si="4"/>
        <v>2560.5999306081385</v>
      </c>
      <c r="Q36" s="36">
        <f t="shared" si="4"/>
        <v>2780.4977964058771</v>
      </c>
      <c r="R36" s="36">
        <f t="shared" si="4"/>
        <v>3021.617315688346</v>
      </c>
      <c r="S36" s="36">
        <f t="shared" si="4"/>
        <v>3254.3876311115609</v>
      </c>
      <c r="T36" s="36">
        <f t="shared" si="4"/>
        <v>2773.7154438975508</v>
      </c>
      <c r="U36" s="36">
        <f t="shared" si="4"/>
        <v>2034.8955570133871</v>
      </c>
      <c r="V36" s="36">
        <f t="shared" si="4"/>
        <v>2396.9210223632763</v>
      </c>
      <c r="W36" s="36">
        <f t="shared" si="4"/>
        <v>799.02661388440367</v>
      </c>
    </row>
    <row r="37" spans="1:23">
      <c r="A37" s="56" t="s">
        <v>671</v>
      </c>
      <c r="B37" s="665">
        <v>0</v>
      </c>
      <c r="C37" s="665">
        <v>0</v>
      </c>
      <c r="D37" s="665">
        <v>0</v>
      </c>
      <c r="E37" s="665">
        <v>0</v>
      </c>
      <c r="F37" s="665">
        <v>0</v>
      </c>
      <c r="G37" s="668">
        <v>0</v>
      </c>
      <c r="H37" s="668">
        <v>0</v>
      </c>
      <c r="I37" s="668">
        <v>0</v>
      </c>
      <c r="J37" s="668">
        <v>0</v>
      </c>
      <c r="K37" s="668">
        <v>0</v>
      </c>
      <c r="L37" s="668">
        <v>0</v>
      </c>
      <c r="M37" s="668">
        <v>0</v>
      </c>
      <c r="N37" s="668">
        <v>0</v>
      </c>
      <c r="O37" s="668">
        <v>0</v>
      </c>
      <c r="P37" s="668">
        <v>0</v>
      </c>
      <c r="Q37" s="668">
        <v>0</v>
      </c>
      <c r="R37" s="668">
        <v>0</v>
      </c>
      <c r="S37" s="668">
        <v>0</v>
      </c>
      <c r="T37" s="668">
        <v>0</v>
      </c>
      <c r="U37" s="668">
        <v>0</v>
      </c>
      <c r="V37" s="668">
        <v>0</v>
      </c>
      <c r="W37" s="668">
        <v>0</v>
      </c>
    </row>
    <row r="38" spans="1:23">
      <c r="A38" s="56" t="s">
        <v>657</v>
      </c>
      <c r="B38" s="696">
        <v>0</v>
      </c>
      <c r="C38" s="696">
        <v>0</v>
      </c>
      <c r="D38" s="696">
        <v>0</v>
      </c>
      <c r="E38" s="696">
        <v>0</v>
      </c>
      <c r="F38" s="696">
        <v>0</v>
      </c>
      <c r="G38" s="696">
        <v>0</v>
      </c>
      <c r="H38" s="696">
        <v>0</v>
      </c>
      <c r="I38" s="696">
        <v>0</v>
      </c>
      <c r="J38" s="696">
        <v>0</v>
      </c>
      <c r="K38" s="696">
        <v>0</v>
      </c>
      <c r="L38" s="696">
        <v>0</v>
      </c>
      <c r="M38" s="696">
        <v>0</v>
      </c>
      <c r="N38" s="696">
        <v>0</v>
      </c>
      <c r="O38" s="696">
        <v>0</v>
      </c>
      <c r="P38" s="696">
        <v>0</v>
      </c>
      <c r="Q38" s="696">
        <v>0</v>
      </c>
      <c r="R38" s="696">
        <v>0</v>
      </c>
      <c r="S38" s="696">
        <v>0</v>
      </c>
      <c r="T38" s="696">
        <v>0</v>
      </c>
      <c r="U38" s="696">
        <v>0</v>
      </c>
      <c r="V38" s="696">
        <v>0</v>
      </c>
      <c r="W38" s="696">
        <v>0</v>
      </c>
    </row>
    <row r="39" spans="1:23">
      <c r="A39" s="62" t="s">
        <v>667</v>
      </c>
      <c r="B39" s="36">
        <f t="shared" ref="B39:G39" si="5">SUM(B35:B38)</f>
        <v>-5804.05</v>
      </c>
      <c r="C39" s="36">
        <f t="shared" si="5"/>
        <v>-577.89425752994021</v>
      </c>
      <c r="D39" s="36">
        <f t="shared" si="5"/>
        <v>2253.2644818676699</v>
      </c>
      <c r="E39" s="36">
        <f t="shared" si="5"/>
        <v>2044.3561704170793</v>
      </c>
      <c r="F39" s="36">
        <f t="shared" si="5"/>
        <v>1819.9828715504445</v>
      </c>
      <c r="G39" s="36">
        <f t="shared" si="5"/>
        <v>1578.9417565994827</v>
      </c>
    </row>
    <row r="40" spans="1:23">
      <c r="A40" s="62" t="s">
        <v>668</v>
      </c>
      <c r="B40" s="36">
        <f>SUM(B35:B38)</f>
        <v>-5804.05</v>
      </c>
      <c r="C40" s="36">
        <f>SUM(C35:C38)</f>
        <v>-577.89425752994021</v>
      </c>
      <c r="D40" s="36">
        <f>SUM(D35:D38)</f>
        <v>2253.2644818676699</v>
      </c>
      <c r="E40" s="36">
        <f>SUM(E35:E38)</f>
        <v>2044.3561704170793</v>
      </c>
      <c r="F40" s="36">
        <f>SUM(F35:F38)</f>
        <v>1819.9828715504445</v>
      </c>
      <c r="G40" s="36">
        <f>G36+G38</f>
        <v>1578.9417565994827</v>
      </c>
      <c r="H40" s="36">
        <f t="shared" ref="H40:W40" si="6">SUM(H35:H38)</f>
        <v>1381.8417743353589</v>
      </c>
      <c r="I40" s="36">
        <f t="shared" si="6"/>
        <v>1484.5616624957051</v>
      </c>
      <c r="J40" s="36">
        <f t="shared" si="6"/>
        <v>1597.8610144119625</v>
      </c>
      <c r="K40" s="36">
        <f t="shared" si="6"/>
        <v>1722.7095510962981</v>
      </c>
      <c r="L40" s="36">
        <f t="shared" si="6"/>
        <v>1860.1630901620429</v>
      </c>
      <c r="M40" s="36">
        <f t="shared" si="6"/>
        <v>2011.3711151660668</v>
      </c>
      <c r="N40" s="36">
        <f t="shared" si="6"/>
        <v>2177.5850083156633</v>
      </c>
      <c r="O40" s="36">
        <f t="shared" si="6"/>
        <v>2360.1670046148893</v>
      </c>
      <c r="P40" s="36">
        <f t="shared" si="6"/>
        <v>2560.5999306081385</v>
      </c>
      <c r="Q40" s="36">
        <f t="shared" si="6"/>
        <v>2780.4977964058771</v>
      </c>
      <c r="R40" s="36">
        <f t="shared" si="6"/>
        <v>3021.617315688346</v>
      </c>
      <c r="S40" s="36">
        <f t="shared" si="6"/>
        <v>3254.3876311115609</v>
      </c>
      <c r="T40" s="36">
        <f t="shared" si="6"/>
        <v>2773.7154438975508</v>
      </c>
      <c r="U40" s="36">
        <f t="shared" si="6"/>
        <v>2034.8955570133871</v>
      </c>
      <c r="V40" s="36">
        <f t="shared" si="6"/>
        <v>2396.9210223632763</v>
      </c>
      <c r="W40" s="36">
        <f t="shared" si="6"/>
        <v>799.02661388440367</v>
      </c>
    </row>
    <row r="41" spans="1:23">
      <c r="A41" s="5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>
      <c r="A42" s="62" t="s">
        <v>669</v>
      </c>
      <c r="B42" s="446" t="s">
        <v>1</v>
      </c>
      <c r="C42" s="703">
        <f>IRR(B39:G39)</f>
        <v>5.9692833239761725E-2</v>
      </c>
    </row>
    <row r="43" spans="1:23">
      <c r="A43" s="56"/>
      <c r="B43" s="11" t="s">
        <v>655</v>
      </c>
      <c r="C43" s="701">
        <f>NPV(0.15,B39:G39)</f>
        <v>-1246.0725987326057</v>
      </c>
    </row>
    <row r="44" spans="1:23">
      <c r="A44" s="62" t="s">
        <v>670</v>
      </c>
      <c r="B44" s="446" t="s">
        <v>1</v>
      </c>
      <c r="C44" s="702">
        <f>XIRR(B40:W40,B8:W8)</f>
        <v>0.22072154879570008</v>
      </c>
    </row>
    <row r="45" spans="1:23">
      <c r="A45" s="45"/>
      <c r="B45" s="11" t="s">
        <v>655</v>
      </c>
      <c r="C45" s="701">
        <f>NPV(0.15,B40:W40)</f>
        <v>3741.0775425398924</v>
      </c>
    </row>
    <row r="46" spans="1:23">
      <c r="A46" s="45"/>
    </row>
    <row r="47" spans="1:23">
      <c r="A47" s="229" t="s">
        <v>681</v>
      </c>
    </row>
    <row r="48" spans="1:23">
      <c r="A48" s="56" t="s">
        <v>354</v>
      </c>
      <c r="B48" s="36">
        <f>(-'Debt Structs'!E8)*(1-'Cash Flows'!B26)</f>
        <v>-5804.05</v>
      </c>
    </row>
    <row r="49" spans="1:23">
      <c r="A49" s="56" t="s">
        <v>353</v>
      </c>
      <c r="B49" s="36">
        <f t="shared" ref="B49:Q50" si="7">B36</f>
        <v>0</v>
      </c>
      <c r="C49" s="36">
        <f>C28</f>
        <v>-577.89425752994021</v>
      </c>
      <c r="D49" s="36">
        <f t="shared" ref="D49:W49" si="8">D28</f>
        <v>2253.2644818676699</v>
      </c>
      <c r="E49" s="36">
        <f t="shared" si="8"/>
        <v>2044.3561704170793</v>
      </c>
      <c r="F49" s="36">
        <f t="shared" si="8"/>
        <v>1819.9828715504445</v>
      </c>
      <c r="G49" s="36">
        <f t="shared" si="8"/>
        <v>1578.9417565994827</v>
      </c>
      <c r="H49" s="36">
        <f t="shared" si="8"/>
        <v>1381.8417743353589</v>
      </c>
      <c r="I49" s="36">
        <f t="shared" si="8"/>
        <v>1484.5616624957051</v>
      </c>
      <c r="J49" s="36">
        <f t="shared" si="8"/>
        <v>1597.8610144119625</v>
      </c>
      <c r="K49" s="36">
        <f t="shared" si="8"/>
        <v>1722.7095510962981</v>
      </c>
      <c r="L49" s="36">
        <f t="shared" si="8"/>
        <v>1860.1630901620429</v>
      </c>
      <c r="M49" s="36">
        <f t="shared" si="8"/>
        <v>2011.3711151660668</v>
      </c>
      <c r="N49" s="36">
        <f t="shared" si="8"/>
        <v>2177.5850083156633</v>
      </c>
      <c r="O49" s="36">
        <f t="shared" si="8"/>
        <v>2360.1670046148893</v>
      </c>
      <c r="P49" s="36">
        <f t="shared" si="8"/>
        <v>2560.5999306081385</v>
      </c>
      <c r="Q49" s="36">
        <f t="shared" si="8"/>
        <v>2780.4977964058771</v>
      </c>
      <c r="R49" s="36">
        <f t="shared" si="8"/>
        <v>3021.617315688346</v>
      </c>
      <c r="S49" s="36">
        <f t="shared" si="8"/>
        <v>3254.3876311115609</v>
      </c>
      <c r="T49" s="36">
        <f t="shared" si="8"/>
        <v>2773.7154438975508</v>
      </c>
      <c r="U49" s="36">
        <f t="shared" si="8"/>
        <v>2034.8955570133871</v>
      </c>
      <c r="V49" s="36">
        <f t="shared" si="8"/>
        <v>2396.9210223632763</v>
      </c>
      <c r="W49" s="36">
        <f t="shared" si="8"/>
        <v>799.02661388440367</v>
      </c>
    </row>
    <row r="50" spans="1:23">
      <c r="A50" s="56" t="s">
        <v>671</v>
      </c>
      <c r="B50" s="36">
        <f t="shared" si="7"/>
        <v>0</v>
      </c>
      <c r="C50" s="36">
        <f t="shared" si="7"/>
        <v>0</v>
      </c>
      <c r="D50" s="36">
        <f t="shared" si="7"/>
        <v>0</v>
      </c>
      <c r="E50" s="36">
        <f t="shared" si="7"/>
        <v>0</v>
      </c>
      <c r="F50" s="36">
        <f t="shared" si="7"/>
        <v>0</v>
      </c>
      <c r="G50" s="36">
        <f t="shared" si="7"/>
        <v>0</v>
      </c>
      <c r="H50" s="36">
        <f t="shared" si="7"/>
        <v>0</v>
      </c>
      <c r="I50" s="36">
        <f t="shared" si="7"/>
        <v>0</v>
      </c>
      <c r="J50" s="36">
        <f t="shared" si="7"/>
        <v>0</v>
      </c>
      <c r="K50" s="36">
        <f t="shared" si="7"/>
        <v>0</v>
      </c>
      <c r="L50" s="36">
        <f t="shared" si="7"/>
        <v>0</v>
      </c>
      <c r="M50" s="36">
        <f t="shared" si="7"/>
        <v>0</v>
      </c>
      <c r="N50" s="36">
        <f t="shared" si="7"/>
        <v>0</v>
      </c>
      <c r="O50" s="36">
        <f t="shared" si="7"/>
        <v>0</v>
      </c>
      <c r="P50" s="36">
        <f t="shared" si="7"/>
        <v>0</v>
      </c>
      <c r="Q50" s="36">
        <f t="shared" si="7"/>
        <v>0</v>
      </c>
      <c r="R50" s="36">
        <f t="shared" ref="R50:W50" si="9">R37</f>
        <v>0</v>
      </c>
      <c r="S50" s="36">
        <f t="shared" si="9"/>
        <v>0</v>
      </c>
      <c r="T50" s="36">
        <f t="shared" si="9"/>
        <v>0</v>
      </c>
      <c r="U50" s="36">
        <f t="shared" si="9"/>
        <v>0</v>
      </c>
      <c r="V50" s="36">
        <f t="shared" si="9"/>
        <v>0</v>
      </c>
      <c r="W50" s="36">
        <f t="shared" si="9"/>
        <v>0</v>
      </c>
    </row>
    <row r="51" spans="1:23">
      <c r="A51" s="56" t="s">
        <v>659</v>
      </c>
      <c r="B51" s="707">
        <f>B38</f>
        <v>0</v>
      </c>
      <c r="C51" s="707">
        <f t="shared" ref="C51:W51" si="10">C38</f>
        <v>0</v>
      </c>
      <c r="D51" s="707">
        <f t="shared" si="10"/>
        <v>0</v>
      </c>
      <c r="E51" s="707">
        <f t="shared" si="10"/>
        <v>0</v>
      </c>
      <c r="F51" s="707">
        <f t="shared" si="10"/>
        <v>0</v>
      </c>
      <c r="G51" s="707">
        <f t="shared" si="10"/>
        <v>0</v>
      </c>
      <c r="H51" s="707">
        <f t="shared" si="10"/>
        <v>0</v>
      </c>
      <c r="I51" s="707">
        <f t="shared" si="10"/>
        <v>0</v>
      </c>
      <c r="J51" s="707">
        <f t="shared" si="10"/>
        <v>0</v>
      </c>
      <c r="K51" s="707">
        <f t="shared" si="10"/>
        <v>0</v>
      </c>
      <c r="L51" s="707">
        <f t="shared" si="10"/>
        <v>0</v>
      </c>
      <c r="M51" s="707">
        <f t="shared" si="10"/>
        <v>0</v>
      </c>
      <c r="N51" s="707">
        <f t="shared" si="10"/>
        <v>0</v>
      </c>
      <c r="O51" s="707">
        <f t="shared" si="10"/>
        <v>0</v>
      </c>
      <c r="P51" s="707">
        <f t="shared" si="10"/>
        <v>0</v>
      </c>
      <c r="Q51" s="707">
        <f t="shared" si="10"/>
        <v>0</v>
      </c>
      <c r="R51" s="707">
        <f t="shared" si="10"/>
        <v>0</v>
      </c>
      <c r="S51" s="707">
        <f t="shared" si="10"/>
        <v>0</v>
      </c>
      <c r="T51" s="707">
        <f t="shared" si="10"/>
        <v>0</v>
      </c>
      <c r="U51" s="707">
        <f t="shared" si="10"/>
        <v>0</v>
      </c>
      <c r="V51" s="707">
        <f t="shared" si="10"/>
        <v>0</v>
      </c>
      <c r="W51" s="707">
        <f t="shared" si="10"/>
        <v>0</v>
      </c>
    </row>
    <row r="52" spans="1:23">
      <c r="A52" s="62" t="s">
        <v>667</v>
      </c>
      <c r="B52" s="36">
        <f t="shared" ref="B52:G52" si="11">SUM(B48:B51)</f>
        <v>-5804.05</v>
      </c>
      <c r="C52" s="36">
        <f t="shared" si="11"/>
        <v>-577.89425752994021</v>
      </c>
      <c r="D52" s="36">
        <f t="shared" si="11"/>
        <v>2253.2644818676699</v>
      </c>
      <c r="E52" s="36">
        <f t="shared" si="11"/>
        <v>2044.3561704170793</v>
      </c>
      <c r="F52" s="36">
        <f t="shared" si="11"/>
        <v>1819.9828715504445</v>
      </c>
      <c r="G52" s="36">
        <f t="shared" si="11"/>
        <v>1578.9417565994827</v>
      </c>
    </row>
    <row r="53" spans="1:23">
      <c r="A53" s="62" t="s">
        <v>668</v>
      </c>
      <c r="B53" s="36">
        <f>SUM(B48:B51)</f>
        <v>-5804.05</v>
      </c>
      <c r="C53" s="36">
        <f t="shared" ref="C53:W53" si="12">SUM(C48:C51)</f>
        <v>-577.89425752994021</v>
      </c>
      <c r="D53" s="36">
        <f t="shared" si="12"/>
        <v>2253.2644818676699</v>
      </c>
      <c r="E53" s="36">
        <f t="shared" si="12"/>
        <v>2044.3561704170793</v>
      </c>
      <c r="F53" s="36">
        <f t="shared" si="12"/>
        <v>1819.9828715504445</v>
      </c>
      <c r="G53" s="36">
        <f t="shared" si="12"/>
        <v>1578.9417565994827</v>
      </c>
      <c r="H53" s="36">
        <f t="shared" si="12"/>
        <v>1381.8417743353589</v>
      </c>
      <c r="I53" s="36">
        <f t="shared" si="12"/>
        <v>1484.5616624957051</v>
      </c>
      <c r="J53" s="36">
        <f t="shared" si="12"/>
        <v>1597.8610144119625</v>
      </c>
      <c r="K53" s="36">
        <f t="shared" si="12"/>
        <v>1722.7095510962981</v>
      </c>
      <c r="L53" s="36">
        <f t="shared" si="12"/>
        <v>1860.1630901620429</v>
      </c>
      <c r="M53" s="36">
        <f t="shared" si="12"/>
        <v>2011.3711151660668</v>
      </c>
      <c r="N53" s="36">
        <f t="shared" si="12"/>
        <v>2177.5850083156633</v>
      </c>
      <c r="O53" s="36">
        <f t="shared" si="12"/>
        <v>2360.1670046148893</v>
      </c>
      <c r="P53" s="36">
        <f t="shared" si="12"/>
        <v>2560.5999306081385</v>
      </c>
      <c r="Q53" s="36">
        <f t="shared" si="12"/>
        <v>2780.4977964058771</v>
      </c>
      <c r="R53" s="36">
        <f t="shared" si="12"/>
        <v>3021.617315688346</v>
      </c>
      <c r="S53" s="36">
        <f t="shared" si="12"/>
        <v>3254.3876311115609</v>
      </c>
      <c r="T53" s="36">
        <f t="shared" si="12"/>
        <v>2773.7154438975508</v>
      </c>
      <c r="U53" s="36">
        <f t="shared" si="12"/>
        <v>2034.8955570133871</v>
      </c>
      <c r="V53" s="36">
        <f t="shared" si="12"/>
        <v>2396.9210223632763</v>
      </c>
      <c r="W53" s="36">
        <f t="shared" si="12"/>
        <v>799.02661388440367</v>
      </c>
    </row>
    <row r="54" spans="1:23">
      <c r="A54" s="45"/>
    </row>
    <row r="55" spans="1:23">
      <c r="A55" s="62" t="s">
        <v>669</v>
      </c>
      <c r="B55" s="446" t="s">
        <v>1</v>
      </c>
      <c r="C55" s="703">
        <f>IRR(B52:G52)</f>
        <v>5.9692833239761725E-2</v>
      </c>
    </row>
    <row r="56" spans="1:23">
      <c r="A56" s="56"/>
      <c r="B56" s="11" t="s">
        <v>655</v>
      </c>
      <c r="C56" s="701">
        <f>NPV(0.15,B52:G52)</f>
        <v>-1246.0725987326057</v>
      </c>
    </row>
    <row r="57" spans="1:23">
      <c r="A57" s="62" t="s">
        <v>670</v>
      </c>
      <c r="B57" s="446" t="s">
        <v>1</v>
      </c>
      <c r="C57" s="702">
        <f>XIRR(B53:W53,B8:W8)</f>
        <v>0.22072154879570008</v>
      </c>
    </row>
    <row r="58" spans="1:23">
      <c r="A58" s="45"/>
      <c r="B58" s="11" t="s">
        <v>655</v>
      </c>
      <c r="C58" s="701">
        <f>NPV(0.15,B53:W53)</f>
        <v>3741.0775425398924</v>
      </c>
    </row>
    <row r="59" spans="1:23" s="42" customFormat="1" ht="13.5" thickBot="1">
      <c r="A59" s="709"/>
    </row>
    <row r="60" spans="1:23" s="13" customFormat="1">
      <c r="A60" s="56"/>
    </row>
    <row r="61" spans="1:23" ht="15.75">
      <c r="A61" s="730" t="s">
        <v>698</v>
      </c>
    </row>
    <row r="62" spans="1:23" ht="15.75">
      <c r="A62" s="706"/>
    </row>
    <row r="63" spans="1:23" ht="15" customHeight="1">
      <c r="A63" s="11" t="s">
        <v>683</v>
      </c>
      <c r="B63" s="731">
        <v>0.5</v>
      </c>
    </row>
    <row r="64" spans="1:23">
      <c r="A64" s="11" t="s">
        <v>653</v>
      </c>
      <c r="B64" s="732">
        <f>Assumptions!H54</f>
        <v>4.5</v>
      </c>
    </row>
    <row r="65" spans="1:23">
      <c r="A65" s="11"/>
    </row>
    <row r="66" spans="1:23">
      <c r="A66" s="229" t="s">
        <v>678</v>
      </c>
      <c r="C66" s="11">
        <v>1</v>
      </c>
      <c r="D66" s="11">
        <v>2</v>
      </c>
      <c r="E66" s="11">
        <v>3</v>
      </c>
      <c r="F66" s="1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1">
        <v>11</v>
      </c>
      <c r="N66" s="11">
        <v>12</v>
      </c>
      <c r="O66" s="11">
        <v>13</v>
      </c>
      <c r="P66" s="11">
        <v>14</v>
      </c>
      <c r="Q66" s="11">
        <v>15</v>
      </c>
      <c r="R66" s="11">
        <v>16</v>
      </c>
      <c r="S66" s="11">
        <v>17</v>
      </c>
      <c r="T66" s="11">
        <v>18</v>
      </c>
      <c r="U66" s="11">
        <v>19</v>
      </c>
      <c r="V66" s="11">
        <v>20</v>
      </c>
      <c r="W66" s="11">
        <v>21</v>
      </c>
    </row>
    <row r="67" spans="1:23">
      <c r="A67" s="56" t="s">
        <v>354</v>
      </c>
      <c r="B67" s="668">
        <f>-'Debt Structs'!D64*B63</f>
        <v>-17412.149999999998</v>
      </c>
      <c r="W67" s="13"/>
    </row>
    <row r="68" spans="1:23">
      <c r="A68" s="56" t="s">
        <v>353</v>
      </c>
      <c r="B68" s="36">
        <f>B27</f>
        <v>0</v>
      </c>
      <c r="C68" s="36">
        <f t="shared" ref="C68:V68" si="13">C27</f>
        <v>-577.89425752994021</v>
      </c>
      <c r="D68" s="36">
        <f t="shared" si="13"/>
        <v>2253.2644818676699</v>
      </c>
      <c r="E68" s="36">
        <f t="shared" si="13"/>
        <v>2044.3561704170793</v>
      </c>
      <c r="F68" s="36">
        <f t="shared" si="13"/>
        <v>1819.9828715504445</v>
      </c>
      <c r="G68" s="36">
        <f t="shared" si="13"/>
        <v>1578.9417565994827</v>
      </c>
      <c r="H68" s="36">
        <f t="shared" si="13"/>
        <v>1381.8417743353589</v>
      </c>
      <c r="I68" s="36">
        <f t="shared" si="13"/>
        <v>1484.5616624957051</v>
      </c>
      <c r="J68" s="36">
        <f t="shared" si="13"/>
        <v>1597.8610144119625</v>
      </c>
      <c r="K68" s="36">
        <f t="shared" si="13"/>
        <v>1722.7095510962981</v>
      </c>
      <c r="L68" s="36">
        <f t="shared" si="13"/>
        <v>1860.1630901620429</v>
      </c>
      <c r="M68" s="36">
        <f t="shared" si="13"/>
        <v>2011.3711151660668</v>
      </c>
      <c r="N68" s="36">
        <f t="shared" si="13"/>
        <v>2177.5850083156633</v>
      </c>
      <c r="O68" s="36">
        <f t="shared" si="13"/>
        <v>2360.1670046148893</v>
      </c>
      <c r="P68" s="36">
        <f t="shared" si="13"/>
        <v>2560.5999306081385</v>
      </c>
      <c r="Q68" s="36">
        <f t="shared" si="13"/>
        <v>2780.4977964058771</v>
      </c>
      <c r="R68" s="36">
        <f t="shared" si="13"/>
        <v>3021.617315688346</v>
      </c>
      <c r="S68" s="36">
        <f t="shared" si="13"/>
        <v>3254.3876311115609</v>
      </c>
      <c r="T68" s="36">
        <f t="shared" si="13"/>
        <v>2773.7154438975508</v>
      </c>
      <c r="U68" s="36">
        <f t="shared" si="13"/>
        <v>2034.8955570133871</v>
      </c>
      <c r="V68" s="36">
        <f t="shared" si="13"/>
        <v>2396.9210223632763</v>
      </c>
      <c r="W68" s="36">
        <f>W27</f>
        <v>799.02661388440367</v>
      </c>
    </row>
    <row r="69" spans="1:23">
      <c r="A69" s="56" t="s">
        <v>650</v>
      </c>
      <c r="B69" s="696">
        <v>0</v>
      </c>
      <c r="C69" s="696">
        <v>0</v>
      </c>
      <c r="D69" s="696">
        <v>0</v>
      </c>
      <c r="E69" s="696">
        <v>0</v>
      </c>
      <c r="F69" s="696">
        <v>0</v>
      </c>
      <c r="G69" s="696">
        <v>0</v>
      </c>
      <c r="H69" s="696">
        <v>0</v>
      </c>
      <c r="I69" s="667">
        <v>0</v>
      </c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3">
      <c r="A70" s="62" t="s">
        <v>677</v>
      </c>
      <c r="B70" s="36">
        <f t="shared" ref="B70:I70" si="14">SUM(B67:B69)</f>
        <v>-17412.149999999998</v>
      </c>
      <c r="C70" s="36">
        <f t="shared" si="14"/>
        <v>-577.89425752994021</v>
      </c>
      <c r="D70" s="36">
        <f t="shared" si="14"/>
        <v>2253.2644818676699</v>
      </c>
      <c r="E70" s="36">
        <f t="shared" si="14"/>
        <v>2044.3561704170793</v>
      </c>
      <c r="F70" s="36">
        <f t="shared" si="14"/>
        <v>1819.9828715504445</v>
      </c>
      <c r="G70" s="36">
        <f t="shared" si="14"/>
        <v>1578.9417565994827</v>
      </c>
      <c r="H70" s="36">
        <f t="shared" si="14"/>
        <v>1381.8417743353589</v>
      </c>
      <c r="I70" s="36">
        <f t="shared" si="14"/>
        <v>1484.5616624957051</v>
      </c>
    </row>
    <row r="71" spans="1:23">
      <c r="A71" s="62" t="s">
        <v>668</v>
      </c>
      <c r="B71" s="36">
        <f>SUM(B67:B69)</f>
        <v>-17412.149999999998</v>
      </c>
      <c r="C71" s="36">
        <f t="shared" ref="C71:V71" si="15">SUM(C67:C69)</f>
        <v>-577.89425752994021</v>
      </c>
      <c r="D71" s="36">
        <f t="shared" si="15"/>
        <v>2253.2644818676699</v>
      </c>
      <c r="E71" s="36">
        <f t="shared" si="15"/>
        <v>2044.3561704170793</v>
      </c>
      <c r="F71" s="36">
        <f t="shared" si="15"/>
        <v>1819.9828715504445</v>
      </c>
      <c r="G71" s="36">
        <f t="shared" si="15"/>
        <v>1578.9417565994827</v>
      </c>
      <c r="H71" s="36">
        <f t="shared" si="15"/>
        <v>1381.8417743353589</v>
      </c>
      <c r="I71" s="36">
        <f t="shared" si="15"/>
        <v>1484.5616624957051</v>
      </c>
      <c r="J71" s="36">
        <f t="shared" si="15"/>
        <v>1597.8610144119625</v>
      </c>
      <c r="K71" s="36">
        <f t="shared" si="15"/>
        <v>1722.7095510962981</v>
      </c>
      <c r="L71" s="36">
        <f t="shared" si="15"/>
        <v>1860.1630901620429</v>
      </c>
      <c r="M71" s="36">
        <f t="shared" si="15"/>
        <v>2011.3711151660668</v>
      </c>
      <c r="N71" s="36">
        <f t="shared" si="15"/>
        <v>2177.5850083156633</v>
      </c>
      <c r="O71" s="36">
        <f t="shared" si="15"/>
        <v>2360.1670046148893</v>
      </c>
      <c r="P71" s="36">
        <f t="shared" si="15"/>
        <v>2560.5999306081385</v>
      </c>
      <c r="Q71" s="36">
        <f t="shared" si="15"/>
        <v>2780.4977964058771</v>
      </c>
      <c r="R71" s="36">
        <f t="shared" si="15"/>
        <v>3021.617315688346</v>
      </c>
      <c r="S71" s="36">
        <f t="shared" si="15"/>
        <v>3254.3876311115609</v>
      </c>
      <c r="T71" s="36">
        <f t="shared" si="15"/>
        <v>2773.7154438975508</v>
      </c>
      <c r="U71" s="36">
        <f t="shared" si="15"/>
        <v>2034.8955570133871</v>
      </c>
      <c r="V71" s="36">
        <f t="shared" si="15"/>
        <v>2396.9210223632763</v>
      </c>
      <c r="W71" s="36">
        <f>SUM(W67:W69)</f>
        <v>799.02661388440367</v>
      </c>
    </row>
    <row r="72" spans="1:23">
      <c r="A72" s="56"/>
      <c r="B72" s="36"/>
      <c r="C72" s="36"/>
      <c r="D72" s="36"/>
      <c r="E72" s="36"/>
      <c r="F72" s="36"/>
      <c r="G72" s="36"/>
      <c r="H72" s="36"/>
      <c r="I72" s="36"/>
      <c r="W72" s="13"/>
    </row>
    <row r="73" spans="1:23">
      <c r="A73" s="62" t="s">
        <v>672</v>
      </c>
      <c r="B73" s="446" t="s">
        <v>1</v>
      </c>
      <c r="C73" s="688">
        <f>XIRR(B70:I70,B8:I8)</f>
        <v>-0.10292324908077716</v>
      </c>
      <c r="W73" s="13"/>
    </row>
    <row r="74" spans="1:23">
      <c r="A74" s="13"/>
      <c r="B74" s="11" t="s">
        <v>655</v>
      </c>
      <c r="C74" s="691">
        <f>NPV(0.15,B70:I70)</f>
        <v>-10335.281251593033</v>
      </c>
      <c r="W74" s="13"/>
    </row>
    <row r="75" spans="1:23">
      <c r="A75" s="43" t="s">
        <v>670</v>
      </c>
      <c r="B75" s="446" t="s">
        <v>1</v>
      </c>
      <c r="C75" s="702">
        <f>XIRR(B71:V71,B8:V8)</f>
        <v>7.6068940758705156E-2</v>
      </c>
      <c r="W75" s="13"/>
    </row>
    <row r="76" spans="1:23">
      <c r="A76" s="13"/>
      <c r="B76" s="11" t="s">
        <v>655</v>
      </c>
      <c r="C76" s="691">
        <f>NPV(0.15,B71:V71)</f>
        <v>-6389.8379576410225</v>
      </c>
      <c r="W76" s="13"/>
    </row>
    <row r="77" spans="1:23">
      <c r="A77" s="13"/>
      <c r="B77" s="11"/>
      <c r="C77" s="704"/>
      <c r="W77" s="13"/>
    </row>
    <row r="78" spans="1:23">
      <c r="A78" s="13"/>
      <c r="B78" s="11"/>
      <c r="C78" s="704"/>
      <c r="W78" s="13"/>
    </row>
    <row r="79" spans="1:23">
      <c r="A79" s="229" t="s">
        <v>681</v>
      </c>
      <c r="B79" s="11"/>
      <c r="C79" s="704"/>
      <c r="W79" s="13"/>
    </row>
    <row r="80" spans="1:23">
      <c r="A80" s="56" t="s">
        <v>354</v>
      </c>
      <c r="B80" s="668">
        <f>-'Debt Structs'!D64*(1-B63)</f>
        <v>-17412.149999999998</v>
      </c>
      <c r="C80" s="704"/>
      <c r="W80" s="13"/>
    </row>
    <row r="81" spans="1:23">
      <c r="A81" s="56" t="s">
        <v>353</v>
      </c>
      <c r="B81" s="665">
        <v>0</v>
      </c>
      <c r="C81" s="721">
        <f>C28</f>
        <v>-577.89425752994021</v>
      </c>
      <c r="D81" s="721">
        <f t="shared" ref="D81:V81" si="16">D28</f>
        <v>2253.2644818676699</v>
      </c>
      <c r="E81" s="721">
        <f t="shared" si="16"/>
        <v>2044.3561704170793</v>
      </c>
      <c r="F81" s="721">
        <f t="shared" si="16"/>
        <v>1819.9828715504445</v>
      </c>
      <c r="G81" s="721">
        <f t="shared" si="16"/>
        <v>1578.9417565994827</v>
      </c>
      <c r="H81" s="721">
        <f t="shared" si="16"/>
        <v>1381.8417743353589</v>
      </c>
      <c r="I81" s="721">
        <f t="shared" si="16"/>
        <v>1484.5616624957051</v>
      </c>
      <c r="J81" s="721">
        <f t="shared" si="16"/>
        <v>1597.8610144119625</v>
      </c>
      <c r="K81" s="721">
        <f t="shared" si="16"/>
        <v>1722.7095510962981</v>
      </c>
      <c r="L81" s="721">
        <f t="shared" si="16"/>
        <v>1860.1630901620429</v>
      </c>
      <c r="M81" s="721">
        <f t="shared" si="16"/>
        <v>2011.3711151660668</v>
      </c>
      <c r="N81" s="721">
        <f t="shared" si="16"/>
        <v>2177.5850083156633</v>
      </c>
      <c r="O81" s="721">
        <f t="shared" si="16"/>
        <v>2360.1670046148893</v>
      </c>
      <c r="P81" s="721">
        <f t="shared" si="16"/>
        <v>2560.5999306081385</v>
      </c>
      <c r="Q81" s="721">
        <f t="shared" si="16"/>
        <v>2780.4977964058771</v>
      </c>
      <c r="R81" s="721">
        <f t="shared" si="16"/>
        <v>3021.617315688346</v>
      </c>
      <c r="S81" s="721">
        <f t="shared" si="16"/>
        <v>3254.3876311115609</v>
      </c>
      <c r="T81" s="721">
        <f t="shared" si="16"/>
        <v>2773.7154438975508</v>
      </c>
      <c r="U81" s="721">
        <f t="shared" si="16"/>
        <v>2034.8955570133871</v>
      </c>
      <c r="V81" s="721">
        <f t="shared" si="16"/>
        <v>2396.9210223632763</v>
      </c>
      <c r="W81" s="721">
        <f>W28</f>
        <v>799.02661388440367</v>
      </c>
    </row>
    <row r="82" spans="1:23">
      <c r="A82" s="56" t="s">
        <v>666</v>
      </c>
      <c r="B82" s="665">
        <v>0</v>
      </c>
      <c r="C82" s="665">
        <v>0</v>
      </c>
      <c r="D82" s="665">
        <v>0</v>
      </c>
      <c r="E82" s="665">
        <v>0</v>
      </c>
      <c r="F82" s="665">
        <v>0</v>
      </c>
      <c r="G82" s="665">
        <v>0</v>
      </c>
      <c r="H82" s="665">
        <v>0</v>
      </c>
      <c r="I82" s="665">
        <v>0</v>
      </c>
      <c r="J82" s="665">
        <v>0</v>
      </c>
      <c r="K82" s="665">
        <v>0</v>
      </c>
      <c r="L82" s="665">
        <v>0</v>
      </c>
      <c r="M82" s="665">
        <v>0</v>
      </c>
      <c r="N82" s="665">
        <v>0</v>
      </c>
      <c r="O82" s="665">
        <v>0</v>
      </c>
      <c r="P82" s="665">
        <v>0</v>
      </c>
      <c r="Q82" s="665">
        <v>0</v>
      </c>
      <c r="R82" s="665">
        <v>0</v>
      </c>
      <c r="S82" s="665">
        <v>0</v>
      </c>
      <c r="T82" s="665">
        <v>0</v>
      </c>
      <c r="U82" s="665">
        <v>0</v>
      </c>
      <c r="V82" s="665">
        <v>0</v>
      </c>
      <c r="W82" s="665">
        <v>0</v>
      </c>
    </row>
    <row r="83" spans="1:23">
      <c r="A83" s="56" t="s">
        <v>657</v>
      </c>
      <c r="B83" s="696">
        <v>0</v>
      </c>
      <c r="C83" s="696">
        <v>0</v>
      </c>
      <c r="D83" s="696">
        <v>0</v>
      </c>
      <c r="E83" s="696">
        <v>0</v>
      </c>
      <c r="F83" s="696">
        <v>0</v>
      </c>
      <c r="G83" s="696">
        <v>0</v>
      </c>
      <c r="H83" s="696">
        <v>0</v>
      </c>
      <c r="I83" s="696">
        <v>0</v>
      </c>
      <c r="J83" s="696">
        <v>0</v>
      </c>
      <c r="K83" s="696">
        <v>0</v>
      </c>
      <c r="L83" s="696">
        <v>0</v>
      </c>
      <c r="M83" s="696">
        <v>0</v>
      </c>
      <c r="N83" s="696">
        <v>0</v>
      </c>
      <c r="O83" s="696">
        <v>0</v>
      </c>
      <c r="P83" s="696">
        <v>0</v>
      </c>
      <c r="Q83" s="696">
        <v>0</v>
      </c>
      <c r="R83" s="696">
        <v>0</v>
      </c>
      <c r="S83" s="696">
        <v>0</v>
      </c>
      <c r="T83" s="696">
        <v>0</v>
      </c>
      <c r="U83" s="696">
        <v>0</v>
      </c>
      <c r="V83" s="696">
        <v>0</v>
      </c>
      <c r="W83" s="696">
        <v>0</v>
      </c>
    </row>
    <row r="84" spans="1:23">
      <c r="A84" s="62" t="s">
        <v>677</v>
      </c>
      <c r="B84" s="36">
        <f t="shared" ref="B84:I84" si="17">SUM(B80:B83)</f>
        <v>-17412.149999999998</v>
      </c>
      <c r="C84" s="36">
        <f t="shared" si="17"/>
        <v>-577.89425752994021</v>
      </c>
      <c r="D84" s="36">
        <f t="shared" si="17"/>
        <v>2253.2644818676699</v>
      </c>
      <c r="E84" s="36">
        <f t="shared" si="17"/>
        <v>2044.3561704170793</v>
      </c>
      <c r="F84" s="36">
        <f t="shared" si="17"/>
        <v>1819.9828715504445</v>
      </c>
      <c r="G84" s="36">
        <f t="shared" si="17"/>
        <v>1578.9417565994827</v>
      </c>
      <c r="H84" s="36">
        <f t="shared" si="17"/>
        <v>1381.8417743353589</v>
      </c>
      <c r="I84" s="36">
        <f t="shared" si="17"/>
        <v>1484.5616624957051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</row>
    <row r="85" spans="1:23">
      <c r="A85" s="62" t="s">
        <v>668</v>
      </c>
      <c r="B85" s="36">
        <f>SUM(B80:B83)</f>
        <v>-17412.149999999998</v>
      </c>
      <c r="C85" s="36">
        <f t="shared" ref="C85:V85" si="18">SUM(C80:C83)</f>
        <v>-577.89425752994021</v>
      </c>
      <c r="D85" s="36">
        <f t="shared" si="18"/>
        <v>2253.2644818676699</v>
      </c>
      <c r="E85" s="36">
        <f t="shared" si="18"/>
        <v>2044.3561704170793</v>
      </c>
      <c r="F85" s="36">
        <f t="shared" si="18"/>
        <v>1819.9828715504445</v>
      </c>
      <c r="G85" s="36">
        <f t="shared" si="18"/>
        <v>1578.9417565994827</v>
      </c>
      <c r="H85" s="36">
        <f t="shared" si="18"/>
        <v>1381.8417743353589</v>
      </c>
      <c r="I85" s="36">
        <f t="shared" si="18"/>
        <v>1484.5616624957051</v>
      </c>
      <c r="J85" s="36">
        <f t="shared" si="18"/>
        <v>1597.8610144119625</v>
      </c>
      <c r="K85" s="36">
        <f t="shared" si="18"/>
        <v>1722.7095510962981</v>
      </c>
      <c r="L85" s="36">
        <f t="shared" si="18"/>
        <v>1860.1630901620429</v>
      </c>
      <c r="M85" s="36">
        <f t="shared" si="18"/>
        <v>2011.3711151660668</v>
      </c>
      <c r="N85" s="36">
        <f t="shared" si="18"/>
        <v>2177.5850083156633</v>
      </c>
      <c r="O85" s="36">
        <f t="shared" si="18"/>
        <v>2360.1670046148893</v>
      </c>
      <c r="P85" s="36">
        <f t="shared" si="18"/>
        <v>2560.5999306081385</v>
      </c>
      <c r="Q85" s="36">
        <f t="shared" si="18"/>
        <v>2780.4977964058771</v>
      </c>
      <c r="R85" s="36">
        <f t="shared" si="18"/>
        <v>3021.617315688346</v>
      </c>
      <c r="S85" s="36">
        <f t="shared" si="18"/>
        <v>3254.3876311115609</v>
      </c>
      <c r="T85" s="36">
        <f t="shared" si="18"/>
        <v>2773.7154438975508</v>
      </c>
      <c r="U85" s="36">
        <f t="shared" si="18"/>
        <v>2034.8955570133871</v>
      </c>
      <c r="V85" s="36">
        <f t="shared" si="18"/>
        <v>2396.9210223632763</v>
      </c>
      <c r="W85" s="36">
        <f>SUM(W80:W83)</f>
        <v>799.02661388440367</v>
      </c>
    </row>
    <row r="86" spans="1:23" hidden="1">
      <c r="A86" s="629" t="s">
        <v>649</v>
      </c>
    </row>
    <row r="87" spans="1:23" hidden="1">
      <c r="A87" s="43" t="s">
        <v>647</v>
      </c>
    </row>
    <row r="88" spans="1:23" hidden="1">
      <c r="A88" s="56" t="s">
        <v>354</v>
      </c>
      <c r="B88" s="668">
        <f>-'Debt Structs'!D8</f>
        <v>-34824.299999999996</v>
      </c>
      <c r="M88" s="697" t="s">
        <v>663</v>
      </c>
    </row>
    <row r="89" spans="1:23" hidden="1">
      <c r="A89" s="56" t="s">
        <v>353</v>
      </c>
      <c r="B89" s="36">
        <f>B27</f>
        <v>0</v>
      </c>
      <c r="C89" s="36">
        <f t="shared" ref="C89:W89" si="19">C27</f>
        <v>-577.89425752994021</v>
      </c>
      <c r="D89" s="36">
        <f t="shared" si="19"/>
        <v>2253.2644818676699</v>
      </c>
      <c r="E89" s="36">
        <f t="shared" si="19"/>
        <v>2044.3561704170793</v>
      </c>
      <c r="F89" s="36">
        <f t="shared" si="19"/>
        <v>1819.9828715504445</v>
      </c>
      <c r="G89" s="36">
        <f t="shared" si="19"/>
        <v>1578.9417565994827</v>
      </c>
      <c r="H89" s="36">
        <f t="shared" si="19"/>
        <v>1381.8417743353589</v>
      </c>
      <c r="I89" s="36">
        <f t="shared" si="19"/>
        <v>1484.5616624957051</v>
      </c>
      <c r="J89" s="36">
        <f t="shared" si="19"/>
        <v>1597.8610144119625</v>
      </c>
      <c r="K89" s="36">
        <f t="shared" si="19"/>
        <v>1722.7095510962981</v>
      </c>
      <c r="L89" s="36">
        <f t="shared" si="19"/>
        <v>1860.1630901620429</v>
      </c>
      <c r="M89" s="36">
        <f t="shared" si="19"/>
        <v>2011.3711151660668</v>
      </c>
      <c r="N89" s="36">
        <f t="shared" si="19"/>
        <v>2177.5850083156633</v>
      </c>
      <c r="O89" s="36">
        <f t="shared" si="19"/>
        <v>2360.1670046148893</v>
      </c>
      <c r="P89" s="36">
        <f t="shared" si="19"/>
        <v>2560.5999306081385</v>
      </c>
      <c r="Q89" s="36">
        <f t="shared" si="19"/>
        <v>2780.4977964058771</v>
      </c>
      <c r="R89" s="36">
        <f t="shared" si="19"/>
        <v>3021.617315688346</v>
      </c>
      <c r="S89" s="36">
        <f t="shared" si="19"/>
        <v>3254.3876311115609</v>
      </c>
      <c r="T89" s="36">
        <f t="shared" si="19"/>
        <v>2773.7154438975508</v>
      </c>
      <c r="U89" s="36">
        <f t="shared" si="19"/>
        <v>2034.8955570133871</v>
      </c>
      <c r="V89" s="36">
        <f t="shared" si="19"/>
        <v>2396.9210223632763</v>
      </c>
      <c r="W89" s="36">
        <f t="shared" si="19"/>
        <v>799.02661388440367</v>
      </c>
    </row>
    <row r="90" spans="1:23" hidden="1">
      <c r="A90" s="700" t="s">
        <v>664</v>
      </c>
      <c r="B90" s="665">
        <v>0</v>
      </c>
      <c r="C90" s="665">
        <v>0</v>
      </c>
      <c r="D90" s="665">
        <v>0</v>
      </c>
      <c r="E90" s="665">
        <v>0</v>
      </c>
      <c r="F90" s="665">
        <v>0</v>
      </c>
      <c r="G90" s="665">
        <v>0</v>
      </c>
      <c r="H90" s="665">
        <v>0</v>
      </c>
      <c r="I90" s="665">
        <v>0</v>
      </c>
      <c r="J90" s="665">
        <v>0</v>
      </c>
      <c r="K90" s="665">
        <v>0</v>
      </c>
      <c r="L90" s="668">
        <f>'Debt Structs'!G25</f>
        <v>0</v>
      </c>
    </row>
    <row r="91" spans="1:23" hidden="1">
      <c r="A91" s="56" t="s">
        <v>665</v>
      </c>
      <c r="B91" s="696">
        <v>0</v>
      </c>
      <c r="C91" s="696">
        <v>0</v>
      </c>
      <c r="D91" s="696">
        <v>0</v>
      </c>
      <c r="E91" s="696">
        <v>0</v>
      </c>
      <c r="F91" s="696">
        <v>0</v>
      </c>
      <c r="G91" s="696">
        <v>0</v>
      </c>
      <c r="H91" s="696">
        <v>0</v>
      </c>
      <c r="I91" s="696">
        <v>0</v>
      </c>
      <c r="J91" s="696">
        <v>0</v>
      </c>
      <c r="K91" s="696">
        <v>0</v>
      </c>
      <c r="L91" s="696">
        <v>0</v>
      </c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spans="1:23" hidden="1">
      <c r="A92" s="56" t="s">
        <v>352</v>
      </c>
      <c r="B92" s="36">
        <f t="shared" ref="B92:L92" si="20">SUM(B88:B90)</f>
        <v>-34824.299999999996</v>
      </c>
      <c r="C92" s="36">
        <f t="shared" si="20"/>
        <v>-577.89425752994021</v>
      </c>
      <c r="D92" s="36">
        <f t="shared" si="20"/>
        <v>2253.2644818676699</v>
      </c>
      <c r="E92" s="36">
        <f t="shared" si="20"/>
        <v>2044.3561704170793</v>
      </c>
      <c r="F92" s="36">
        <f t="shared" si="20"/>
        <v>1819.9828715504445</v>
      </c>
      <c r="G92" s="36">
        <f t="shared" si="20"/>
        <v>1578.9417565994827</v>
      </c>
      <c r="H92" s="36">
        <f t="shared" si="20"/>
        <v>1381.8417743353589</v>
      </c>
      <c r="I92" s="36">
        <f t="shared" si="20"/>
        <v>1484.5616624957051</v>
      </c>
      <c r="J92" s="36">
        <f t="shared" si="20"/>
        <v>1597.8610144119625</v>
      </c>
      <c r="K92" s="36">
        <f t="shared" si="20"/>
        <v>1722.7095510962981</v>
      </c>
      <c r="L92" s="36">
        <f t="shared" si="20"/>
        <v>1860.1630901620429</v>
      </c>
    </row>
    <row r="93" spans="1:23" hidden="1">
      <c r="A93" s="13"/>
      <c r="B93" s="446" t="s">
        <v>1</v>
      </c>
      <c r="C93" s="452">
        <f>XIRR(B92:L92,B8:L8)</f>
        <v>-0.11235066559165718</v>
      </c>
    </row>
    <row r="94" spans="1:23" hidden="1">
      <c r="A94" s="56"/>
      <c r="B94" s="11" t="s">
        <v>655</v>
      </c>
      <c r="C94" s="691">
        <f>NPV(0.15,B92:L92)</f>
        <v>-24196.412522036004</v>
      </c>
    </row>
    <row r="95" spans="1:23">
      <c r="A95" s="43"/>
    </row>
    <row r="96" spans="1:23">
      <c r="A96" s="62" t="s">
        <v>672</v>
      </c>
      <c r="B96" s="446" t="s">
        <v>1</v>
      </c>
      <c r="C96" s="688">
        <f>XIRR(B84:I84,B8:I8)</f>
        <v>-0.10292324908077716</v>
      </c>
    </row>
    <row r="97" spans="1:3">
      <c r="A97" s="13"/>
      <c r="B97" s="11" t="s">
        <v>655</v>
      </c>
      <c r="C97" s="691">
        <f>NPV(0.15,B84:I84)</f>
        <v>-10335.281251593033</v>
      </c>
    </row>
    <row r="98" spans="1:3">
      <c r="A98" s="43" t="s">
        <v>670</v>
      </c>
      <c r="B98" s="446" t="s">
        <v>1</v>
      </c>
      <c r="C98" s="702">
        <f>XIRR(B85:W85,B8:W8)</f>
        <v>7.7028527855873108E-2</v>
      </c>
    </row>
    <row r="99" spans="1:3">
      <c r="A99" s="13"/>
      <c r="B99" s="11" t="s">
        <v>655</v>
      </c>
      <c r="C99" s="691">
        <f>NPV(0.15,B85:V85)</f>
        <v>-6389.8379576410225</v>
      </c>
    </row>
  </sheetData>
  <pageMargins left="0.75" right="0.75" top="1" bottom="1" header="0.5" footer="0.5"/>
  <pageSetup scale="41" orientation="landscape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zoomScale="75" zoomScaleNormal="75" workbookViewId="0">
      <selection activeCell="B26" sqref="B26"/>
    </sheetView>
  </sheetViews>
  <sheetFormatPr defaultRowHeight="12.75"/>
  <cols>
    <col min="2" max="2" width="34.42578125" customWidth="1"/>
    <col min="3" max="3" width="18.28515625" customWidth="1"/>
    <col min="4" max="4" width="20.5703125" customWidth="1"/>
    <col min="5" max="5" width="12.140625" customWidth="1"/>
    <col min="6" max="6" width="11.28515625" customWidth="1"/>
    <col min="7" max="7" width="12.42578125" customWidth="1"/>
    <col min="8" max="8" width="12.5703125" customWidth="1"/>
    <col min="9" max="9" width="12.140625" customWidth="1"/>
  </cols>
  <sheetData>
    <row r="2" spans="2:11" ht="15" customHeight="1"/>
    <row r="3" spans="2:11" ht="18" customHeight="1">
      <c r="B3" s="689" t="s">
        <v>682</v>
      </c>
    </row>
    <row r="4" spans="2:11" ht="18" customHeight="1">
      <c r="B4" s="737">
        <f ca="1">NOW()</f>
        <v>36636.624386111114</v>
      </c>
    </row>
    <row r="5" spans="2:11">
      <c r="C5" s="692" t="s">
        <v>653</v>
      </c>
      <c r="D5" s="692" t="s">
        <v>660</v>
      </c>
      <c r="E5" s="692" t="s">
        <v>1</v>
      </c>
      <c r="F5" s="531"/>
      <c r="G5" s="531"/>
      <c r="H5" s="534"/>
      <c r="I5" s="534"/>
      <c r="J5" s="534"/>
      <c r="K5" s="534"/>
    </row>
    <row r="7" spans="2:11">
      <c r="B7" s="531" t="s">
        <v>674</v>
      </c>
      <c r="C7" s="685">
        <v>4.5</v>
      </c>
      <c r="D7" s="710">
        <v>5920.9085652267322</v>
      </c>
      <c r="E7" s="734">
        <v>0.50935357148700811</v>
      </c>
      <c r="F7" s="686"/>
      <c r="G7" s="686"/>
    </row>
    <row r="8" spans="2:11">
      <c r="B8" s="531"/>
      <c r="C8" s="685">
        <v>5</v>
      </c>
      <c r="D8" s="710">
        <v>7738.317058649568</v>
      </c>
      <c r="E8" s="734">
        <v>0.60756071918156973</v>
      </c>
      <c r="F8" s="686"/>
      <c r="G8" s="686"/>
    </row>
    <row r="9" spans="2:11">
      <c r="C9" s="685">
        <v>5.5</v>
      </c>
      <c r="D9" s="710">
        <v>9555.7255520724048</v>
      </c>
      <c r="E9" s="734">
        <v>0.7026310961257809</v>
      </c>
      <c r="F9" s="686"/>
      <c r="G9" s="686"/>
    </row>
    <row r="10" spans="2:11">
      <c r="C10" s="685">
        <v>6</v>
      </c>
      <c r="D10" s="710">
        <v>11373.134045495239</v>
      </c>
      <c r="E10" s="734">
        <v>0.79527823256698249</v>
      </c>
      <c r="F10" s="686"/>
      <c r="G10" s="686"/>
    </row>
    <row r="11" spans="2:11">
      <c r="B11" s="687"/>
      <c r="C11" s="685">
        <v>6.5</v>
      </c>
      <c r="D11" s="710">
        <v>13190.542538918075</v>
      </c>
      <c r="E11" s="734">
        <v>0.8860089720247023</v>
      </c>
      <c r="F11" s="686"/>
      <c r="G11" s="686"/>
    </row>
    <row r="12" spans="2:11">
      <c r="B12" s="687"/>
      <c r="C12" s="685"/>
      <c r="D12" s="717"/>
      <c r="E12" s="735"/>
    </row>
    <row r="13" spans="2:11">
      <c r="B13" s="531" t="s">
        <v>711</v>
      </c>
      <c r="C13" s="685">
        <v>4.5</v>
      </c>
      <c r="D13" s="710">
        <v>6754.9594566981195</v>
      </c>
      <c r="E13" s="734">
        <v>0.41522758603096011</v>
      </c>
    </row>
    <row r="14" spans="2:11">
      <c r="B14" s="531" t="s">
        <v>706</v>
      </c>
      <c r="C14" s="685">
        <v>5</v>
      </c>
      <c r="D14" s="710">
        <v>9596.2895025903599</v>
      </c>
      <c r="E14" s="734">
        <v>0.49286507964134219</v>
      </c>
    </row>
    <row r="15" spans="2:11">
      <c r="B15" s="687"/>
      <c r="C15" s="685">
        <v>5.5</v>
      </c>
      <c r="D15" s="710">
        <v>12114.460062162034</v>
      </c>
      <c r="E15" s="734">
        <v>0.56040144562721239</v>
      </c>
    </row>
    <row r="16" spans="2:11">
      <c r="B16" s="687"/>
      <c r="C16" s="685">
        <v>6</v>
      </c>
      <c r="D16" s="710">
        <v>14436.028784828113</v>
      </c>
      <c r="E16" s="734">
        <v>0.62100772261619575</v>
      </c>
    </row>
    <row r="17" spans="2:7">
      <c r="B17" s="687"/>
      <c r="C17" s="685">
        <v>6.5</v>
      </c>
      <c r="D17" s="710">
        <v>16643.34564200493</v>
      </c>
      <c r="E17" s="734">
        <v>0.67614148259162909</v>
      </c>
    </row>
    <row r="18" spans="2:7">
      <c r="B18" s="687"/>
      <c r="C18" s="685"/>
    </row>
    <row r="19" spans="2:7">
      <c r="B19" s="687"/>
      <c r="C19" s="685"/>
    </row>
    <row r="20" spans="2:7">
      <c r="B20" s="531" t="s">
        <v>708</v>
      </c>
      <c r="C20" s="685">
        <v>4.5</v>
      </c>
      <c r="D20" s="710">
        <v>-17330.527017196553</v>
      </c>
      <c r="E20" s="736" t="s">
        <v>705</v>
      </c>
      <c r="F20" s="686"/>
      <c r="G20" s="686"/>
    </row>
    <row r="21" spans="2:7">
      <c r="B21" s="531"/>
      <c r="C21" s="685">
        <v>5</v>
      </c>
      <c r="D21" s="710">
        <v>-15033.431033376197</v>
      </c>
      <c r="E21" s="734">
        <v>-0.31256057508289825</v>
      </c>
      <c r="F21" s="686"/>
      <c r="G21" s="686"/>
    </row>
    <row r="22" spans="2:7">
      <c r="B22" s="534"/>
      <c r="C22" s="685">
        <v>5.5</v>
      </c>
      <c r="D22" s="710">
        <v>-12736.335049555841</v>
      </c>
      <c r="E22" s="734">
        <v>-0.17729751206934449</v>
      </c>
      <c r="F22" s="686"/>
      <c r="G22" s="686"/>
    </row>
    <row r="23" spans="2:7">
      <c r="C23" s="685">
        <v>6</v>
      </c>
      <c r="D23" s="710">
        <v>-10449.617108630026</v>
      </c>
      <c r="E23" s="734">
        <v>-9.575383365154265E-2</v>
      </c>
      <c r="F23" s="686"/>
      <c r="G23" s="686"/>
    </row>
    <row r="24" spans="2:7">
      <c r="C24" s="685">
        <v>6.5</v>
      </c>
      <c r="D24" s="710">
        <v>-8906.356120124372</v>
      </c>
      <c r="E24" s="734">
        <v>-6.7386624217033397E-2</v>
      </c>
    </row>
    <row r="25" spans="2:7">
      <c r="D25" s="710"/>
      <c r="E25" s="735"/>
    </row>
    <row r="26" spans="2:7">
      <c r="B26" s="531" t="s">
        <v>712</v>
      </c>
      <c r="C26" s="685">
        <v>4.5</v>
      </c>
      <c r="D26" s="710">
        <v>-13521.366385458292</v>
      </c>
      <c r="E26" s="734">
        <v>2.4662908911705021E-2</v>
      </c>
    </row>
    <row r="27" spans="2:7">
      <c r="B27" s="531" t="s">
        <v>707</v>
      </c>
      <c r="C27" s="685">
        <v>5</v>
      </c>
      <c r="D27" s="710">
        <v>-10682.154232316134</v>
      </c>
      <c r="E27" s="734">
        <v>4.3767842650413516E-2</v>
      </c>
    </row>
    <row r="28" spans="2:7">
      <c r="C28" s="685">
        <v>5.5</v>
      </c>
      <c r="D28" s="710">
        <v>-8166.1015654945486</v>
      </c>
      <c r="E28" s="734">
        <v>6.4381232857704182E-2</v>
      </c>
    </row>
    <row r="29" spans="2:7">
      <c r="B29" s="534"/>
      <c r="C29" s="685">
        <v>6</v>
      </c>
      <c r="D29" s="710">
        <v>-5846.6507355785443</v>
      </c>
      <c r="E29" s="734">
        <v>8.5016396641731273E-2</v>
      </c>
    </row>
    <row r="30" spans="2:7">
      <c r="C30" s="685">
        <v>6.5</v>
      </c>
      <c r="D30" s="710">
        <v>-3641.451771151806</v>
      </c>
      <c r="E30" s="734">
        <v>0.10518903136253357</v>
      </c>
    </row>
    <row r="32" spans="2:7">
      <c r="B32" s="698" t="s">
        <v>661</v>
      </c>
    </row>
    <row r="33" spans="2:2">
      <c r="B33" s="699" t="s">
        <v>673</v>
      </c>
    </row>
    <row r="34" spans="2:2">
      <c r="B34" s="705" t="s">
        <v>676</v>
      </c>
    </row>
    <row r="35" spans="2:2">
      <c r="B35" s="690"/>
    </row>
    <row r="36" spans="2:2">
      <c r="B36" s="698" t="s">
        <v>662</v>
      </c>
    </row>
    <row r="37" spans="2:2">
      <c r="B37" t="s">
        <v>675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39"/>
  <sheetViews>
    <sheetView topLeftCell="B1" zoomScale="75" zoomScaleNormal="75" workbookViewId="0">
      <selection activeCell="D32" sqref="D32"/>
    </sheetView>
  </sheetViews>
  <sheetFormatPr defaultRowHeight="12.75"/>
  <cols>
    <col min="1" max="1" width="4" customWidth="1"/>
    <col min="2" max="2" width="29.140625" customWidth="1"/>
    <col min="3" max="3" width="1.28515625" customWidth="1"/>
    <col min="4" max="4" width="12.28515625" bestFit="1" customWidth="1"/>
    <col min="5" max="5" width="12.5703125" customWidth="1"/>
    <col min="6" max="6" width="12.28515625" bestFit="1" customWidth="1"/>
    <col min="7" max="7" width="14" customWidth="1"/>
    <col min="8" max="8" width="13.42578125" customWidth="1"/>
    <col min="9" max="9" width="13.85546875" customWidth="1"/>
    <col min="10" max="10" width="12.140625" customWidth="1"/>
    <col min="11" max="11" width="11" customWidth="1"/>
    <col min="12" max="13" width="10.85546875" customWidth="1"/>
    <col min="14" max="14" width="11.7109375" customWidth="1"/>
    <col min="15" max="15" width="12" customWidth="1"/>
    <col min="16" max="16" width="11.42578125" customWidth="1"/>
    <col min="17" max="17" width="11.5703125" customWidth="1"/>
    <col min="18" max="18" width="12.140625" customWidth="1"/>
  </cols>
  <sheetData>
    <row r="2" spans="2:9" ht="15.75">
      <c r="B2" s="689" t="s">
        <v>684</v>
      </c>
    </row>
    <row r="3" spans="2:9" ht="16.5" thickBot="1">
      <c r="B3" s="689" t="s">
        <v>685</v>
      </c>
    </row>
    <row r="4" spans="2:9">
      <c r="D4" s="643"/>
      <c r="E4" s="410"/>
      <c r="F4" s="671" t="s">
        <v>621</v>
      </c>
      <c r="G4" s="671" t="s">
        <v>704</v>
      </c>
      <c r="H4" s="671" t="s">
        <v>703</v>
      </c>
      <c r="I4" s="672" t="s">
        <v>709</v>
      </c>
    </row>
    <row r="5" spans="2:9">
      <c r="D5" s="520"/>
      <c r="E5" s="650" t="s">
        <v>622</v>
      </c>
      <c r="F5" s="645">
        <f>'Debt Structs'!E3</f>
        <v>116081</v>
      </c>
      <c r="G5" s="645">
        <f>'Debt Structs'!D3</f>
        <v>116081</v>
      </c>
      <c r="H5" s="645">
        <f>'Debt Structs'!E3</f>
        <v>116081</v>
      </c>
      <c r="I5" s="673">
        <f>H5</f>
        <v>116081</v>
      </c>
    </row>
    <row r="6" spans="2:9">
      <c r="D6" s="520"/>
      <c r="E6" s="650" t="s">
        <v>623</v>
      </c>
      <c r="F6" s="713">
        <f>'Debt Structs'!E4</f>
        <v>5</v>
      </c>
      <c r="G6" s="713">
        <f>'Debt Structs'!D4</f>
        <v>7</v>
      </c>
      <c r="H6" s="713">
        <v>13</v>
      </c>
      <c r="I6" s="715">
        <v>15</v>
      </c>
    </row>
    <row r="7" spans="2:9">
      <c r="D7" s="520"/>
      <c r="E7" s="650" t="s">
        <v>624</v>
      </c>
      <c r="F7" s="711">
        <f>'Debt Structs'!E5</f>
        <v>0.08</v>
      </c>
      <c r="G7" s="711">
        <v>9.5000000000000001E-2</v>
      </c>
      <c r="H7" s="711">
        <v>8.7499999999999994E-2</v>
      </c>
      <c r="I7" s="712">
        <v>8.7499999999999994E-2</v>
      </c>
    </row>
    <row r="8" spans="2:9">
      <c r="D8" s="520"/>
      <c r="E8" s="650" t="s">
        <v>625</v>
      </c>
      <c r="F8" s="713">
        <f>'Debt Structs'!E6</f>
        <v>0</v>
      </c>
      <c r="G8" s="713">
        <f>'Debt Structs'!D6</f>
        <v>12</v>
      </c>
      <c r="H8" s="713">
        <v>13</v>
      </c>
      <c r="I8" s="715">
        <v>15</v>
      </c>
    </row>
    <row r="9" spans="2:9">
      <c r="D9" s="520"/>
      <c r="E9" s="650" t="s">
        <v>626</v>
      </c>
      <c r="F9" s="714">
        <f>'Debt Structs'!E7</f>
        <v>0.1</v>
      </c>
      <c r="G9" s="714">
        <f>'Debt Structs'!D7</f>
        <v>0.3</v>
      </c>
      <c r="H9" s="714">
        <v>0.3</v>
      </c>
      <c r="I9" s="716">
        <v>0.3</v>
      </c>
    </row>
    <row r="10" spans="2:9">
      <c r="D10" s="520"/>
      <c r="E10" s="650" t="s">
        <v>627</v>
      </c>
      <c r="F10" s="645">
        <f>+F5*F9</f>
        <v>11608.1</v>
      </c>
      <c r="G10" s="645">
        <f>+G5*G9</f>
        <v>34824.299999999996</v>
      </c>
      <c r="H10" s="645">
        <f>+H5*H9</f>
        <v>34824.299999999996</v>
      </c>
      <c r="I10" s="673">
        <f>+I5*I9</f>
        <v>34824.299999999996</v>
      </c>
    </row>
    <row r="11" spans="2:9" ht="13.5" thickBot="1">
      <c r="D11" s="657"/>
      <c r="E11" s="682" t="s">
        <v>628</v>
      </c>
      <c r="F11" s="724">
        <v>30000</v>
      </c>
      <c r="G11" s="724">
        <f>'Debt Structs'!D9</f>
        <v>0</v>
      </c>
      <c r="H11" s="724">
        <f>'Debt Structs'!E9</f>
        <v>0</v>
      </c>
      <c r="I11" s="725">
        <v>0</v>
      </c>
    </row>
    <row r="14" spans="2:9">
      <c r="B14" s="531" t="s">
        <v>690</v>
      </c>
      <c r="D14" s="687">
        <v>2001</v>
      </c>
      <c r="E14" s="687">
        <v>2002</v>
      </c>
      <c r="F14" s="687">
        <v>2003</v>
      </c>
      <c r="G14" s="687">
        <v>2004</v>
      </c>
      <c r="H14" s="687">
        <v>2005</v>
      </c>
    </row>
    <row r="15" spans="2:9">
      <c r="B15" t="s">
        <v>686</v>
      </c>
      <c r="D15" s="710">
        <f>F5-F10</f>
        <v>104472.9</v>
      </c>
      <c r="E15" s="710">
        <f>D15</f>
        <v>104472.9</v>
      </c>
      <c r="F15" s="710">
        <f>E15</f>
        <v>104472.9</v>
      </c>
      <c r="G15" s="710">
        <f>F15</f>
        <v>104472.9</v>
      </c>
      <c r="H15" s="710">
        <f>G15</f>
        <v>104472.9</v>
      </c>
    </row>
    <row r="16" spans="2:9">
      <c r="B16" t="s">
        <v>687</v>
      </c>
      <c r="D16" s="710">
        <f>D17+D18</f>
        <v>8357.8320000000003</v>
      </c>
      <c r="E16" s="710">
        <f>E17+E18</f>
        <v>8357.8320000000003</v>
      </c>
      <c r="F16" s="710">
        <f>F17+F18</f>
        <v>8357.8320000000003</v>
      </c>
      <c r="G16" s="710">
        <f>G17+G18</f>
        <v>8357.8320000000003</v>
      </c>
      <c r="H16" s="710">
        <f>H17+H18</f>
        <v>8357.8320000000003</v>
      </c>
    </row>
    <row r="17" spans="2:23">
      <c r="B17" t="s">
        <v>688</v>
      </c>
      <c r="D17" s="710">
        <f>$D$15*$F$7</f>
        <v>8357.8320000000003</v>
      </c>
      <c r="E17" s="710">
        <f>$D$15*$F$7</f>
        <v>8357.8320000000003</v>
      </c>
      <c r="F17" s="710">
        <f>$D$15*$F$7</f>
        <v>8357.8320000000003</v>
      </c>
      <c r="G17" s="710">
        <f>$D$15*$F$7</f>
        <v>8357.8320000000003</v>
      </c>
      <c r="H17" s="710">
        <f>$D$15*$F$7</f>
        <v>8357.8320000000003</v>
      </c>
    </row>
    <row r="18" spans="2:23">
      <c r="B18" t="s">
        <v>689</v>
      </c>
      <c r="D18" s="685">
        <v>0</v>
      </c>
      <c r="E18" s="685">
        <v>0</v>
      </c>
      <c r="F18" s="685">
        <v>0</v>
      </c>
      <c r="G18" s="685">
        <v>0</v>
      </c>
      <c r="H18" s="685">
        <v>0</v>
      </c>
    </row>
    <row r="21" spans="2:23">
      <c r="B21" s="531" t="s">
        <v>692</v>
      </c>
      <c r="D21" s="687">
        <v>2001</v>
      </c>
      <c r="E21" s="687">
        <v>2002</v>
      </c>
      <c r="F21" s="687">
        <v>2003</v>
      </c>
      <c r="G21" s="687">
        <v>2004</v>
      </c>
      <c r="H21" s="687">
        <v>2005</v>
      </c>
      <c r="I21" s="687">
        <v>2006</v>
      </c>
      <c r="J21" s="687">
        <v>2007</v>
      </c>
    </row>
    <row r="22" spans="2:23">
      <c r="B22" t="s">
        <v>686</v>
      </c>
      <c r="D22" s="641">
        <f>G5-G10</f>
        <v>81256.700000000012</v>
      </c>
      <c r="E22" s="641">
        <f t="shared" ref="E22:J22" si="0">D22-D25</f>
        <v>76974.876818273464</v>
      </c>
      <c r="F22" s="641">
        <f t="shared" si="0"/>
        <v>72350.50778200879</v>
      </c>
      <c r="G22" s="641">
        <f t="shared" si="0"/>
        <v>67356.18922284295</v>
      </c>
      <c r="H22" s="641">
        <f t="shared" si="0"/>
        <v>61962.325178943844</v>
      </c>
      <c r="I22" s="641">
        <f t="shared" si="0"/>
        <v>56136.952011532805</v>
      </c>
      <c r="J22" s="641">
        <f t="shared" si="0"/>
        <v>49845.548990728887</v>
      </c>
    </row>
    <row r="23" spans="2:23">
      <c r="B23" t="s">
        <v>687</v>
      </c>
      <c r="D23" s="641">
        <f>D24+D25</f>
        <v>12001.209681726545</v>
      </c>
      <c r="E23" s="641">
        <f t="shared" ref="E23:J23" si="1">E24+E25</f>
        <v>11936.982334000646</v>
      </c>
      <c r="F23" s="641">
        <f t="shared" si="1"/>
        <v>11867.616798456676</v>
      </c>
      <c r="G23" s="641">
        <f t="shared" si="1"/>
        <v>11792.702020069188</v>
      </c>
      <c r="H23" s="641">
        <f t="shared" si="1"/>
        <v>11711.794059410702</v>
      </c>
      <c r="I23" s="641">
        <f t="shared" si="1"/>
        <v>11624.413461899536</v>
      </c>
      <c r="J23" s="641">
        <f t="shared" si="1"/>
        <v>11530.042416587477</v>
      </c>
    </row>
    <row r="24" spans="2:23">
      <c r="B24" t="s">
        <v>688</v>
      </c>
      <c r="D24" s="641">
        <f t="shared" ref="D24:J24" si="2">D22*$G$7</f>
        <v>7719.3865000000014</v>
      </c>
      <c r="E24" s="641">
        <f t="shared" si="2"/>
        <v>7312.6132977359794</v>
      </c>
      <c r="F24" s="641">
        <f t="shared" si="2"/>
        <v>6873.2982392908352</v>
      </c>
      <c r="G24" s="641">
        <f t="shared" si="2"/>
        <v>6398.8379761700799</v>
      </c>
      <c r="H24" s="641">
        <f t="shared" si="2"/>
        <v>5886.4208919996654</v>
      </c>
      <c r="I24" s="641">
        <f t="shared" si="2"/>
        <v>5333.0104410956164</v>
      </c>
      <c r="J24" s="641">
        <f t="shared" si="2"/>
        <v>4735.3271541192444</v>
      </c>
    </row>
    <row r="25" spans="2:23">
      <c r="B25" t="s">
        <v>689</v>
      </c>
      <c r="D25" s="641">
        <f>'Debt Structs'!J16</f>
        <v>4281.8231817265432</v>
      </c>
      <c r="E25" s="641">
        <f>'Debt Structs'!J17</f>
        <v>4624.3690362646666</v>
      </c>
      <c r="F25" s="641">
        <f>'Debt Structs'!J18</f>
        <v>4994.3185591658412</v>
      </c>
      <c r="G25" s="641">
        <f>'Debt Structs'!J19</f>
        <v>5393.8640438991079</v>
      </c>
      <c r="H25" s="641">
        <f>'Debt Structs'!J20</f>
        <v>5825.3731674110368</v>
      </c>
      <c r="I25" s="641">
        <f>'Debt Structs'!J21</f>
        <v>6291.4030208039194</v>
      </c>
      <c r="J25" s="641">
        <f>'Debt Structs'!J22</f>
        <v>6794.715262468233</v>
      </c>
    </row>
    <row r="28" spans="2:23">
      <c r="B28" s="531" t="s">
        <v>693</v>
      </c>
      <c r="D28" s="718">
        <v>2008</v>
      </c>
      <c r="E28" s="687">
        <f>D28+1</f>
        <v>2009</v>
      </c>
      <c r="F28" s="687">
        <f>E28+1</f>
        <v>2010</v>
      </c>
      <c r="G28" s="687">
        <f t="shared" ref="G28:P28" si="3">F28+1</f>
        <v>2011</v>
      </c>
      <c r="H28" s="687">
        <f t="shared" si="3"/>
        <v>2012</v>
      </c>
      <c r="I28" s="687">
        <f t="shared" si="3"/>
        <v>2013</v>
      </c>
      <c r="J28" s="687">
        <f t="shared" si="3"/>
        <v>2014</v>
      </c>
      <c r="K28" s="687">
        <f t="shared" si="3"/>
        <v>2015</v>
      </c>
      <c r="L28" s="687">
        <f t="shared" si="3"/>
        <v>2016</v>
      </c>
      <c r="M28" s="687">
        <f t="shared" si="3"/>
        <v>2017</v>
      </c>
      <c r="N28" s="687">
        <f t="shared" si="3"/>
        <v>2018</v>
      </c>
      <c r="O28" s="687">
        <f t="shared" si="3"/>
        <v>2019</v>
      </c>
      <c r="P28" s="687">
        <f t="shared" si="3"/>
        <v>2020</v>
      </c>
      <c r="Q28" s="687"/>
      <c r="R28" s="687"/>
      <c r="S28" s="687"/>
      <c r="T28" s="687"/>
      <c r="U28" s="687"/>
      <c r="V28" s="687"/>
      <c r="W28" s="687"/>
    </row>
    <row r="29" spans="2:23">
      <c r="B29" t="s">
        <v>686</v>
      </c>
      <c r="D29" s="641">
        <f>G5-G10</f>
        <v>81256.700000000012</v>
      </c>
      <c r="E29" s="641">
        <f>'Debt Structs'!H75</f>
        <v>77657.886630446272</v>
      </c>
      <c r="F29" s="641">
        <f>'Debt Structs'!H76</f>
        <v>73744.177091056583</v>
      </c>
      <c r="G29" s="641">
        <f>'Debt Structs'!H77</f>
        <v>69488.017966970292</v>
      </c>
      <c r="H29" s="641">
        <f>'Debt Structs'!H78</f>
        <v>64859.444919526461</v>
      </c>
      <c r="I29" s="641">
        <f>'Debt Structs'!H79</f>
        <v>59825.871730431289</v>
      </c>
      <c r="J29" s="641">
        <f>'Debt Structs'!H80</f>
        <v>54351.860887290291</v>
      </c>
      <c r="K29" s="641">
        <f>'Debt Structs'!H81</f>
        <v>48398.874095374456</v>
      </c>
      <c r="L29" s="641">
        <f>'Debt Structs'!H82</f>
        <v>41925.000959165984</v>
      </c>
      <c r="M29" s="641">
        <f>'Debt Structs'!H83</f>
        <v>34884.663923539272</v>
      </c>
      <c r="N29" s="641">
        <f>'Debt Structs'!H84</f>
        <v>27228.297397295224</v>
      </c>
      <c r="O29" s="641">
        <f>'Debt Structs'!H85</f>
        <v>18901.998800004822</v>
      </c>
      <c r="P29" s="641">
        <f>'Debt Structs'!H86</f>
        <v>9847.1490754515089</v>
      </c>
    </row>
    <row r="30" spans="2:23">
      <c r="B30" t="s">
        <v>687</v>
      </c>
      <c r="D30" s="641">
        <f>'Debt Structs'!I74</f>
        <v>10708.774619553735</v>
      </c>
      <c r="E30" s="641">
        <f>D30</f>
        <v>10708.774619553735</v>
      </c>
      <c r="F30" s="641">
        <f t="shared" ref="F30:P30" si="4">E30</f>
        <v>10708.774619553735</v>
      </c>
      <c r="G30" s="641">
        <f t="shared" si="4"/>
        <v>10708.774619553735</v>
      </c>
      <c r="H30" s="641">
        <f t="shared" si="4"/>
        <v>10708.774619553735</v>
      </c>
      <c r="I30" s="641">
        <f t="shared" si="4"/>
        <v>10708.774619553735</v>
      </c>
      <c r="J30" s="641">
        <f t="shared" si="4"/>
        <v>10708.774619553735</v>
      </c>
      <c r="K30" s="641">
        <f t="shared" si="4"/>
        <v>10708.774619553735</v>
      </c>
      <c r="L30" s="641">
        <f t="shared" si="4"/>
        <v>10708.774619553735</v>
      </c>
      <c r="M30" s="641">
        <f t="shared" si="4"/>
        <v>10708.774619553735</v>
      </c>
      <c r="N30" s="641">
        <f t="shared" si="4"/>
        <v>10708.774619553735</v>
      </c>
      <c r="O30" s="641">
        <f t="shared" si="4"/>
        <v>10708.774619553735</v>
      </c>
      <c r="P30" s="641">
        <f t="shared" si="4"/>
        <v>10708.774619553735</v>
      </c>
    </row>
    <row r="31" spans="2:23">
      <c r="B31" t="s">
        <v>688</v>
      </c>
      <c r="D31" s="641">
        <f>'Debt Structs'!J74</f>
        <v>7109.9612500000003</v>
      </c>
      <c r="E31" s="641">
        <f>'Debt Structs'!J75</f>
        <v>6795.0650801640486</v>
      </c>
      <c r="F31" s="641">
        <f>'Debt Structs'!J76</f>
        <v>6452.6154954674503</v>
      </c>
      <c r="G31" s="641">
        <f>'Debt Structs'!J77</f>
        <v>6080.2015721099006</v>
      </c>
      <c r="H31" s="641">
        <f>'Debt Structs'!J78</f>
        <v>5675.2014304585646</v>
      </c>
      <c r="I31" s="641">
        <f>'Debt Structs'!J79</f>
        <v>5234.7637764127376</v>
      </c>
      <c r="J31" s="641">
        <f>'Debt Structs'!J80</f>
        <v>4755.7878276379006</v>
      </c>
      <c r="K31" s="641">
        <f>'Debt Structs'!J81</f>
        <v>4234.9014833452648</v>
      </c>
      <c r="L31" s="641">
        <f>'Debt Structs'!J82</f>
        <v>3668.4375839270233</v>
      </c>
      <c r="M31" s="641">
        <f>'Debt Structs'!J83</f>
        <v>3052.4080933096861</v>
      </c>
      <c r="N31" s="641">
        <f>'Debt Structs'!J84</f>
        <v>2382.4760222633317</v>
      </c>
      <c r="O31" s="641">
        <f>'Debt Structs'!J85</f>
        <v>1653.9248950004219</v>
      </c>
      <c r="P31" s="641">
        <f>'Debt Structs'!J86</f>
        <v>861.62554410200698</v>
      </c>
    </row>
    <row r="32" spans="2:23">
      <c r="B32" t="s">
        <v>689</v>
      </c>
      <c r="D32" s="641">
        <f>'Debt Structs'!K74</f>
        <v>3598.8133695537344</v>
      </c>
      <c r="E32" s="641">
        <f>'Debt Structs'!K75</f>
        <v>3913.7095393896861</v>
      </c>
      <c r="F32" s="641">
        <f>'Debt Structs'!K76</f>
        <v>4256.1591240862845</v>
      </c>
      <c r="G32" s="641">
        <f>'Debt Structs'!K77</f>
        <v>4628.5730474438342</v>
      </c>
      <c r="H32" s="641">
        <f>'Debt Structs'!K78</f>
        <v>5033.5731890951702</v>
      </c>
      <c r="I32" s="641">
        <f>'Debt Structs'!K79</f>
        <v>5474.0108431409972</v>
      </c>
      <c r="J32" s="641">
        <f>'Debt Structs'!K80</f>
        <v>5952.9867919158341</v>
      </c>
      <c r="K32" s="641">
        <f>'Debt Structs'!K81</f>
        <v>6473.87313620847</v>
      </c>
      <c r="L32" s="641">
        <f>'Debt Structs'!K82</f>
        <v>7040.3370356267114</v>
      </c>
      <c r="M32" s="641">
        <f>'Debt Structs'!K83</f>
        <v>7656.3665262440481</v>
      </c>
      <c r="N32" s="641">
        <f>'Debt Structs'!K84</f>
        <v>8326.2985972904025</v>
      </c>
      <c r="O32" s="641">
        <f>'Debt Structs'!K85</f>
        <v>9054.8497245533126</v>
      </c>
      <c r="P32" s="641">
        <f>'Debt Structs'!K86</f>
        <v>9847.1490754517272</v>
      </c>
    </row>
    <row r="35" spans="2:18">
      <c r="B35" s="531" t="s">
        <v>694</v>
      </c>
      <c r="D35" s="718">
        <v>2006</v>
      </c>
      <c r="E35" s="687">
        <f>D35+1</f>
        <v>2007</v>
      </c>
      <c r="F35" s="687">
        <f t="shared" ref="F35:R35" si="5">E35+1</f>
        <v>2008</v>
      </c>
      <c r="G35" s="687">
        <f t="shared" si="5"/>
        <v>2009</v>
      </c>
      <c r="H35" s="687">
        <f t="shared" si="5"/>
        <v>2010</v>
      </c>
      <c r="I35" s="687">
        <f t="shared" si="5"/>
        <v>2011</v>
      </c>
      <c r="J35" s="687">
        <f t="shared" si="5"/>
        <v>2012</v>
      </c>
      <c r="K35" s="687">
        <f t="shared" si="5"/>
        <v>2013</v>
      </c>
      <c r="L35" s="687">
        <f t="shared" si="5"/>
        <v>2014</v>
      </c>
      <c r="M35" s="687">
        <f t="shared" si="5"/>
        <v>2015</v>
      </c>
      <c r="N35" s="687">
        <f t="shared" si="5"/>
        <v>2016</v>
      </c>
      <c r="O35" s="687">
        <f t="shared" si="5"/>
        <v>2017</v>
      </c>
      <c r="P35" s="687">
        <f t="shared" si="5"/>
        <v>2018</v>
      </c>
      <c r="Q35" s="687">
        <f t="shared" si="5"/>
        <v>2019</v>
      </c>
      <c r="R35" s="687">
        <f t="shared" si="5"/>
        <v>2020</v>
      </c>
    </row>
    <row r="36" spans="2:18">
      <c r="B36" t="s">
        <v>686</v>
      </c>
      <c r="D36" s="717">
        <f>D15-F11</f>
        <v>74472.899999999994</v>
      </c>
      <c r="E36" s="717">
        <f>D36-D39</f>
        <v>71514.325860001729</v>
      </c>
      <c r="F36" s="717">
        <f t="shared" ref="F36:R36" si="6">E36-E39</f>
        <v>68296.876482753607</v>
      </c>
      <c r="G36" s="717">
        <f t="shared" si="6"/>
        <v>64797.900284996278</v>
      </c>
      <c r="H36" s="717">
        <f t="shared" si="6"/>
        <v>60992.763669935186</v>
      </c>
      <c r="I36" s="717">
        <f t="shared" si="6"/>
        <v>56854.677601056246</v>
      </c>
      <c r="J36" s="717">
        <f t="shared" si="6"/>
        <v>52354.5090011504</v>
      </c>
      <c r="K36" s="717">
        <f t="shared" si="6"/>
        <v>47460.575648752791</v>
      </c>
      <c r="L36" s="717">
        <f t="shared" si="6"/>
        <v>42138.423128020389</v>
      </c>
      <c r="M36" s="717">
        <f t="shared" si="6"/>
        <v>36350.582261723903</v>
      </c>
      <c r="N36" s="717">
        <f t="shared" si="6"/>
        <v>30056.305319626474</v>
      </c>
      <c r="O36" s="717">
        <f t="shared" si="6"/>
        <v>23211.279145095519</v>
      </c>
      <c r="P36" s="717">
        <f t="shared" si="6"/>
        <v>15767.313180293109</v>
      </c>
      <c r="Q36" s="717">
        <f t="shared" si="6"/>
        <v>7672.0001935704877</v>
      </c>
      <c r="R36" s="717">
        <f t="shared" si="6"/>
        <v>-1131.6526794903639</v>
      </c>
    </row>
    <row r="37" spans="2:18">
      <c r="B37" t="s">
        <v>687</v>
      </c>
      <c r="D37" s="641">
        <f>'Debt Structs'!C74</f>
        <v>10411.695093155853</v>
      </c>
      <c r="E37" s="641">
        <f>D37</f>
        <v>10411.695093155853</v>
      </c>
      <c r="F37" s="641">
        <f t="shared" ref="F37:R37" si="7">E37</f>
        <v>10411.695093155853</v>
      </c>
      <c r="G37" s="641">
        <f t="shared" si="7"/>
        <v>10411.695093155853</v>
      </c>
      <c r="H37" s="641">
        <f t="shared" si="7"/>
        <v>10411.695093155853</v>
      </c>
      <c r="I37" s="641">
        <f t="shared" si="7"/>
        <v>10411.695093155853</v>
      </c>
      <c r="J37" s="641">
        <f t="shared" si="7"/>
        <v>10411.695093155853</v>
      </c>
      <c r="K37" s="641">
        <f t="shared" si="7"/>
        <v>10411.695093155853</v>
      </c>
      <c r="L37" s="641">
        <f t="shared" si="7"/>
        <v>10411.695093155853</v>
      </c>
      <c r="M37" s="641">
        <f t="shared" si="7"/>
        <v>10411.695093155853</v>
      </c>
      <c r="N37" s="641">
        <f t="shared" si="7"/>
        <v>10411.695093155853</v>
      </c>
      <c r="O37" s="641">
        <f t="shared" si="7"/>
        <v>10411.695093155853</v>
      </c>
      <c r="P37" s="641">
        <f t="shared" si="7"/>
        <v>10411.695093155853</v>
      </c>
      <c r="Q37" s="641">
        <f t="shared" si="7"/>
        <v>10411.695093155853</v>
      </c>
      <c r="R37" s="641">
        <f t="shared" si="7"/>
        <v>10411.695093155853</v>
      </c>
    </row>
    <row r="38" spans="2:18">
      <c r="B38" t="s">
        <v>688</v>
      </c>
      <c r="D38" s="641">
        <f>'Debt Structs'!D74</f>
        <v>7453.1209531575832</v>
      </c>
      <c r="E38" s="641">
        <f>'Debt Structs'!D75</f>
        <v>7194.2457159077358</v>
      </c>
      <c r="F38" s="641">
        <f>'Debt Structs'!D76</f>
        <v>6912.7188953985251</v>
      </c>
      <c r="G38" s="641">
        <f>'Debt Structs'!D77</f>
        <v>6606.5584780947593</v>
      </c>
      <c r="H38" s="641">
        <f>'Debt Structs'!D78</f>
        <v>6273.6090242769133</v>
      </c>
      <c r="I38" s="641">
        <f>'Debt Structs'!D79</f>
        <v>5911.5264932500058</v>
      </c>
      <c r="J38" s="641">
        <f>'Debt Structs'!D80</f>
        <v>5517.7617407582447</v>
      </c>
      <c r="K38" s="641">
        <f>'Debt Structs'!D81</f>
        <v>5089.5425724234537</v>
      </c>
      <c r="L38" s="641">
        <f>'Debt Structs'!D82</f>
        <v>4623.8542268593683</v>
      </c>
      <c r="M38" s="641">
        <f>'Debt Structs'!D83</f>
        <v>4117.4181510584258</v>
      </c>
      <c r="N38" s="641">
        <f>'Debt Structs'!D84</f>
        <v>3566.6689186249009</v>
      </c>
      <c r="O38" s="641">
        <f>'Debt Structs'!D85</f>
        <v>2967.7291283534423</v>
      </c>
      <c r="P38" s="641">
        <f>'Debt Structs'!D86</f>
        <v>2316.3821064332315</v>
      </c>
      <c r="Q38" s="641">
        <f>'Debt Structs'!D87</f>
        <v>1608.042220095002</v>
      </c>
      <c r="R38" s="641">
        <f>'Debt Structs'!D88</f>
        <v>837.72259370217762</v>
      </c>
    </row>
    <row r="39" spans="2:18">
      <c r="B39" t="s">
        <v>689</v>
      </c>
      <c r="D39" s="641">
        <f>D37-D38</f>
        <v>2958.5741399982699</v>
      </c>
      <c r="E39" s="641">
        <f t="shared" ref="E39:R39" si="8">E37-E38</f>
        <v>3217.4493772481173</v>
      </c>
      <c r="F39" s="641">
        <f t="shared" si="8"/>
        <v>3498.976197757328</v>
      </c>
      <c r="G39" s="641">
        <f t="shared" si="8"/>
        <v>3805.1366150610938</v>
      </c>
      <c r="H39" s="641">
        <f t="shared" si="8"/>
        <v>4138.0860688789398</v>
      </c>
      <c r="I39" s="641">
        <f t="shared" si="8"/>
        <v>4500.1685999058473</v>
      </c>
      <c r="J39" s="641">
        <f t="shared" si="8"/>
        <v>4893.9333523976084</v>
      </c>
      <c r="K39" s="641">
        <f t="shared" si="8"/>
        <v>5322.1525207323994</v>
      </c>
      <c r="L39" s="641">
        <f t="shared" si="8"/>
        <v>5787.8408662964848</v>
      </c>
      <c r="M39" s="641">
        <f t="shared" si="8"/>
        <v>6294.2769420974273</v>
      </c>
      <c r="N39" s="641">
        <f t="shared" si="8"/>
        <v>6845.0261745309526</v>
      </c>
      <c r="O39" s="641">
        <f t="shared" si="8"/>
        <v>7443.9659648024108</v>
      </c>
      <c r="P39" s="641">
        <f t="shared" si="8"/>
        <v>8095.3129867226216</v>
      </c>
      <c r="Q39" s="641">
        <f t="shared" si="8"/>
        <v>8803.6528730608516</v>
      </c>
      <c r="R39" s="641">
        <f t="shared" si="8"/>
        <v>9573.9724994536755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tabSelected="1" topLeftCell="A39" zoomScale="85" workbookViewId="0">
      <selection activeCell="E65" sqref="E65"/>
    </sheetView>
  </sheetViews>
  <sheetFormatPr defaultRowHeight="12.75"/>
  <cols>
    <col min="1" max="1" width="11" customWidth="1"/>
    <col min="2" max="2" width="9.42578125" bestFit="1" customWidth="1"/>
    <col min="3" max="3" width="11.28515625" bestFit="1" customWidth="1"/>
    <col min="4" max="5" width="9.42578125" bestFit="1" customWidth="1"/>
    <col min="6" max="6" width="13" customWidth="1"/>
    <col min="8" max="8" width="11.5703125" bestFit="1" customWidth="1"/>
    <col min="10" max="10" width="11.5703125" bestFit="1" customWidth="1"/>
    <col min="11" max="11" width="9.28515625" customWidth="1"/>
    <col min="12" max="13" width="9.42578125" bestFit="1" customWidth="1"/>
    <col min="14" max="14" width="10.85546875" bestFit="1" customWidth="1"/>
  </cols>
  <sheetData>
    <row r="1" spans="1:18" ht="13.5" thickBot="1"/>
    <row r="2" spans="1:18">
      <c r="B2" s="643"/>
      <c r="C2" s="410"/>
      <c r="D2" s="671" t="s">
        <v>315</v>
      </c>
      <c r="E2" s="672" t="s">
        <v>621</v>
      </c>
      <c r="N2" s="638"/>
    </row>
    <row r="3" spans="1:18">
      <c r="B3" s="520"/>
      <c r="C3" s="650" t="s">
        <v>622</v>
      </c>
      <c r="D3" s="645">
        <f>Assumptions!C61</f>
        <v>116081</v>
      </c>
      <c r="E3" s="673">
        <f>Assumptions!C61</f>
        <v>116081</v>
      </c>
      <c r="N3" s="638"/>
    </row>
    <row r="4" spans="1:18">
      <c r="B4" s="520"/>
      <c r="C4" s="650" t="s">
        <v>623</v>
      </c>
      <c r="D4" s="674">
        <v>7</v>
      </c>
      <c r="E4" s="675">
        <v>5</v>
      </c>
    </row>
    <row r="5" spans="1:18">
      <c r="B5" s="520"/>
      <c r="C5" s="650" t="s">
        <v>624</v>
      </c>
      <c r="D5" s="676">
        <v>0.08</v>
      </c>
      <c r="E5" s="677">
        <v>0.08</v>
      </c>
    </row>
    <row r="6" spans="1:18">
      <c r="B6" s="520"/>
      <c r="C6" s="650" t="s">
        <v>625</v>
      </c>
      <c r="D6" s="674">
        <v>12</v>
      </c>
      <c r="E6" s="675">
        <v>0</v>
      </c>
    </row>
    <row r="7" spans="1:18">
      <c r="B7" s="520"/>
      <c r="C7" s="650" t="s">
        <v>626</v>
      </c>
      <c r="D7" s="678">
        <v>0.3</v>
      </c>
      <c r="E7" s="679">
        <v>0.1</v>
      </c>
    </row>
    <row r="8" spans="1:18">
      <c r="B8" s="520"/>
      <c r="C8" s="650" t="s">
        <v>627</v>
      </c>
      <c r="D8" s="645">
        <f>+D3*D7</f>
        <v>34824.299999999996</v>
      </c>
      <c r="E8" s="673">
        <f>+E3*E7</f>
        <v>11608.1</v>
      </c>
    </row>
    <row r="9" spans="1:18">
      <c r="B9" s="520"/>
      <c r="C9" s="650" t="s">
        <v>628</v>
      </c>
      <c r="D9" s="680">
        <v>0</v>
      </c>
      <c r="E9" s="681">
        <v>0</v>
      </c>
    </row>
    <row r="10" spans="1:18">
      <c r="B10" s="520"/>
      <c r="C10" s="650" t="s">
        <v>629</v>
      </c>
      <c r="D10" s="674">
        <v>5</v>
      </c>
      <c r="E10" s="675">
        <v>5</v>
      </c>
    </row>
    <row r="11" spans="1:18">
      <c r="B11" s="520"/>
      <c r="C11" s="650" t="s">
        <v>630</v>
      </c>
      <c r="D11" s="674">
        <v>230</v>
      </c>
      <c r="E11" s="675">
        <v>230</v>
      </c>
    </row>
    <row r="12" spans="1:18" ht="13.5" thickBot="1">
      <c r="B12" s="657"/>
      <c r="C12" s="682" t="s">
        <v>631</v>
      </c>
      <c r="D12" s="683">
        <v>6.5</v>
      </c>
      <c r="E12" s="684">
        <v>4.25</v>
      </c>
    </row>
    <row r="13" spans="1:18">
      <c r="Q13" t="s">
        <v>632</v>
      </c>
      <c r="R13" t="s">
        <v>633</v>
      </c>
    </row>
    <row r="14" spans="1:18">
      <c r="B14" s="740" t="s">
        <v>691</v>
      </c>
      <c r="C14" s="740"/>
      <c r="D14" s="740"/>
      <c r="E14" s="740"/>
      <c r="G14" s="740" t="s">
        <v>652</v>
      </c>
      <c r="H14" s="740"/>
      <c r="I14" s="740"/>
      <c r="J14" s="740"/>
      <c r="L14" s="740" t="s">
        <v>634</v>
      </c>
      <c r="M14" s="740"/>
      <c r="N14" s="740"/>
      <c r="O14" s="740"/>
      <c r="Q14" t="s">
        <v>635</v>
      </c>
      <c r="R14" t="s">
        <v>635</v>
      </c>
    </row>
    <row r="15" spans="1:18">
      <c r="B15" s="535" t="s">
        <v>636</v>
      </c>
      <c r="C15" s="535" t="s">
        <v>637</v>
      </c>
      <c r="D15" s="535" t="s">
        <v>638</v>
      </c>
      <c r="E15" s="535" t="s">
        <v>639</v>
      </c>
      <c r="F15" s="640"/>
      <c r="G15" s="535" t="s">
        <v>636</v>
      </c>
      <c r="H15" s="535" t="s">
        <v>637</v>
      </c>
      <c r="I15" s="535" t="s">
        <v>638</v>
      </c>
      <c r="J15" s="535" t="s">
        <v>639</v>
      </c>
      <c r="K15" s="640"/>
      <c r="L15" s="535" t="s">
        <v>636</v>
      </c>
      <c r="M15" s="535" t="s">
        <v>637</v>
      </c>
      <c r="N15" s="535" t="s">
        <v>638</v>
      </c>
      <c r="O15" s="535" t="s">
        <v>639</v>
      </c>
    </row>
    <row r="16" spans="1:18">
      <c r="A16">
        <v>1</v>
      </c>
      <c r="B16" s="641">
        <f>+D3-D8</f>
        <v>81256.700000000012</v>
      </c>
      <c r="C16" s="638">
        <f t="shared" ref="C16:C27" si="0">-PMT($D$5,$D$6,$D$3-$D$8)</f>
        <v>10782.359181726544</v>
      </c>
      <c r="D16" s="638">
        <f t="shared" ref="D16:D27" si="1">+B16*$D$5</f>
        <v>6500.536000000001</v>
      </c>
      <c r="E16" s="641">
        <f>+C16-D16</f>
        <v>4281.8231817265432</v>
      </c>
      <c r="F16">
        <v>1</v>
      </c>
      <c r="G16" s="641">
        <f>+D3-D8</f>
        <v>81256.700000000012</v>
      </c>
      <c r="H16" s="638">
        <f>+I16+J16</f>
        <v>10782.359181726544</v>
      </c>
      <c r="I16" s="638">
        <f t="shared" ref="I16:I22" si="2">+G16*$D$5</f>
        <v>6500.536000000001</v>
      </c>
      <c r="J16" s="641">
        <f>+E16</f>
        <v>4281.8231817265432</v>
      </c>
      <c r="K16">
        <v>1</v>
      </c>
      <c r="L16" s="641">
        <f>+$E$3-$E$8</f>
        <v>104472.9</v>
      </c>
      <c r="M16" s="641">
        <f>+N16+O16</f>
        <v>8357.8320000000003</v>
      </c>
      <c r="N16" s="638">
        <f>+L16*$E$5</f>
        <v>8357.8320000000003</v>
      </c>
      <c r="O16" s="638">
        <v>0</v>
      </c>
      <c r="Q16" s="641">
        <f>+H16-M16</f>
        <v>2424.5271817265439</v>
      </c>
      <c r="R16" s="639">
        <f>+((Q16*1000)/(+$D$11*1000))/12</f>
        <v>0.87845187743715358</v>
      </c>
    </row>
    <row r="17" spans="1:18">
      <c r="A17">
        <f t="shared" ref="A17:A27" si="3">+A16+1</f>
        <v>2</v>
      </c>
      <c r="B17" s="641">
        <f>+B16-E16</f>
        <v>76974.876818273464</v>
      </c>
      <c r="C17" s="638">
        <f t="shared" si="0"/>
        <v>10782.359181726544</v>
      </c>
      <c r="D17" s="638">
        <f t="shared" si="1"/>
        <v>6157.9901454618775</v>
      </c>
      <c r="E17" s="641">
        <f t="shared" ref="E17:E27" si="4">+C17-D17</f>
        <v>4624.3690362646666</v>
      </c>
      <c r="F17">
        <v>2</v>
      </c>
      <c r="G17" s="641">
        <f t="shared" ref="G17:G22" si="5">+G16-J16</f>
        <v>76974.876818273464</v>
      </c>
      <c r="H17" s="638">
        <f t="shared" ref="H17:H22" si="6">+I17+J17</f>
        <v>10782.359181726544</v>
      </c>
      <c r="I17" s="638">
        <f t="shared" si="2"/>
        <v>6157.9901454618775</v>
      </c>
      <c r="J17" s="641">
        <f t="shared" ref="J17:J22" si="7">+E17</f>
        <v>4624.3690362646666</v>
      </c>
      <c r="K17">
        <v>2</v>
      </c>
      <c r="L17" s="641">
        <f>+L16-O16</f>
        <v>104472.9</v>
      </c>
      <c r="M17" s="641">
        <f>+N17+O17</f>
        <v>8357.8320000000003</v>
      </c>
      <c r="N17" s="638">
        <f>+L17*$E$5</f>
        <v>8357.8320000000003</v>
      </c>
      <c r="O17" s="638">
        <v>0</v>
      </c>
    </row>
    <row r="18" spans="1:18">
      <c r="A18">
        <f t="shared" si="3"/>
        <v>3</v>
      </c>
      <c r="B18" s="641">
        <f>+B17-E17</f>
        <v>72350.50778200879</v>
      </c>
      <c r="C18" s="638">
        <f t="shared" si="0"/>
        <v>10782.359181726544</v>
      </c>
      <c r="D18" s="638">
        <f t="shared" si="1"/>
        <v>5788.040622560703</v>
      </c>
      <c r="E18" s="641">
        <f t="shared" si="4"/>
        <v>4994.3185591658412</v>
      </c>
      <c r="F18">
        <v>3</v>
      </c>
      <c r="G18" s="641">
        <f t="shared" si="5"/>
        <v>72350.50778200879</v>
      </c>
      <c r="H18" s="638">
        <f t="shared" si="6"/>
        <v>10782.359181726544</v>
      </c>
      <c r="I18" s="638">
        <f t="shared" si="2"/>
        <v>5788.040622560703</v>
      </c>
      <c r="J18" s="641">
        <f t="shared" si="7"/>
        <v>4994.3185591658412</v>
      </c>
      <c r="K18">
        <v>3</v>
      </c>
      <c r="L18" s="641">
        <f>+L17-O17</f>
        <v>104472.9</v>
      </c>
      <c r="M18" s="641">
        <f>+N18+O18</f>
        <v>8357.8320000000003</v>
      </c>
      <c r="N18" s="638">
        <f>+L18*$E$5</f>
        <v>8357.8320000000003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67356.18922284295</v>
      </c>
      <c r="C19" s="638">
        <f t="shared" si="0"/>
        <v>10782.359181726544</v>
      </c>
      <c r="D19" s="638">
        <f t="shared" si="1"/>
        <v>5388.4951378274363</v>
      </c>
      <c r="E19" s="641">
        <f t="shared" si="4"/>
        <v>5393.8640438991079</v>
      </c>
      <c r="F19">
        <v>4</v>
      </c>
      <c r="G19" s="641">
        <f t="shared" si="5"/>
        <v>67356.18922284295</v>
      </c>
      <c r="H19" s="638">
        <f t="shared" si="6"/>
        <v>10782.359181726544</v>
      </c>
      <c r="I19" s="638">
        <f t="shared" si="2"/>
        <v>5388.4951378274363</v>
      </c>
      <c r="J19" s="641">
        <f t="shared" si="7"/>
        <v>5393.8640438991079</v>
      </c>
      <c r="K19">
        <v>4</v>
      </c>
      <c r="L19" s="641">
        <f>+L18-O18</f>
        <v>104472.9</v>
      </c>
      <c r="M19" s="641">
        <f>+N19+O19</f>
        <v>8357.8320000000003</v>
      </c>
      <c r="N19" s="638">
        <f>+L19*$E$5</f>
        <v>8357.8320000000003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61962.325178943844</v>
      </c>
      <c r="C20" s="638">
        <f t="shared" si="0"/>
        <v>10782.359181726544</v>
      </c>
      <c r="D20" s="638">
        <f t="shared" si="1"/>
        <v>4956.9860143155074</v>
      </c>
      <c r="E20" s="641">
        <f t="shared" si="4"/>
        <v>5825.3731674110368</v>
      </c>
      <c r="F20">
        <v>5</v>
      </c>
      <c r="G20" s="641">
        <f t="shared" si="5"/>
        <v>61962.325178943844</v>
      </c>
      <c r="H20" s="638">
        <f t="shared" si="6"/>
        <v>10782.359181726544</v>
      </c>
      <c r="I20" s="638">
        <f t="shared" si="2"/>
        <v>4956.9860143155074</v>
      </c>
      <c r="J20" s="641">
        <f t="shared" si="7"/>
        <v>5825.3731674110368</v>
      </c>
      <c r="K20">
        <v>5</v>
      </c>
      <c r="L20" s="641">
        <f>+L19-O19</f>
        <v>104472.9</v>
      </c>
      <c r="M20" s="641">
        <f>+N20+O20</f>
        <v>8357.8320000000003</v>
      </c>
      <c r="N20" s="638">
        <f>+L20*$E$5</f>
        <v>8357.8320000000003</v>
      </c>
      <c r="O20" s="638">
        <v>0</v>
      </c>
      <c r="Q20" s="638">
        <f>+Q18*Q19</f>
        <v>6300</v>
      </c>
      <c r="R20" s="639">
        <f>+((Q20*1000)/(+$D$11*1000))/12</f>
        <v>2.2826086956521738</v>
      </c>
    </row>
    <row r="21" spans="1:18">
      <c r="A21">
        <f t="shared" si="3"/>
        <v>6</v>
      </c>
      <c r="B21" s="641">
        <f t="shared" si="8"/>
        <v>56136.952011532805</v>
      </c>
      <c r="C21" s="638">
        <f t="shared" si="0"/>
        <v>10782.359181726544</v>
      </c>
      <c r="D21" s="638">
        <f t="shared" si="1"/>
        <v>4490.9561609226248</v>
      </c>
      <c r="E21" s="641">
        <f t="shared" si="4"/>
        <v>6291.4030208039194</v>
      </c>
      <c r="F21">
        <v>6</v>
      </c>
      <c r="G21" s="641">
        <f t="shared" si="5"/>
        <v>56136.952011532805</v>
      </c>
      <c r="H21" s="638">
        <f t="shared" si="6"/>
        <v>10782.359181726544</v>
      </c>
      <c r="I21" s="638">
        <f t="shared" si="2"/>
        <v>4490.9561609226248</v>
      </c>
      <c r="J21" s="641">
        <f t="shared" si="7"/>
        <v>6291.4030208039194</v>
      </c>
    </row>
    <row r="22" spans="1:18">
      <c r="A22">
        <f t="shared" si="3"/>
        <v>7</v>
      </c>
      <c r="B22" s="641">
        <f t="shared" si="8"/>
        <v>49845.548990728887</v>
      </c>
      <c r="C22" s="638">
        <f t="shared" si="0"/>
        <v>10782.359181726544</v>
      </c>
      <c r="D22" s="638">
        <f t="shared" si="1"/>
        <v>3987.6439192583111</v>
      </c>
      <c r="E22" s="641">
        <f t="shared" si="4"/>
        <v>6794.715262468233</v>
      </c>
      <c r="F22">
        <v>7</v>
      </c>
      <c r="G22" s="641">
        <f t="shared" si="5"/>
        <v>49845.548990728887</v>
      </c>
      <c r="H22" s="638">
        <f t="shared" si="6"/>
        <v>10782.359181726544</v>
      </c>
      <c r="I22" s="638">
        <f t="shared" si="2"/>
        <v>3987.6439192583111</v>
      </c>
      <c r="J22" s="641">
        <f t="shared" si="7"/>
        <v>6794.715262468233</v>
      </c>
      <c r="R22" s="642">
        <f>+R20+R16</f>
        <v>3.1610605730893275</v>
      </c>
    </row>
    <row r="23" spans="1:18">
      <c r="A23">
        <f t="shared" si="3"/>
        <v>8</v>
      </c>
      <c r="B23" s="641">
        <f t="shared" si="8"/>
        <v>43050.833728260652</v>
      </c>
      <c r="C23" s="638">
        <f t="shared" si="0"/>
        <v>10782.359181726544</v>
      </c>
      <c r="D23" s="638">
        <f t="shared" si="1"/>
        <v>3444.0666982608523</v>
      </c>
      <c r="E23" s="641">
        <f t="shared" si="4"/>
        <v>7338.2924834656915</v>
      </c>
      <c r="G23" s="641"/>
      <c r="H23" s="638"/>
      <c r="I23" s="638"/>
      <c r="J23" s="641"/>
    </row>
    <row r="24" spans="1:18">
      <c r="A24">
        <f t="shared" si="3"/>
        <v>9</v>
      </c>
      <c r="B24" s="641">
        <f t="shared" si="8"/>
        <v>35712.541244794964</v>
      </c>
      <c r="C24" s="638">
        <f t="shared" si="0"/>
        <v>10782.359181726544</v>
      </c>
      <c r="D24" s="638">
        <f t="shared" si="1"/>
        <v>2857.0032995835973</v>
      </c>
      <c r="E24" s="641">
        <f t="shared" si="4"/>
        <v>7925.3558821429469</v>
      </c>
      <c r="G24" s="641"/>
      <c r="H24" s="638"/>
      <c r="I24" s="638"/>
      <c r="J24" s="641"/>
    </row>
    <row r="25" spans="1:18">
      <c r="A25">
        <f t="shared" si="3"/>
        <v>10</v>
      </c>
      <c r="B25" s="641">
        <f t="shared" si="8"/>
        <v>27787.185362652017</v>
      </c>
      <c r="C25" s="638">
        <f t="shared" si="0"/>
        <v>10782.359181726544</v>
      </c>
      <c r="D25" s="638">
        <f t="shared" si="1"/>
        <v>2222.9748290121615</v>
      </c>
      <c r="E25" s="641">
        <f t="shared" si="4"/>
        <v>8559.3843527143836</v>
      </c>
      <c r="G25" s="641"/>
      <c r="H25" s="638"/>
      <c r="I25" s="638"/>
      <c r="J25" s="641"/>
      <c r="K25" s="740" t="s">
        <v>714</v>
      </c>
      <c r="L25" s="740"/>
      <c r="M25" s="740"/>
      <c r="N25" s="740"/>
      <c r="O25" s="740"/>
    </row>
    <row r="26" spans="1:18">
      <c r="A26">
        <f t="shared" si="3"/>
        <v>11</v>
      </c>
      <c r="B26" s="641">
        <f t="shared" si="8"/>
        <v>19227.801009937633</v>
      </c>
      <c r="C26" s="638">
        <f t="shared" si="0"/>
        <v>10782.359181726544</v>
      </c>
      <c r="D26" s="638">
        <f t="shared" si="1"/>
        <v>1538.2240807950107</v>
      </c>
      <c r="E26" s="641">
        <f t="shared" si="4"/>
        <v>9244.1351009315331</v>
      </c>
      <c r="K26" s="640"/>
      <c r="L26" s="535" t="s">
        <v>636</v>
      </c>
      <c r="M26" s="535" t="s">
        <v>637</v>
      </c>
      <c r="N26" s="535" t="s">
        <v>638</v>
      </c>
      <c r="O26" s="535" t="s">
        <v>639</v>
      </c>
    </row>
    <row r="27" spans="1:18">
      <c r="A27">
        <f t="shared" si="3"/>
        <v>12</v>
      </c>
      <c r="B27" s="641">
        <f t="shared" si="8"/>
        <v>9983.6659090061003</v>
      </c>
      <c r="C27" s="638">
        <f t="shared" si="0"/>
        <v>10782.359181726544</v>
      </c>
      <c r="D27" s="638">
        <f t="shared" si="1"/>
        <v>798.69327272048804</v>
      </c>
      <c r="E27" s="641">
        <f t="shared" si="4"/>
        <v>9983.6659090060566</v>
      </c>
      <c r="K27">
        <v>1</v>
      </c>
      <c r="L27" s="641">
        <f>+$E$3-$E$8</f>
        <v>104472.9</v>
      </c>
      <c r="M27" s="641">
        <f>+N27+O27</f>
        <v>12639.655181726543</v>
      </c>
      <c r="N27" s="638">
        <f>+L27*$E$5</f>
        <v>8357.8320000000003</v>
      </c>
      <c r="O27" s="638">
        <f>J16</f>
        <v>4281.8231817265432</v>
      </c>
    </row>
    <row r="28" spans="1:18">
      <c r="B28" s="641"/>
      <c r="C28" s="638"/>
      <c r="D28" s="638"/>
      <c r="E28" s="641"/>
      <c r="K28">
        <v>2</v>
      </c>
      <c r="L28" s="641">
        <f>+L27-O27</f>
        <v>100191.07681827345</v>
      </c>
      <c r="M28" s="641">
        <f>+N28+O28</f>
        <v>12639.655181726543</v>
      </c>
      <c r="N28" s="638">
        <f>+L28*$E$5</f>
        <v>8015.286145461876</v>
      </c>
      <c r="O28" s="638">
        <f>J17</f>
        <v>4624.3690362646666</v>
      </c>
    </row>
    <row r="29" spans="1:18">
      <c r="B29" s="641"/>
      <c r="C29" s="638"/>
      <c r="D29" s="638"/>
      <c r="E29" s="641"/>
      <c r="K29">
        <v>3</v>
      </c>
      <c r="L29" s="641">
        <f>+L28-O28</f>
        <v>95566.707782008772</v>
      </c>
      <c r="M29" s="641">
        <f>+N29+O29</f>
        <v>12639.655181726543</v>
      </c>
      <c r="N29" s="638">
        <f>+L29*$E$5</f>
        <v>7645.3366225607024</v>
      </c>
      <c r="O29" s="638">
        <f>J18</f>
        <v>4994.3185591658412</v>
      </c>
    </row>
    <row r="30" spans="1:18">
      <c r="B30" s="641"/>
      <c r="C30" s="638"/>
      <c r="D30" s="638"/>
      <c r="E30" s="641"/>
      <c r="K30">
        <v>4</v>
      </c>
      <c r="L30" s="641">
        <f>+L29-O29</f>
        <v>90572.389222842932</v>
      </c>
      <c r="M30" s="641">
        <f>+N30+O30</f>
        <v>12639.655181726543</v>
      </c>
      <c r="N30" s="638">
        <f>+L30*$E$5</f>
        <v>7245.7911378274348</v>
      </c>
      <c r="O30" s="638">
        <f>J19</f>
        <v>5393.8640438991079</v>
      </c>
    </row>
    <row r="31" spans="1:18">
      <c r="K31">
        <v>5</v>
      </c>
      <c r="L31" s="641">
        <f>+L30-O30</f>
        <v>85178.525178943819</v>
      </c>
      <c r="M31" s="641">
        <f>+N31+O31</f>
        <v>12639.655181726543</v>
      </c>
      <c r="N31" s="638">
        <f>+L31*$E$5</f>
        <v>6814.2820143155059</v>
      </c>
      <c r="O31" s="638">
        <f>J20</f>
        <v>5825.3731674110368</v>
      </c>
    </row>
    <row r="32" spans="1:18">
      <c r="G32" s="178"/>
      <c r="H32" s="178"/>
      <c r="I32" s="178"/>
      <c r="J32" s="178"/>
      <c r="K32" s="178"/>
      <c r="L32" s="178"/>
      <c r="M32" s="178"/>
      <c r="N32" s="178"/>
      <c r="O32" s="178"/>
      <c r="P32" s="178"/>
    </row>
    <row r="33" spans="1:16">
      <c r="B33" s="740" t="s">
        <v>640</v>
      </c>
      <c r="C33" s="740"/>
      <c r="D33" s="740"/>
      <c r="E33" s="740"/>
      <c r="G33" s="178"/>
      <c r="H33" s="178"/>
      <c r="I33" s="178"/>
      <c r="J33" s="644"/>
      <c r="K33" s="644"/>
      <c r="L33" s="644"/>
      <c r="M33" s="644"/>
      <c r="N33" s="178"/>
      <c r="O33" s="178"/>
      <c r="P33" s="178"/>
    </row>
    <row r="34" spans="1:16">
      <c r="B34" s="535" t="s">
        <v>636</v>
      </c>
      <c r="C34" s="535" t="s">
        <v>637</v>
      </c>
      <c r="D34" s="535" t="s">
        <v>638</v>
      </c>
      <c r="E34" s="535" t="s">
        <v>639</v>
      </c>
      <c r="G34" s="178"/>
      <c r="H34" s="178"/>
      <c r="I34" s="178"/>
      <c r="J34" s="178"/>
      <c r="K34" s="178"/>
      <c r="L34" s="178"/>
      <c r="M34" s="178"/>
      <c r="N34" s="178"/>
      <c r="O34" s="178"/>
      <c r="P34" s="178"/>
    </row>
    <row r="35" spans="1:16">
      <c r="A35">
        <v>1</v>
      </c>
      <c r="B35" s="641">
        <f>+D3-D8</f>
        <v>81256.700000000012</v>
      </c>
      <c r="C35" s="638">
        <f>-PMT(+$D$5,10,$D$3-$D$8)</f>
        <v>12109.644454211644</v>
      </c>
      <c r="D35" s="638">
        <f t="shared" ref="D35:D44" si="9">+B35*$D$5</f>
        <v>6500.536000000001</v>
      </c>
      <c r="E35" s="638">
        <f t="shared" ref="E35:E44" si="10">+C35-D35</f>
        <v>5609.1084542116432</v>
      </c>
      <c r="G35" s="648"/>
      <c r="H35" s="178"/>
      <c r="I35" s="178"/>
      <c r="J35" s="645"/>
      <c r="K35" s="645"/>
      <c r="L35" s="645"/>
      <c r="M35" s="645"/>
      <c r="N35" s="178"/>
      <c r="O35" s="178"/>
      <c r="P35" s="178"/>
    </row>
    <row r="36" spans="1:16">
      <c r="A36">
        <f t="shared" ref="A36:A44" si="11">+A35+1</f>
        <v>2</v>
      </c>
      <c r="B36" s="641">
        <f t="shared" ref="B36:B44" si="12">+B35-E35</f>
        <v>75647.591545788368</v>
      </c>
      <c r="C36" s="638">
        <f t="shared" ref="C36:C44" si="13">-PMT(+$D$5,10,$D$3-$D$8)</f>
        <v>12109.644454211644</v>
      </c>
      <c r="D36" s="638">
        <f t="shared" si="9"/>
        <v>6051.8073236630698</v>
      </c>
      <c r="E36" s="638">
        <f t="shared" si="10"/>
        <v>6057.8371305485744</v>
      </c>
      <c r="G36" s="648"/>
      <c r="H36" s="178"/>
      <c r="I36" s="646"/>
      <c r="J36" s="645"/>
      <c r="K36" s="645"/>
      <c r="L36" s="647"/>
      <c r="M36" s="645"/>
      <c r="N36" s="178"/>
      <c r="O36" s="178"/>
      <c r="P36" s="178"/>
    </row>
    <row r="37" spans="1:16">
      <c r="A37">
        <f t="shared" si="11"/>
        <v>3</v>
      </c>
      <c r="B37" s="641">
        <f t="shared" si="12"/>
        <v>69589.75441523979</v>
      </c>
      <c r="C37" s="638">
        <f t="shared" si="13"/>
        <v>12109.644454211644</v>
      </c>
      <c r="D37" s="638">
        <f t="shared" si="9"/>
        <v>5567.1803532191834</v>
      </c>
      <c r="E37" s="638">
        <f t="shared" si="10"/>
        <v>6542.4641009924608</v>
      </c>
      <c r="G37" s="648"/>
      <c r="H37" s="648"/>
      <c r="I37" s="178"/>
      <c r="J37" s="645"/>
      <c r="K37" s="645"/>
      <c r="L37" s="649"/>
      <c r="M37" s="645"/>
      <c r="N37" s="178"/>
      <c r="O37" s="178"/>
      <c r="P37" s="178"/>
    </row>
    <row r="38" spans="1:16">
      <c r="A38">
        <f t="shared" si="11"/>
        <v>4</v>
      </c>
      <c r="B38" s="641">
        <f t="shared" si="12"/>
        <v>63047.29031424733</v>
      </c>
      <c r="C38" s="638">
        <f t="shared" si="13"/>
        <v>12109.644454211644</v>
      </c>
      <c r="D38" s="638">
        <f t="shared" si="9"/>
        <v>5043.7832251397867</v>
      </c>
      <c r="E38" s="638">
        <f t="shared" si="10"/>
        <v>7065.8612290718575</v>
      </c>
      <c r="G38" s="178"/>
      <c r="H38" s="178"/>
      <c r="I38" s="646"/>
      <c r="J38" s="645"/>
      <c r="K38" s="645"/>
      <c r="L38" s="647"/>
      <c r="M38" s="645"/>
      <c r="N38" s="178"/>
      <c r="O38" s="178"/>
      <c r="P38" s="178"/>
    </row>
    <row r="39" spans="1:16">
      <c r="A39">
        <f t="shared" si="11"/>
        <v>5</v>
      </c>
      <c r="B39" s="641">
        <f t="shared" si="12"/>
        <v>55981.42908517547</v>
      </c>
      <c r="C39" s="638">
        <f t="shared" si="13"/>
        <v>12109.644454211644</v>
      </c>
      <c r="D39" s="638">
        <f t="shared" si="9"/>
        <v>4478.5143268140373</v>
      </c>
      <c r="E39" s="638">
        <f t="shared" si="10"/>
        <v>7631.1301273976069</v>
      </c>
      <c r="G39" s="178"/>
      <c r="H39" s="178"/>
      <c r="I39" s="178"/>
      <c r="J39" s="645"/>
      <c r="K39" s="645"/>
      <c r="L39" s="649"/>
      <c r="M39" s="645"/>
      <c r="N39" s="178"/>
      <c r="O39" s="178"/>
      <c r="P39" s="178"/>
    </row>
    <row r="40" spans="1:16">
      <c r="A40">
        <f t="shared" si="11"/>
        <v>6</v>
      </c>
      <c r="B40" s="641">
        <f t="shared" si="12"/>
        <v>48350.298957777864</v>
      </c>
      <c r="C40" s="638">
        <f t="shared" si="13"/>
        <v>12109.644454211644</v>
      </c>
      <c r="D40" s="638">
        <f t="shared" si="9"/>
        <v>3868.0239166222291</v>
      </c>
      <c r="E40" s="638">
        <f t="shared" si="10"/>
        <v>8241.6205375894151</v>
      </c>
      <c r="G40" s="178"/>
      <c r="H40" s="178"/>
      <c r="I40" s="178"/>
      <c r="J40" s="178"/>
      <c r="K40" s="178"/>
      <c r="L40" s="650"/>
      <c r="M40" s="178"/>
      <c r="N40" s="178"/>
      <c r="O40" s="178"/>
      <c r="P40" s="178"/>
    </row>
    <row r="41" spans="1:16">
      <c r="A41">
        <f t="shared" si="11"/>
        <v>7</v>
      </c>
      <c r="B41" s="641">
        <f t="shared" si="12"/>
        <v>40108.678420188451</v>
      </c>
      <c r="C41" s="638">
        <f t="shared" si="13"/>
        <v>12109.644454211644</v>
      </c>
      <c r="D41" s="638">
        <f t="shared" si="9"/>
        <v>3208.6942736150763</v>
      </c>
      <c r="E41" s="638">
        <f t="shared" si="10"/>
        <v>8900.9501805965683</v>
      </c>
      <c r="G41" s="178"/>
      <c r="H41" s="178"/>
      <c r="I41" s="178"/>
      <c r="J41" s="178"/>
      <c r="K41" s="178"/>
      <c r="L41" s="650"/>
      <c r="M41" s="178"/>
      <c r="N41" s="651"/>
      <c r="O41" s="420"/>
      <c r="P41" s="178"/>
    </row>
    <row r="42" spans="1:16">
      <c r="A42">
        <f t="shared" si="11"/>
        <v>8</v>
      </c>
      <c r="B42" s="641">
        <f t="shared" si="12"/>
        <v>31207.728239591881</v>
      </c>
      <c r="C42" s="638">
        <f t="shared" si="13"/>
        <v>12109.644454211644</v>
      </c>
      <c r="D42" s="638">
        <f t="shared" si="9"/>
        <v>2496.6182591673505</v>
      </c>
      <c r="E42" s="638">
        <f t="shared" si="10"/>
        <v>9613.0261950442946</v>
      </c>
      <c r="G42" s="178"/>
      <c r="H42" s="650"/>
      <c r="I42" s="646"/>
      <c r="J42" s="645"/>
      <c r="K42" s="178"/>
      <c r="L42" s="650"/>
      <c r="M42" s="645"/>
      <c r="N42" s="645"/>
      <c r="O42" s="652"/>
      <c r="P42" s="178"/>
    </row>
    <row r="43" spans="1:16">
      <c r="A43">
        <f t="shared" si="11"/>
        <v>9</v>
      </c>
      <c r="B43" s="641">
        <f t="shared" si="12"/>
        <v>21594.702044547586</v>
      </c>
      <c r="C43" s="638">
        <f t="shared" si="13"/>
        <v>12109.644454211644</v>
      </c>
      <c r="D43" s="638">
        <f t="shared" si="9"/>
        <v>1727.5761635638069</v>
      </c>
      <c r="E43" s="638">
        <f t="shared" si="10"/>
        <v>10382.068290647838</v>
      </c>
      <c r="G43" s="178"/>
      <c r="H43" s="650"/>
      <c r="I43" s="653"/>
      <c r="J43" s="645"/>
      <c r="K43" s="178"/>
      <c r="L43" s="654"/>
      <c r="M43" s="645"/>
      <c r="N43" s="645"/>
      <c r="O43" s="652"/>
      <c r="P43" s="178"/>
    </row>
    <row r="44" spans="1:16">
      <c r="A44">
        <f t="shared" si="11"/>
        <v>10</v>
      </c>
      <c r="B44" s="641">
        <f t="shared" si="12"/>
        <v>11212.633753899749</v>
      </c>
      <c r="C44" s="638">
        <f t="shared" si="13"/>
        <v>12109.644454211644</v>
      </c>
      <c r="D44" s="638">
        <f t="shared" si="9"/>
        <v>897.01070031197992</v>
      </c>
      <c r="E44" s="638">
        <f t="shared" si="10"/>
        <v>11212.633753899665</v>
      </c>
      <c r="G44" s="178"/>
      <c r="H44" s="650"/>
      <c r="I44" s="653"/>
      <c r="J44" s="645"/>
      <c r="K44" s="178"/>
      <c r="L44" s="654"/>
      <c r="M44" s="645"/>
      <c r="N44" s="645"/>
      <c r="O44" s="652"/>
      <c r="P44" s="178"/>
    </row>
    <row r="45" spans="1:16">
      <c r="G45" s="178"/>
      <c r="H45" s="650"/>
      <c r="I45" s="653"/>
      <c r="J45" s="645"/>
      <c r="K45" s="178"/>
      <c r="L45" s="654"/>
      <c r="M45" s="645"/>
      <c r="N45" s="645"/>
      <c r="O45" s="652"/>
      <c r="P45" s="178"/>
    </row>
    <row r="46" spans="1:16">
      <c r="G46" s="178"/>
      <c r="H46" s="178"/>
      <c r="I46" s="655"/>
      <c r="J46" s="178"/>
      <c r="K46" s="178"/>
      <c r="L46" s="650"/>
      <c r="M46" s="645"/>
      <c r="N46" s="178"/>
      <c r="O46" s="178"/>
      <c r="P46" s="178"/>
    </row>
    <row r="47" spans="1:16">
      <c r="G47" s="178"/>
      <c r="H47" s="420"/>
      <c r="I47" s="178"/>
      <c r="J47" s="178"/>
      <c r="K47" s="178"/>
      <c r="L47" s="650"/>
      <c r="M47" s="645"/>
      <c r="N47" s="178"/>
      <c r="O47" s="656"/>
      <c r="P47" s="178"/>
    </row>
    <row r="48" spans="1:16">
      <c r="G48" s="178"/>
      <c r="H48" s="178"/>
      <c r="I48" s="178"/>
      <c r="J48" s="178"/>
      <c r="K48" s="178"/>
      <c r="L48" s="178"/>
      <c r="M48" s="645"/>
      <c r="N48" s="178"/>
      <c r="O48" s="656"/>
      <c r="P48" s="178"/>
    </row>
    <row r="49" spans="2:16">
      <c r="G49" s="178"/>
      <c r="H49" s="178"/>
      <c r="I49" s="178"/>
      <c r="J49" s="178"/>
      <c r="K49" s="178"/>
      <c r="L49" s="178"/>
      <c r="M49" s="645"/>
      <c r="N49" s="178"/>
      <c r="O49" s="178"/>
      <c r="P49" s="178"/>
    </row>
    <row r="51" spans="2:16">
      <c r="B51" s="641"/>
      <c r="C51" s="638"/>
      <c r="D51" s="638"/>
      <c r="E51" s="638"/>
    </row>
    <row r="52" spans="2:16">
      <c r="B52" s="641"/>
      <c r="C52" s="638"/>
      <c r="D52" s="638"/>
      <c r="E52" s="638"/>
    </row>
    <row r="53" spans="2:16" s="415" customFormat="1" ht="13.5" thickBot="1">
      <c r="B53" s="693"/>
      <c r="C53" s="658"/>
      <c r="D53" s="658"/>
      <c r="E53" s="658"/>
    </row>
    <row r="54" spans="2:16">
      <c r="B54" s="641"/>
      <c r="C54" s="638"/>
      <c r="D54" s="638"/>
      <c r="E54" s="638"/>
    </row>
    <row r="55" spans="2:16">
      <c r="B55" s="641"/>
      <c r="C55" s="638"/>
      <c r="D55" s="638"/>
      <c r="E55" s="638"/>
    </row>
    <row r="56" spans="2:16">
      <c r="B56" s="641"/>
      <c r="C56" s="638"/>
      <c r="D56" s="638"/>
      <c r="E56" s="638"/>
    </row>
    <row r="57" spans="2:16" ht="13.5" thickBot="1">
      <c r="B57" s="641"/>
      <c r="C57" s="638"/>
      <c r="D57" s="638"/>
      <c r="E57" s="638"/>
    </row>
    <row r="58" spans="2:16">
      <c r="B58" s="643"/>
      <c r="C58" s="410"/>
      <c r="D58" s="671" t="s">
        <v>315</v>
      </c>
      <c r="E58" s="672" t="s">
        <v>621</v>
      </c>
    </row>
    <row r="59" spans="2:16">
      <c r="B59" s="520"/>
      <c r="C59" s="650" t="s">
        <v>622</v>
      </c>
      <c r="D59" s="645">
        <f>D3</f>
        <v>116081</v>
      </c>
      <c r="E59" s="673">
        <f>E3</f>
        <v>116081</v>
      </c>
    </row>
    <row r="60" spans="2:16">
      <c r="B60" s="520"/>
      <c r="C60" s="650" t="s">
        <v>623</v>
      </c>
      <c r="D60" s="674">
        <v>7</v>
      </c>
      <c r="E60" s="675">
        <v>5</v>
      </c>
    </row>
    <row r="61" spans="2:16">
      <c r="B61" s="520"/>
      <c r="C61" s="650" t="s">
        <v>624</v>
      </c>
      <c r="D61" s="676">
        <v>8.7499999999999994E-2</v>
      </c>
      <c r="E61" s="677">
        <v>8.7499999999999994E-2</v>
      </c>
    </row>
    <row r="62" spans="2:16">
      <c r="B62" s="520"/>
      <c r="C62" s="650" t="s">
        <v>625</v>
      </c>
      <c r="D62" s="674">
        <v>15</v>
      </c>
      <c r="E62" s="675">
        <v>0</v>
      </c>
    </row>
    <row r="63" spans="2:16">
      <c r="B63" s="520"/>
      <c r="C63" s="650" t="s">
        <v>626</v>
      </c>
      <c r="D63" s="678">
        <v>0.3</v>
      </c>
      <c r="E63" s="679">
        <v>0.1</v>
      </c>
    </row>
    <row r="64" spans="2:16">
      <c r="B64" s="520"/>
      <c r="C64" s="650" t="s">
        <v>627</v>
      </c>
      <c r="D64" s="645">
        <f>+D59*D63</f>
        <v>34824.299999999996</v>
      </c>
      <c r="E64" s="673">
        <f>+E59*E63</f>
        <v>11608.1</v>
      </c>
    </row>
    <row r="65" spans="1:11">
      <c r="B65" s="520"/>
      <c r="C65" s="650" t="s">
        <v>628</v>
      </c>
      <c r="D65" s="680">
        <v>0</v>
      </c>
      <c r="E65" s="681">
        <v>0</v>
      </c>
    </row>
    <row r="66" spans="1:11">
      <c r="B66" s="520"/>
      <c r="C66" s="650" t="s">
        <v>701</v>
      </c>
      <c r="D66" s="722"/>
      <c r="E66" s="681"/>
    </row>
    <row r="67" spans="1:11">
      <c r="B67" s="520"/>
      <c r="C67" s="650" t="s">
        <v>629</v>
      </c>
      <c r="D67" s="674">
        <v>5</v>
      </c>
      <c r="E67" s="675">
        <v>5</v>
      </c>
    </row>
    <row r="68" spans="1:11">
      <c r="B68" s="520"/>
      <c r="C68" s="650" t="s">
        <v>630</v>
      </c>
      <c r="D68" s="674">
        <v>230</v>
      </c>
      <c r="E68" s="675">
        <v>230</v>
      </c>
    </row>
    <row r="69" spans="1:11" ht="13.5" thickBot="1">
      <c r="B69" s="657"/>
      <c r="C69" s="682" t="s">
        <v>631</v>
      </c>
      <c r="D69" s="683">
        <v>6.5</v>
      </c>
      <c r="E69" s="684">
        <v>4.25</v>
      </c>
    </row>
    <row r="70" spans="1:11">
      <c r="B70" s="641"/>
      <c r="C70" s="638"/>
      <c r="D70" s="638"/>
      <c r="E70" s="638"/>
    </row>
    <row r="71" spans="1:11">
      <c r="B71" s="641"/>
      <c r="C71" s="638"/>
      <c r="D71" s="638"/>
      <c r="E71" s="638"/>
    </row>
    <row r="72" spans="1:11">
      <c r="B72" s="740" t="s">
        <v>656</v>
      </c>
      <c r="C72" s="740"/>
      <c r="D72" s="740"/>
      <c r="E72" s="740"/>
      <c r="H72" s="740" t="s">
        <v>695</v>
      </c>
      <c r="I72" s="740"/>
      <c r="J72" s="740"/>
      <c r="K72" s="740"/>
    </row>
    <row r="73" spans="1:11">
      <c r="A73" s="531" t="s">
        <v>23</v>
      </c>
      <c r="B73" s="535" t="s">
        <v>636</v>
      </c>
      <c r="C73" s="535" t="s">
        <v>637</v>
      </c>
      <c r="D73" s="535" t="s">
        <v>638</v>
      </c>
      <c r="E73" s="535" t="s">
        <v>639</v>
      </c>
      <c r="G73" s="531" t="s">
        <v>23</v>
      </c>
      <c r="H73" s="535" t="s">
        <v>636</v>
      </c>
      <c r="I73" s="535" t="s">
        <v>637</v>
      </c>
      <c r="J73" s="535" t="s">
        <v>638</v>
      </c>
      <c r="K73" s="535" t="s">
        <v>639</v>
      </c>
    </row>
    <row r="74" spans="1:11">
      <c r="A74">
        <v>2006</v>
      </c>
      <c r="B74" s="694">
        <f>L31-E65</f>
        <v>85178.525178943819</v>
      </c>
      <c r="C74" s="638">
        <f>-PMT($E$61,15,$B$74)</f>
        <v>10411.695093155853</v>
      </c>
      <c r="D74" s="638">
        <f>B74*$E$61</f>
        <v>7453.1209531575832</v>
      </c>
      <c r="E74" s="638">
        <f>C74-D74</f>
        <v>2958.5741399982699</v>
      </c>
      <c r="G74">
        <v>2008</v>
      </c>
      <c r="H74" s="641">
        <f>D59-D64+D66</f>
        <v>81256.700000000012</v>
      </c>
      <c r="I74" s="638">
        <f>-PMT($D$61,13,$H$74)</f>
        <v>10708.774619553735</v>
      </c>
      <c r="J74" s="638">
        <f>H74*$D$61</f>
        <v>7109.9612500000003</v>
      </c>
      <c r="K74" s="638">
        <f t="shared" ref="K74:K86" si="14">I74-J74</f>
        <v>3598.8133695537344</v>
      </c>
    </row>
    <row r="75" spans="1:11">
      <c r="A75">
        <f t="shared" ref="A75:A88" si="15">+A74+1</f>
        <v>2007</v>
      </c>
      <c r="B75" s="641">
        <f>B74-E74</f>
        <v>82219.951038945554</v>
      </c>
      <c r="C75" s="638">
        <f t="shared" ref="C75:C88" si="16">-PMT($E$61,15,$B$74)</f>
        <v>10411.695093155853</v>
      </c>
      <c r="D75" s="638">
        <f t="shared" ref="D75:D88" si="17">B75*$E$61</f>
        <v>7194.2457159077358</v>
      </c>
      <c r="E75" s="638">
        <f t="shared" ref="E75:E88" si="18">C75-D75</f>
        <v>3217.4493772481173</v>
      </c>
      <c r="G75">
        <f t="shared" ref="G75:G86" si="19">+G74+1</f>
        <v>2009</v>
      </c>
      <c r="H75" s="641">
        <f t="shared" ref="H75:H86" si="20">H74-K74</f>
        <v>77657.886630446272</v>
      </c>
      <c r="I75" s="638">
        <f t="shared" ref="I75:I86" si="21">-PMT($D$61,13,$H$74)</f>
        <v>10708.774619553735</v>
      </c>
      <c r="J75" s="638">
        <f t="shared" ref="J75:J86" si="22">H75*$D$61</f>
        <v>6795.0650801640486</v>
      </c>
      <c r="K75" s="638">
        <f t="shared" si="14"/>
        <v>3913.7095393896861</v>
      </c>
    </row>
    <row r="76" spans="1:11">
      <c r="A76">
        <f t="shared" si="15"/>
        <v>2008</v>
      </c>
      <c r="B76" s="641">
        <f t="shared" ref="B76:B88" si="23">B75-E75</f>
        <v>79002.501661697432</v>
      </c>
      <c r="C76" s="638">
        <f t="shared" si="16"/>
        <v>10411.695093155853</v>
      </c>
      <c r="D76" s="638">
        <f t="shared" si="17"/>
        <v>6912.7188953985251</v>
      </c>
      <c r="E76" s="638">
        <f t="shared" si="18"/>
        <v>3498.976197757328</v>
      </c>
      <c r="G76">
        <f t="shared" si="19"/>
        <v>2010</v>
      </c>
      <c r="H76" s="641">
        <f t="shared" si="20"/>
        <v>73744.177091056583</v>
      </c>
      <c r="I76" s="638">
        <f t="shared" si="21"/>
        <v>10708.774619553735</v>
      </c>
      <c r="J76" s="638">
        <f t="shared" si="22"/>
        <v>6452.6154954674503</v>
      </c>
      <c r="K76" s="638">
        <f t="shared" si="14"/>
        <v>4256.1591240862845</v>
      </c>
    </row>
    <row r="77" spans="1:11">
      <c r="A77">
        <f t="shared" si="15"/>
        <v>2009</v>
      </c>
      <c r="B77" s="641">
        <f t="shared" si="23"/>
        <v>75503.52546394011</v>
      </c>
      <c r="C77" s="638">
        <f t="shared" si="16"/>
        <v>10411.695093155853</v>
      </c>
      <c r="D77" s="638">
        <f t="shared" si="17"/>
        <v>6606.5584780947593</v>
      </c>
      <c r="E77" s="638">
        <f t="shared" si="18"/>
        <v>3805.1366150610938</v>
      </c>
      <c r="G77">
        <f t="shared" si="19"/>
        <v>2011</v>
      </c>
      <c r="H77" s="641">
        <f t="shared" si="20"/>
        <v>69488.017966970292</v>
      </c>
      <c r="I77" s="638">
        <f t="shared" si="21"/>
        <v>10708.774619553735</v>
      </c>
      <c r="J77" s="638">
        <f t="shared" si="22"/>
        <v>6080.2015721099006</v>
      </c>
      <c r="K77" s="638">
        <f t="shared" si="14"/>
        <v>4628.5730474438342</v>
      </c>
    </row>
    <row r="78" spans="1:11">
      <c r="A78">
        <f t="shared" si="15"/>
        <v>2010</v>
      </c>
      <c r="B78" s="641">
        <f t="shared" si="23"/>
        <v>71698.388848879011</v>
      </c>
      <c r="C78" s="638">
        <f t="shared" si="16"/>
        <v>10411.695093155853</v>
      </c>
      <c r="D78" s="638">
        <f t="shared" si="17"/>
        <v>6273.6090242769133</v>
      </c>
      <c r="E78" s="638">
        <f t="shared" si="18"/>
        <v>4138.0860688789398</v>
      </c>
      <c r="G78">
        <f t="shared" si="19"/>
        <v>2012</v>
      </c>
      <c r="H78" s="641">
        <f t="shared" si="20"/>
        <v>64859.444919526461</v>
      </c>
      <c r="I78" s="638">
        <f t="shared" si="21"/>
        <v>10708.774619553735</v>
      </c>
      <c r="J78" s="638">
        <f t="shared" si="22"/>
        <v>5675.2014304585646</v>
      </c>
      <c r="K78" s="638">
        <f t="shared" si="14"/>
        <v>5033.5731890951702</v>
      </c>
    </row>
    <row r="79" spans="1:11">
      <c r="A79">
        <f t="shared" si="15"/>
        <v>2011</v>
      </c>
      <c r="B79" s="641">
        <f t="shared" si="23"/>
        <v>67560.302780000071</v>
      </c>
      <c r="C79" s="638">
        <f t="shared" si="16"/>
        <v>10411.695093155853</v>
      </c>
      <c r="D79" s="638">
        <f t="shared" si="17"/>
        <v>5911.5264932500058</v>
      </c>
      <c r="E79" s="638">
        <f t="shared" si="18"/>
        <v>4500.1685999058473</v>
      </c>
      <c r="G79">
        <f t="shared" si="19"/>
        <v>2013</v>
      </c>
      <c r="H79" s="641">
        <f t="shared" si="20"/>
        <v>59825.871730431289</v>
      </c>
      <c r="I79" s="638">
        <f t="shared" si="21"/>
        <v>10708.774619553735</v>
      </c>
      <c r="J79" s="638">
        <f t="shared" si="22"/>
        <v>5234.7637764127376</v>
      </c>
      <c r="K79" s="638">
        <f t="shared" si="14"/>
        <v>5474.0108431409972</v>
      </c>
    </row>
    <row r="80" spans="1:11">
      <c r="A80">
        <f t="shared" si="15"/>
        <v>2012</v>
      </c>
      <c r="B80" s="641">
        <f t="shared" si="23"/>
        <v>63060.134180094225</v>
      </c>
      <c r="C80" s="638">
        <f t="shared" si="16"/>
        <v>10411.695093155853</v>
      </c>
      <c r="D80" s="638">
        <f t="shared" si="17"/>
        <v>5517.7617407582447</v>
      </c>
      <c r="E80" s="638">
        <f t="shared" si="18"/>
        <v>4893.9333523976084</v>
      </c>
      <c r="G80">
        <f t="shared" si="19"/>
        <v>2014</v>
      </c>
      <c r="H80" s="641">
        <f t="shared" si="20"/>
        <v>54351.860887290291</v>
      </c>
      <c r="I80" s="638">
        <f t="shared" si="21"/>
        <v>10708.774619553735</v>
      </c>
      <c r="J80" s="638">
        <f t="shared" si="22"/>
        <v>4755.7878276379006</v>
      </c>
      <c r="K80" s="638">
        <f t="shared" si="14"/>
        <v>5952.9867919158341</v>
      </c>
    </row>
    <row r="81" spans="1:11">
      <c r="A81">
        <f t="shared" si="15"/>
        <v>2013</v>
      </c>
      <c r="B81" s="641">
        <f t="shared" si="23"/>
        <v>58166.200827696615</v>
      </c>
      <c r="C81" s="638">
        <f t="shared" si="16"/>
        <v>10411.695093155853</v>
      </c>
      <c r="D81" s="638">
        <f t="shared" si="17"/>
        <v>5089.5425724234537</v>
      </c>
      <c r="E81" s="638">
        <f t="shared" si="18"/>
        <v>5322.1525207323994</v>
      </c>
      <c r="G81">
        <f t="shared" si="19"/>
        <v>2015</v>
      </c>
      <c r="H81" s="641">
        <f t="shared" si="20"/>
        <v>48398.874095374456</v>
      </c>
      <c r="I81" s="638">
        <f t="shared" si="21"/>
        <v>10708.774619553735</v>
      </c>
      <c r="J81" s="638">
        <f t="shared" si="22"/>
        <v>4234.9014833452648</v>
      </c>
      <c r="K81" s="638">
        <f t="shared" si="14"/>
        <v>6473.87313620847</v>
      </c>
    </row>
    <row r="82" spans="1:11">
      <c r="A82">
        <f t="shared" si="15"/>
        <v>2014</v>
      </c>
      <c r="B82" s="641">
        <f t="shared" si="23"/>
        <v>52844.048306964214</v>
      </c>
      <c r="C82" s="638">
        <f t="shared" si="16"/>
        <v>10411.695093155853</v>
      </c>
      <c r="D82" s="638">
        <f t="shared" si="17"/>
        <v>4623.8542268593683</v>
      </c>
      <c r="E82" s="638">
        <f t="shared" si="18"/>
        <v>5787.8408662964848</v>
      </c>
      <c r="G82">
        <f t="shared" si="19"/>
        <v>2016</v>
      </c>
      <c r="H82" s="641">
        <f t="shared" si="20"/>
        <v>41925.000959165984</v>
      </c>
      <c r="I82" s="638">
        <f t="shared" si="21"/>
        <v>10708.774619553735</v>
      </c>
      <c r="J82" s="638">
        <f t="shared" si="22"/>
        <v>3668.4375839270233</v>
      </c>
      <c r="K82" s="638">
        <f t="shared" si="14"/>
        <v>7040.3370356267114</v>
      </c>
    </row>
    <row r="83" spans="1:11">
      <c r="A83">
        <f t="shared" si="15"/>
        <v>2015</v>
      </c>
      <c r="B83" s="641">
        <f t="shared" si="23"/>
        <v>47056.207440667727</v>
      </c>
      <c r="C83" s="638">
        <f t="shared" si="16"/>
        <v>10411.695093155853</v>
      </c>
      <c r="D83" s="638">
        <f t="shared" si="17"/>
        <v>4117.4181510584258</v>
      </c>
      <c r="E83" s="638">
        <f t="shared" si="18"/>
        <v>6294.2769420974273</v>
      </c>
      <c r="G83">
        <f t="shared" si="19"/>
        <v>2017</v>
      </c>
      <c r="H83" s="641">
        <f t="shared" si="20"/>
        <v>34884.663923539272</v>
      </c>
      <c r="I83" s="638">
        <f t="shared" si="21"/>
        <v>10708.774619553735</v>
      </c>
      <c r="J83" s="638">
        <f t="shared" si="22"/>
        <v>3052.4080933096861</v>
      </c>
      <c r="K83" s="638">
        <f t="shared" si="14"/>
        <v>7656.3665262440481</v>
      </c>
    </row>
    <row r="84" spans="1:11">
      <c r="A84">
        <f t="shared" si="15"/>
        <v>2016</v>
      </c>
      <c r="B84" s="641">
        <f t="shared" si="23"/>
        <v>40761.930498570298</v>
      </c>
      <c r="C84" s="638">
        <f t="shared" si="16"/>
        <v>10411.695093155853</v>
      </c>
      <c r="D84" s="638">
        <f t="shared" si="17"/>
        <v>3566.6689186249009</v>
      </c>
      <c r="E84" s="638">
        <f t="shared" si="18"/>
        <v>6845.0261745309526</v>
      </c>
      <c r="G84">
        <f t="shared" si="19"/>
        <v>2018</v>
      </c>
      <c r="H84" s="641">
        <f t="shared" si="20"/>
        <v>27228.297397295224</v>
      </c>
      <c r="I84" s="638">
        <f t="shared" si="21"/>
        <v>10708.774619553735</v>
      </c>
      <c r="J84" s="638">
        <f t="shared" si="22"/>
        <v>2382.4760222633317</v>
      </c>
      <c r="K84" s="638">
        <f t="shared" si="14"/>
        <v>8326.2985972904025</v>
      </c>
    </row>
    <row r="85" spans="1:11">
      <c r="A85">
        <f t="shared" si="15"/>
        <v>2017</v>
      </c>
      <c r="B85" s="641">
        <f t="shared" si="23"/>
        <v>33916.904324039344</v>
      </c>
      <c r="C85" s="638">
        <f t="shared" si="16"/>
        <v>10411.695093155853</v>
      </c>
      <c r="D85" s="638">
        <f t="shared" si="17"/>
        <v>2967.7291283534423</v>
      </c>
      <c r="E85" s="638">
        <f t="shared" si="18"/>
        <v>7443.9659648024108</v>
      </c>
      <c r="G85">
        <f t="shared" si="19"/>
        <v>2019</v>
      </c>
      <c r="H85" s="641">
        <f t="shared" si="20"/>
        <v>18901.998800004822</v>
      </c>
      <c r="I85" s="638">
        <f t="shared" si="21"/>
        <v>10708.774619553735</v>
      </c>
      <c r="J85" s="638">
        <f t="shared" si="22"/>
        <v>1653.9248950004219</v>
      </c>
      <c r="K85" s="638">
        <f t="shared" si="14"/>
        <v>9054.8497245533126</v>
      </c>
    </row>
    <row r="86" spans="1:11">
      <c r="A86">
        <f t="shared" si="15"/>
        <v>2018</v>
      </c>
      <c r="B86" s="641">
        <f t="shared" si="23"/>
        <v>26472.938359236934</v>
      </c>
      <c r="C86" s="638">
        <f t="shared" si="16"/>
        <v>10411.695093155853</v>
      </c>
      <c r="D86" s="638">
        <f t="shared" si="17"/>
        <v>2316.3821064332315</v>
      </c>
      <c r="E86" s="638">
        <f t="shared" si="18"/>
        <v>8095.3129867226216</v>
      </c>
      <c r="G86">
        <f t="shared" si="19"/>
        <v>2020</v>
      </c>
      <c r="H86" s="641">
        <f t="shared" si="20"/>
        <v>9847.1490754515089</v>
      </c>
      <c r="I86" s="638">
        <f t="shared" si="21"/>
        <v>10708.774619553735</v>
      </c>
      <c r="J86" s="638">
        <f t="shared" si="22"/>
        <v>861.62554410200698</v>
      </c>
      <c r="K86" s="638">
        <f t="shared" si="14"/>
        <v>9847.1490754517272</v>
      </c>
    </row>
    <row r="87" spans="1:11">
      <c r="A87">
        <f t="shared" si="15"/>
        <v>2019</v>
      </c>
      <c r="B87" s="641">
        <f t="shared" si="23"/>
        <v>18377.625372514311</v>
      </c>
      <c r="C87" s="638">
        <f t="shared" si="16"/>
        <v>10411.695093155853</v>
      </c>
      <c r="D87" s="638">
        <f t="shared" si="17"/>
        <v>1608.042220095002</v>
      </c>
      <c r="E87" s="638">
        <f t="shared" si="18"/>
        <v>8803.6528730608516</v>
      </c>
    </row>
    <row r="88" spans="1:11">
      <c r="A88">
        <f t="shared" si="15"/>
        <v>2020</v>
      </c>
      <c r="B88" s="641">
        <f t="shared" si="23"/>
        <v>9573.972499453459</v>
      </c>
      <c r="C88" s="638">
        <f t="shared" si="16"/>
        <v>10411.695093155853</v>
      </c>
      <c r="D88" s="638">
        <f t="shared" si="17"/>
        <v>837.72259370217762</v>
      </c>
      <c r="E88" s="638">
        <f t="shared" si="18"/>
        <v>9573.9724994536755</v>
      </c>
    </row>
    <row r="89" spans="1:11">
      <c r="B89" s="641"/>
      <c r="C89" s="638"/>
      <c r="D89" s="638"/>
      <c r="E89" s="638"/>
    </row>
  </sheetData>
  <mergeCells count="7">
    <mergeCell ref="L14:O14"/>
    <mergeCell ref="B72:E72"/>
    <mergeCell ref="B33:E33"/>
    <mergeCell ref="H72:K72"/>
    <mergeCell ref="B14:E14"/>
    <mergeCell ref="G14:J14"/>
    <mergeCell ref="K25:O25"/>
  </mergeCells>
  <pageMargins left="0.75" right="0.75" top="1" bottom="1" header="0.5" footer="0.5"/>
  <pageSetup scale="53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RowHeight="12.75"/>
  <cols>
    <col min="1" max="1" width="5" style="540" customWidth="1"/>
    <col min="2" max="2" width="44.85546875" style="540" customWidth="1"/>
    <col min="3" max="3" width="9.140625" style="540"/>
    <col min="4" max="4" width="9.5703125" style="540" customWidth="1"/>
    <col min="5" max="5" width="9.140625" style="540"/>
    <col min="6" max="6" width="4.28515625" style="540" customWidth="1"/>
    <col min="7" max="9" width="9.140625" style="540"/>
    <col min="10" max="10" width="4.28515625" style="540" customWidth="1"/>
    <col min="11" max="16384" width="9.14062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3.25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4.25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4.25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4.25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0" customWidth="1"/>
    <col min="2" max="2" width="19.85546875" style="540" customWidth="1"/>
    <col min="3" max="3" width="23.7109375" style="540" customWidth="1"/>
    <col min="4" max="4" width="24.28515625" style="540" customWidth="1"/>
    <col min="5" max="16384" width="9.14062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4.25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4.25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4.25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4.25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4.25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4.25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1.25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4714.8666666666668</v>
      </c>
      <c r="E19" s="307">
        <f>SUM(Depreciation!$D$48:E48)</f>
        <v>11787.166666666666</v>
      </c>
      <c r="F19" s="307">
        <f>SUM(Depreciation!$D$48:F48)</f>
        <v>18859.466666666667</v>
      </c>
      <c r="G19" s="307">
        <f>SUM(Depreciation!$D$48:G48)</f>
        <v>25931.766666666666</v>
      </c>
      <c r="H19" s="307">
        <f>SUM(Depreciation!$D$48:H48)</f>
        <v>33004.066666666666</v>
      </c>
      <c r="I19" s="307">
        <f>SUM(Depreciation!$D$48:I48)</f>
        <v>37254.9</v>
      </c>
      <c r="J19" s="307">
        <f>SUM(Depreciation!$D$48:J48)</f>
        <v>40095</v>
      </c>
      <c r="K19" s="307">
        <f>SUM(Depreciation!$D$48:K48)</f>
        <v>42935.1</v>
      </c>
      <c r="L19" s="307">
        <f>SUM(Depreciation!$D$48:L48)</f>
        <v>45775.199999999997</v>
      </c>
      <c r="M19" s="307">
        <f>SUM(Depreciation!$D$48:M48)</f>
        <v>48615.299999999996</v>
      </c>
      <c r="N19" s="307">
        <f>SUM(Depreciation!$D$48:N48)</f>
        <v>51455.399999999994</v>
      </c>
      <c r="O19" s="307">
        <f>SUM(Depreciation!$D$48:O48)</f>
        <v>54295.499999999993</v>
      </c>
      <c r="P19" s="307">
        <f>SUM(Depreciation!$D$48:P48)</f>
        <v>57135.599999999991</v>
      </c>
      <c r="Q19" s="307">
        <f>SUM(Depreciation!$D$48:Q48)</f>
        <v>59975.69999999999</v>
      </c>
      <c r="R19" s="307">
        <f>SUM(Depreciation!$D$48:R48)</f>
        <v>62815.799999999988</v>
      </c>
      <c r="S19" s="307">
        <f>SUM(Depreciation!$D$48:S48)</f>
        <v>65655.899999999994</v>
      </c>
      <c r="T19" s="307">
        <f>SUM(Depreciation!$D$48:T48)</f>
        <v>68496</v>
      </c>
      <c r="U19" s="307">
        <f>SUM(Depreciation!$D$48:U48)</f>
        <v>71336.100000000006</v>
      </c>
      <c r="V19" s="307">
        <f>SUM(Depreciation!$D$48:V48)</f>
        <v>74176.200000000012</v>
      </c>
      <c r="W19" s="307">
        <f>SUM(Depreciation!$D$48:W48)</f>
        <v>77016.300000000017</v>
      </c>
      <c r="X19" s="307">
        <f>SUM(Depreciation!$D$48:X48)</f>
        <v>79856.400000000023</v>
      </c>
      <c r="Y19" s="307">
        <f>SUM(Depreciation!$D$48:Y48)</f>
        <v>82696.500000000029</v>
      </c>
      <c r="Z19" s="307">
        <f>SUM(Depreciation!$D$48:Z48)</f>
        <v>85536.600000000035</v>
      </c>
      <c r="AA19" s="307">
        <f>SUM(Depreciation!$D$48:AA48)</f>
        <v>88376.700000000041</v>
      </c>
      <c r="AB19" s="307">
        <f>SUM(Depreciation!$D$48:AB48)</f>
        <v>91216.800000000047</v>
      </c>
      <c r="AC19" s="307">
        <f>SUM(Depreciation!$D$48:AC48)</f>
        <v>94056.900000000052</v>
      </c>
      <c r="AD19" s="307">
        <f>SUM(Depreciation!$D$48:AD48)</f>
        <v>96897.000000000058</v>
      </c>
      <c r="AE19" s="307">
        <f>SUM(Depreciation!$D$48:AE48)</f>
        <v>99737.100000000064</v>
      </c>
      <c r="AF19" s="307">
        <f>SUM(Depreciation!$D$48:AF48)</f>
        <v>102577.20000000007</v>
      </c>
      <c r="AG19" s="307">
        <f>SUM(Depreciation!$D$48:AG48)</f>
        <v>105417.30000000008</v>
      </c>
      <c r="AH19" s="307">
        <f>SUM(Depreciation!$D$48:AH48)</f>
        <v>106364.00000000007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69202.763515152663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69202.763515152663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46878.236484847337</v>
      </c>
      <c r="D41" s="23">
        <f>Assumptions!$C$11</f>
        <v>46878.236484847337</v>
      </c>
      <c r="E41" s="23">
        <f>Assumptions!$C$11</f>
        <v>46878.236484847337</v>
      </c>
      <c r="F41" s="23">
        <f>Assumptions!$C$11</f>
        <v>46878.236484847337</v>
      </c>
      <c r="G41" s="23">
        <f>Assumptions!$C$11</f>
        <v>46878.236484847337</v>
      </c>
      <c r="H41" s="23">
        <f>Assumptions!$C$11</f>
        <v>46878.236484847337</v>
      </c>
      <c r="I41" s="23">
        <f>Assumptions!$C$11</f>
        <v>46878.236484847337</v>
      </c>
      <c r="J41" s="23">
        <f>Assumptions!$C$11</f>
        <v>46878.236484847337</v>
      </c>
      <c r="K41" s="23">
        <f>Assumptions!$C$11</f>
        <v>46878.236484847337</v>
      </c>
      <c r="L41" s="23">
        <f>Assumptions!$C$11</f>
        <v>46878.236484847337</v>
      </c>
      <c r="M41" s="23">
        <f>Assumptions!$C$11</f>
        <v>46878.236484847337</v>
      </c>
      <c r="N41" s="23">
        <f>Assumptions!$C$11</f>
        <v>46878.236484847337</v>
      </c>
      <c r="O41" s="23">
        <f>Assumptions!$C$11</f>
        <v>46878.236484847337</v>
      </c>
      <c r="P41" s="23">
        <f>Assumptions!$C$11</f>
        <v>46878.236484847337</v>
      </c>
      <c r="Q41" s="23">
        <f>Assumptions!$C$11</f>
        <v>46878.236484847337</v>
      </c>
      <c r="R41" s="23">
        <f>Assumptions!$C$11</f>
        <v>46878.236484847337</v>
      </c>
      <c r="S41" s="23">
        <f>Assumptions!$C$11</f>
        <v>46878.236484847337</v>
      </c>
      <c r="T41" s="23">
        <f>Assumptions!$C$11</f>
        <v>46878.236484847337</v>
      </c>
      <c r="U41" s="23">
        <f>Assumptions!$C$11</f>
        <v>46878.236484847337</v>
      </c>
      <c r="V41" s="23">
        <f>Assumptions!$C$11</f>
        <v>46878.236484847337</v>
      </c>
      <c r="W41" s="23">
        <f>Assumptions!$C$11</f>
        <v>46878.236484847337</v>
      </c>
      <c r="X41" s="23">
        <f>Assumptions!$C$11</f>
        <v>46878.236484847337</v>
      </c>
      <c r="Y41" s="23">
        <f>Assumptions!$C$11</f>
        <v>46878.236484847337</v>
      </c>
      <c r="Z41" s="23">
        <f>Assumptions!$C$11</f>
        <v>46878.236484847337</v>
      </c>
      <c r="AA41" s="23">
        <f>Assumptions!$C$11</f>
        <v>46878.236484847337</v>
      </c>
      <c r="AB41" s="23">
        <f>Assumptions!$C$11</f>
        <v>46878.236484847337</v>
      </c>
      <c r="AC41" s="23">
        <f>Assumptions!$C$11</f>
        <v>46878.236484847337</v>
      </c>
      <c r="AD41" s="23">
        <f>Assumptions!$C$11</f>
        <v>46878.236484847337</v>
      </c>
      <c r="AE41" s="23">
        <f>Assumptions!$C$11</f>
        <v>46878.236484847337</v>
      </c>
      <c r="AF41" s="23">
        <f>Assumptions!$C$11</f>
        <v>46878.236484847337</v>
      </c>
      <c r="AG41" s="23">
        <f>Assumptions!$C$11</f>
        <v>46878.236484847337</v>
      </c>
      <c r="AH41" s="23">
        <f>Assumptions!$C$11</f>
        <v>46878.236484847337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IS!B45-'Returns Analysis'!#REF!</f>
        <v>#REF!</v>
      </c>
      <c r="D42" s="307" t="e">
        <f>IS!C45-'Returns Analysis'!#REF!</f>
        <v>#REF!</v>
      </c>
      <c r="E42" s="307" t="e">
        <f>IS!D45-'Returns Analysis'!#REF!</f>
        <v>#REF!</v>
      </c>
      <c r="F42" s="307" t="e">
        <f>IS!E45-'Returns Analysis'!#REF!</f>
        <v>#REF!</v>
      </c>
      <c r="G42" s="307" t="e">
        <f>IS!F45-'Returns Analysis'!#REF!</f>
        <v>#REF!</v>
      </c>
      <c r="H42" s="307" t="e">
        <f>IS!G45-'Returns Analysis'!#REF!</f>
        <v>#REF!</v>
      </c>
      <c r="I42" s="307" t="e">
        <f>IS!H45-'Returns Analysis'!#REF!</f>
        <v>#REF!</v>
      </c>
      <c r="J42" s="307" t="e">
        <f>IS!I45-'Returns Analysis'!#REF!</f>
        <v>#REF!</v>
      </c>
      <c r="K42" s="307" t="e">
        <f>IS!J45-'Returns Analysis'!#REF!</f>
        <v>#REF!</v>
      </c>
      <c r="L42" s="307" t="e">
        <f>IS!K45-'Returns Analysis'!#REF!</f>
        <v>#REF!</v>
      </c>
      <c r="M42" s="307" t="e">
        <f>IS!L45-'Returns Analysis'!#REF!</f>
        <v>#REF!</v>
      </c>
      <c r="N42" s="307" t="e">
        <f>IS!M45-'Returns Analysis'!#REF!</f>
        <v>#REF!</v>
      </c>
      <c r="O42" s="307" t="e">
        <f>IS!N45-'Returns Analysis'!#REF!</f>
        <v>#REF!</v>
      </c>
      <c r="P42" s="307" t="e">
        <f>IS!O45-'Returns Analysis'!#REF!</f>
        <v>#REF!</v>
      </c>
      <c r="Q42" s="307" t="e">
        <f>IS!P45-'Returns Analysis'!#REF!</f>
        <v>#REF!</v>
      </c>
      <c r="R42" s="307" t="e">
        <f>IS!Q45-'Returns Analysis'!#REF!</f>
        <v>#REF!</v>
      </c>
      <c r="S42" s="307" t="e">
        <f>IS!R45-'Returns Analysis'!#REF!</f>
        <v>#REF!</v>
      </c>
      <c r="T42" s="307" t="e">
        <f>IS!S45-'Returns Analysis'!#REF!</f>
        <v>#REF!</v>
      </c>
      <c r="U42" s="307" t="e">
        <f>IS!T45-'Returns Analysis'!#REF!</f>
        <v>#REF!</v>
      </c>
      <c r="V42" s="307" t="e">
        <f>IS!U45-'Returns Analysis'!#REF!</f>
        <v>#REF!</v>
      </c>
      <c r="W42" s="307" t="e">
        <f>IS!V45-'Returns Analysis'!#REF!</f>
        <v>#REF!</v>
      </c>
      <c r="X42" s="307" t="e">
        <f>IS!W45-'Returns Analysis'!#REF!</f>
        <v>#REF!</v>
      </c>
      <c r="Y42" s="307" t="e">
        <f>IS!X45-'Returns Analysis'!#REF!</f>
        <v>#REF!</v>
      </c>
      <c r="Z42" s="307" t="e">
        <f>IS!Y45-'Returns Analysis'!#REF!</f>
        <v>#REF!</v>
      </c>
      <c r="AA42" s="307" t="e">
        <f>IS!Z45-'Returns Analysis'!#REF!</f>
        <v>#REF!</v>
      </c>
      <c r="AB42" s="307" t="e">
        <f>IS!AA45-'Returns Analysis'!#REF!</f>
        <v>#REF!</v>
      </c>
      <c r="AC42" s="307" t="e">
        <f>IS!AB45-'Returns Analysis'!#REF!</f>
        <v>#REF!</v>
      </c>
      <c r="AD42" s="307" t="e">
        <f>IS!AC45-'Returns Analysis'!#REF!</f>
        <v>#REF!</v>
      </c>
      <c r="AE42" s="307" t="e">
        <f>IS!AD45-'Returns Analysis'!#REF!</f>
        <v>#REF!</v>
      </c>
      <c r="AF42" s="307" t="e">
        <f>IS!AE45-'Returns Analysis'!#REF!</f>
        <v>#REF!</v>
      </c>
      <c r="AG42" s="307" t="e">
        <f>IS!AF45-'Returns Analysis'!#REF!</f>
        <v>#REF!</v>
      </c>
      <c r="AH42" s="307" t="e">
        <f>IS!AG45-'Returns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52" sqref="B52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4244.4959016393414</v>
      </c>
      <c r="C11" s="387">
        <f t="shared" ref="C11:AF11" si="1">C29+C38</f>
        <v>10343.961139456551</v>
      </c>
      <c r="D11" s="387">
        <f t="shared" si="1"/>
        <v>10380.496889315073</v>
      </c>
      <c r="E11" s="387">
        <f t="shared" si="1"/>
        <v>10338.657798619095</v>
      </c>
      <c r="F11" s="387">
        <f t="shared" si="1"/>
        <v>10274.367885331976</v>
      </c>
      <c r="G11" s="387">
        <f t="shared" si="1"/>
        <v>10229.764940921821</v>
      </c>
      <c r="H11" s="387">
        <f t="shared" si="1"/>
        <v>10176.691306500663</v>
      </c>
      <c r="I11" s="387">
        <f t="shared" si="1"/>
        <v>10129.02108724467</v>
      </c>
      <c r="J11" s="387">
        <f t="shared" si="1"/>
        <v>10059.168986897119</v>
      </c>
      <c r="K11" s="387">
        <f t="shared" si="1"/>
        <v>10008.40604347075</v>
      </c>
      <c r="L11" s="387">
        <f t="shared" si="1"/>
        <v>9949.1444763841027</v>
      </c>
      <c r="M11" s="387">
        <f t="shared" si="1"/>
        <v>9894.949316981847</v>
      </c>
      <c r="N11" s="387">
        <f t="shared" si="1"/>
        <v>9818.8718574459726</v>
      </c>
      <c r="O11" s="387">
        <f t="shared" si="1"/>
        <v>9761.2153125018376</v>
      </c>
      <c r="P11" s="463">
        <f t="shared" si="1"/>
        <v>9695.028185850173</v>
      </c>
      <c r="Q11" s="387">
        <f t="shared" si="1"/>
        <v>9633.5303314974917</v>
      </c>
      <c r="R11" s="387">
        <f t="shared" si="1"/>
        <v>9550.48398616751</v>
      </c>
      <c r="S11" s="387">
        <f t="shared" si="1"/>
        <v>9485.1114223059394</v>
      </c>
      <c r="T11" s="387">
        <f t="shared" si="1"/>
        <v>9411.1717464548692</v>
      </c>
      <c r="U11" s="387">
        <f t="shared" si="1"/>
        <v>9341.4992220440126</v>
      </c>
      <c r="V11" s="387">
        <f t="shared" si="1"/>
        <v>4300.7977553752125</v>
      </c>
      <c r="W11" s="387">
        <f t="shared" si="1"/>
        <v>-1689.4539322330688</v>
      </c>
      <c r="X11" s="387">
        <f t="shared" si="1"/>
        <v>-3190.9799596404641</v>
      </c>
      <c r="Y11" s="387">
        <f t="shared" si="1"/>
        <v>-3278.1732984839</v>
      </c>
      <c r="Z11" s="387">
        <f t="shared" si="1"/>
        <v>-3361.0230620787988</v>
      </c>
      <c r="AA11" s="387">
        <f t="shared" si="1"/>
        <v>-3453.0743142477318</v>
      </c>
      <c r="AB11" s="387">
        <f t="shared" si="1"/>
        <v>-3545.4136144671429</v>
      </c>
      <c r="AC11" s="387">
        <f t="shared" si="1"/>
        <v>-3642.8558430645589</v>
      </c>
      <c r="AD11" s="387">
        <f t="shared" si="1"/>
        <v>-3735.4919106586408</v>
      </c>
      <c r="AE11" s="387">
        <f t="shared" si="1"/>
        <v>-3838.37499039366</v>
      </c>
      <c r="AF11" s="463">
        <f t="shared" si="1"/>
        <v>-4930.7613839514543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3264.9968474148777</v>
      </c>
      <c r="C13" s="305">
        <f t="shared" ref="C13:AF13" si="2">C11/C12</f>
        <v>7956.8931841973463</v>
      </c>
      <c r="D13" s="305">
        <f t="shared" si="2"/>
        <v>7984.9976071654401</v>
      </c>
      <c r="E13" s="305">
        <f t="shared" si="2"/>
        <v>7952.8136912454574</v>
      </c>
      <c r="F13" s="305">
        <f t="shared" si="2"/>
        <v>7903.3599117938275</v>
      </c>
      <c r="G13" s="305">
        <f t="shared" si="2"/>
        <v>7869.0499545552466</v>
      </c>
      <c r="H13" s="305">
        <f t="shared" si="2"/>
        <v>7828.2240819235867</v>
      </c>
      <c r="I13" s="305">
        <f t="shared" si="2"/>
        <v>7791.5546824958992</v>
      </c>
      <c r="J13" s="305">
        <f t="shared" si="2"/>
        <v>7737.8222976131683</v>
      </c>
      <c r="K13" s="305">
        <f t="shared" si="2"/>
        <v>7698.7738795928844</v>
      </c>
      <c r="L13" s="305">
        <f t="shared" si="2"/>
        <v>7653.1880587570022</v>
      </c>
      <c r="M13" s="305">
        <f t="shared" si="2"/>
        <v>7611.4994746014208</v>
      </c>
      <c r="N13" s="305">
        <f t="shared" si="2"/>
        <v>7552.9783518815175</v>
      </c>
      <c r="O13" s="305">
        <f t="shared" si="2"/>
        <v>7508.627163462952</v>
      </c>
      <c r="P13" s="391">
        <f t="shared" si="2"/>
        <v>7457.7139891155175</v>
      </c>
      <c r="Q13" s="305">
        <f t="shared" si="2"/>
        <v>7410.4079473057627</v>
      </c>
      <c r="R13" s="305">
        <f t="shared" si="2"/>
        <v>7346.5261432057769</v>
      </c>
      <c r="S13" s="305">
        <f t="shared" si="2"/>
        <v>7296.2395556199535</v>
      </c>
      <c r="T13" s="305">
        <f t="shared" si="2"/>
        <v>7239.3628818883608</v>
      </c>
      <c r="U13" s="305">
        <f t="shared" si="2"/>
        <v>7185.7686323415483</v>
      </c>
      <c r="V13" s="305">
        <f t="shared" si="2"/>
        <v>3308.3059656732403</v>
      </c>
      <c r="W13" s="305">
        <f t="shared" si="2"/>
        <v>-1299.5799478715915</v>
      </c>
      <c r="X13" s="305">
        <f t="shared" si="2"/>
        <v>-2454.5999689542032</v>
      </c>
      <c r="Y13" s="305">
        <f t="shared" si="2"/>
        <v>-2521.6717680645384</v>
      </c>
      <c r="Z13" s="305">
        <f t="shared" si="2"/>
        <v>-2585.4023554452297</v>
      </c>
      <c r="AA13" s="305">
        <f t="shared" si="2"/>
        <v>-2656.2110109597934</v>
      </c>
      <c r="AB13" s="305">
        <f t="shared" si="2"/>
        <v>-2727.241241897802</v>
      </c>
      <c r="AC13" s="305">
        <f t="shared" si="2"/>
        <v>-2802.1968023573531</v>
      </c>
      <c r="AD13" s="305">
        <f t="shared" si="2"/>
        <v>-2873.4553158912622</v>
      </c>
      <c r="AE13" s="305">
        <f t="shared" si="2"/>
        <v>-2952.5961464566612</v>
      </c>
      <c r="AF13" s="391">
        <f t="shared" si="2"/>
        <v>-3792.8933722703491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69202.763515152663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3299.8082390850182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68329.311862727554</v>
      </c>
      <c r="D24" s="48">
        <f t="shared" ref="D24:AF24" si="3">C45</f>
        <v>65960.290333469267</v>
      </c>
      <c r="E24" s="48">
        <f t="shared" si="3"/>
        <v>63364.109610180058</v>
      </c>
      <c r="F24" s="48">
        <f t="shared" si="3"/>
        <v>60586.334001536394</v>
      </c>
      <c r="G24" s="48">
        <f t="shared" si="3"/>
        <v>57617.438243659235</v>
      </c>
      <c r="H24" s="48">
        <f t="shared" si="3"/>
        <v>54437.122070039164</v>
      </c>
      <c r="I24" s="48">
        <f t="shared" si="3"/>
        <v>51030.688559171678</v>
      </c>
      <c r="J24" s="48">
        <f t="shared" si="3"/>
        <v>47378.282897453166</v>
      </c>
      <c r="K24" s="48">
        <f t="shared" si="3"/>
        <v>43466.982918571157</v>
      </c>
      <c r="L24" s="48">
        <f t="shared" si="3"/>
        <v>39268.974117996164</v>
      </c>
      <c r="M24" s="48">
        <f t="shared" si="3"/>
        <v>34764.015074943112</v>
      </c>
      <c r="N24" s="48">
        <f t="shared" si="3"/>
        <v>29924.747071178343</v>
      </c>
      <c r="O24" s="48">
        <f t="shared" si="3"/>
        <v>24733.52055067863</v>
      </c>
      <c r="P24" s="48">
        <f t="shared" si="3"/>
        <v>19152.204423699666</v>
      </c>
      <c r="Q24" s="48">
        <f t="shared" si="3"/>
        <v>13152.898964819156</v>
      </c>
      <c r="R24" s="48">
        <f t="shared" si="3"/>
        <v>6697.9156560226738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1326.4572194647303</v>
      </c>
      <c r="Y24" s="48">
        <f t="shared" si="3"/>
        <v>3943.5117680158851</v>
      </c>
      <c r="Z24" s="48">
        <f t="shared" si="3"/>
        <v>6849.4736283781522</v>
      </c>
      <c r="AA24" s="48">
        <f t="shared" si="3"/>
        <v>10064.68144573734</v>
      </c>
      <c r="AB24" s="48">
        <f t="shared" si="3"/>
        <v>13623.288678162289</v>
      </c>
      <c r="AC24" s="48">
        <f t="shared" si="3"/>
        <v>17554.035397576008</v>
      </c>
      <c r="AD24" s="48">
        <f t="shared" si="3"/>
        <v>21893.131913769845</v>
      </c>
      <c r="AE24" s="48">
        <f t="shared" si="3"/>
        <v>26668.169008207493</v>
      </c>
      <c r="AF24" s="48">
        <f t="shared" si="3"/>
        <v>31927.330450987094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1168.5465911004139</v>
      </c>
      <c r="D26" s="48">
        <f t="shared" si="4"/>
        <v>1279.0912437004226</v>
      </c>
      <c r="E26" s="48">
        <f t="shared" si="4"/>
        <v>1359.0763836166807</v>
      </c>
      <c r="F26" s="48">
        <f t="shared" si="4"/>
        <v>1462.745598987065</v>
      </c>
      <c r="G26" s="48">
        <f t="shared" si="4"/>
        <v>1564.3172095281843</v>
      </c>
      <c r="H26" s="48">
        <f t="shared" si="4"/>
        <v>1674.7328960805971</v>
      </c>
      <c r="I26" s="48">
        <f t="shared" si="4"/>
        <v>1787.8936120397557</v>
      </c>
      <c r="J26" s="48">
        <f t="shared" si="4"/>
        <v>1922.5739422696279</v>
      </c>
      <c r="K26" s="48">
        <f t="shared" si="4"/>
        <v>2061.2862589133001</v>
      </c>
      <c r="L26" s="48">
        <f t="shared" si="4"/>
        <v>2211.1867790176402</v>
      </c>
      <c r="M26" s="48">
        <f t="shared" si="4"/>
        <v>2369.7804449512223</v>
      </c>
      <c r="N26" s="48">
        <f t="shared" si="4"/>
        <v>2547.156978594001</v>
      </c>
      <c r="O26" s="48">
        <f t="shared" si="4"/>
        <v>2736.8510856535577</v>
      </c>
      <c r="P26" s="48">
        <f t="shared" si="4"/>
        <v>2940.9930235389875</v>
      </c>
      <c r="Q26" s="48">
        <f t="shared" si="4"/>
        <v>3161.9077238342288</v>
      </c>
      <c r="R26" s="48">
        <f t="shared" si="4"/>
        <v>3398.1074169376557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-649.78997393579573</v>
      </c>
      <c r="X26" s="48">
        <f t="shared" si="4"/>
        <v>-1281.8664369435755</v>
      </c>
      <c r="Y26" s="48">
        <f t="shared" si="4"/>
        <v>-1423.7273622082525</v>
      </c>
      <c r="Z26" s="48">
        <f t="shared" si="4"/>
        <v>-1574.0829533551523</v>
      </c>
      <c r="AA26" s="48">
        <f t="shared" si="4"/>
        <v>-1742.136168240846</v>
      </c>
      <c r="AB26" s="48">
        <f t="shared" si="4"/>
        <v>-1924.0416606820709</v>
      </c>
      <c r="AC26" s="48">
        <f t="shared" si="4"/>
        <v>-2126.1888642162303</v>
      </c>
      <c r="AD26" s="48">
        <f t="shared" si="4"/>
        <v>-2336.1147738447289</v>
      </c>
      <c r="AE26" s="48">
        <f t="shared" si="4"/>
        <v>-2573.346176401581</v>
      </c>
      <c r="AF26" s="48">
        <f t="shared" si="4"/>
        <v>-3209.8408415367376</v>
      </c>
      <c r="AG26"/>
    </row>
    <row r="27" spans="1:33">
      <c r="A27" s="48" t="s">
        <v>56</v>
      </c>
      <c r="B27"/>
      <c r="C27" s="385">
        <f t="shared" ref="C27:AF27" si="5">C24*(C23-B41)/(C41-B41)*$E$64</f>
        <v>1405.4309830395264</v>
      </c>
      <c r="D27" s="385">
        <f t="shared" si="5"/>
        <v>1356.7037799411523</v>
      </c>
      <c r="E27" s="385">
        <f t="shared" si="5"/>
        <v>1314.0262074897996</v>
      </c>
      <c r="F27" s="385">
        <f t="shared" si="5"/>
        <v>1246.169595935711</v>
      </c>
      <c r="G27" s="385">
        <f t="shared" si="5"/>
        <v>1185.103883874717</v>
      </c>
      <c r="H27" s="385">
        <f t="shared" si="5"/>
        <v>1119.6895724406002</v>
      </c>
      <c r="I27" s="385">
        <f t="shared" si="5"/>
        <v>1058.2593611041341</v>
      </c>
      <c r="J27" s="385">
        <f t="shared" si="5"/>
        <v>974.49988726747836</v>
      </c>
      <c r="K27" s="385">
        <f t="shared" si="5"/>
        <v>894.0503404415698</v>
      </c>
      <c r="L27" s="385">
        <f t="shared" si="5"/>
        <v>807.70362518042793</v>
      </c>
      <c r="M27" s="385">
        <f t="shared" si="5"/>
        <v>720.9258863902138</v>
      </c>
      <c r="N27" s="385">
        <f t="shared" si="5"/>
        <v>615.50695516951077</v>
      </c>
      <c r="O27" s="385">
        <f t="shared" si="5"/>
        <v>508.73124803895843</v>
      </c>
      <c r="P27" s="385">
        <f t="shared" si="5"/>
        <v>393.93198550938422</v>
      </c>
      <c r="Q27" s="385">
        <f t="shared" si="5"/>
        <v>272.76093754911858</v>
      </c>
      <c r="R27" s="385">
        <f t="shared" si="5"/>
        <v>137.76603229476774</v>
      </c>
      <c r="S27" s="385">
        <f t="shared" si="5"/>
        <v>0</v>
      </c>
      <c r="T27" s="385">
        <f t="shared" si="5"/>
        <v>0</v>
      </c>
      <c r="U27" s="385">
        <f t="shared" si="5"/>
        <v>0</v>
      </c>
      <c r="V27" s="385">
        <f t="shared" si="5"/>
        <v>0</v>
      </c>
      <c r="W27" s="385">
        <f t="shared" si="5"/>
        <v>0</v>
      </c>
      <c r="X27" s="385">
        <f t="shared" si="5"/>
        <v>27.283226233236885</v>
      </c>
      <c r="Y27" s="385">
        <f t="shared" si="5"/>
        <v>81.779383385903188</v>
      </c>
      <c r="Z27" s="385">
        <f t="shared" si="5"/>
        <v>140.88335141109309</v>
      </c>
      <c r="AA27" s="385">
        <f t="shared" si="5"/>
        <v>207.01533138047421</v>
      </c>
      <c r="AB27" s="385">
        <f t="shared" si="5"/>
        <v>280.21051986658466</v>
      </c>
      <c r="AC27" s="385">
        <f t="shared" si="5"/>
        <v>364.03040619563365</v>
      </c>
      <c r="AD27" s="385">
        <f t="shared" si="5"/>
        <v>450.3087338154167</v>
      </c>
      <c r="AE27" s="385">
        <f t="shared" si="5"/>
        <v>548.52405158662395</v>
      </c>
      <c r="AF27" s="385">
        <f t="shared" si="5"/>
        <v>656.69707770078253</v>
      </c>
      <c r="AG27"/>
    </row>
    <row r="28" spans="1:33">
      <c r="A28" s="48" t="s">
        <v>57</v>
      </c>
      <c r="B28"/>
      <c r="C28" s="161">
        <f t="shared" ref="C28:AF28" si="6">MAX(C24+C25+B44+C27-0.5*C13,0)</f>
        <v>67160.76527162714</v>
      </c>
      <c r="D28" s="161">
        <f t="shared" si="6"/>
        <v>64681.199089768845</v>
      </c>
      <c r="E28" s="161">
        <f t="shared" si="6"/>
        <v>62005.033226563377</v>
      </c>
      <c r="F28" s="161">
        <f t="shared" si="6"/>
        <v>59123.588402549329</v>
      </c>
      <c r="G28" s="161">
        <f t="shared" si="6"/>
        <v>56053.121034131051</v>
      </c>
      <c r="H28" s="161">
        <f t="shared" si="6"/>
        <v>52762.389173958567</v>
      </c>
      <c r="I28" s="161">
        <f t="shared" si="6"/>
        <v>49242.794947131923</v>
      </c>
      <c r="J28" s="161">
        <f t="shared" si="6"/>
        <v>45455.708955183538</v>
      </c>
      <c r="K28" s="161">
        <f t="shared" si="6"/>
        <v>41405.696659657857</v>
      </c>
      <c r="L28" s="161">
        <f t="shared" si="6"/>
        <v>37057.787338978524</v>
      </c>
      <c r="M28" s="161">
        <f t="shared" si="6"/>
        <v>32394.23462999189</v>
      </c>
      <c r="N28" s="161">
        <f t="shared" si="6"/>
        <v>27377.590092584342</v>
      </c>
      <c r="O28" s="161">
        <f t="shared" si="6"/>
        <v>21996.669465025072</v>
      </c>
      <c r="P28" s="161">
        <f t="shared" si="6"/>
        <v>16211.211400160679</v>
      </c>
      <c r="Q28" s="161">
        <f t="shared" si="6"/>
        <v>9990.9912409849276</v>
      </c>
      <c r="R28" s="161">
        <f t="shared" si="6"/>
        <v>3299.8082390850182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649.78997393579573</v>
      </c>
      <c r="X28" s="161">
        <f t="shared" si="6"/>
        <v>2608.3236564083059</v>
      </c>
      <c r="Y28" s="161">
        <f t="shared" si="6"/>
        <v>5367.2391302241376</v>
      </c>
      <c r="Z28" s="161">
        <f t="shared" si="6"/>
        <v>8423.5565817333045</v>
      </c>
      <c r="AA28" s="161">
        <f t="shared" si="6"/>
        <v>11806.817613978186</v>
      </c>
      <c r="AB28" s="161">
        <f t="shared" si="6"/>
        <v>15547.33033884436</v>
      </c>
      <c r="AC28" s="161">
        <f t="shared" si="6"/>
        <v>19680.224261792238</v>
      </c>
      <c r="AD28" s="161">
        <f t="shared" si="6"/>
        <v>24229.246687614574</v>
      </c>
      <c r="AE28" s="161">
        <f t="shared" si="6"/>
        <v>29241.515184609074</v>
      </c>
      <c r="AF28" s="161">
        <f t="shared" si="6"/>
        <v>35137.171292523832</v>
      </c>
      <c r="AG28"/>
    </row>
    <row r="29" spans="1:33">
      <c r="A29" s="48" t="s">
        <v>323</v>
      </c>
      <c r="B29"/>
      <c r="C29" s="161">
        <f>(C23-B41)/(C41-B41)*IS!D32+(B41-B32)/(B41-Assumptions!H17)*IS!C32</f>
        <v>5121.4770572647667</v>
      </c>
      <c r="D29" s="161">
        <f>(D23-C41)/(D41-C41)*IS!E32+(C41-C32)/(C41-B41)*IS!D32</f>
        <v>5182.0119284931534</v>
      </c>
      <c r="E29" s="161">
        <f>(E23-D41)/(E41-D41)*IS!F32+(D41-D32)/(D41-C41)*IS!E32</f>
        <v>5178.976905119096</v>
      </c>
      <c r="F29" s="161">
        <f>(F23-E41)/(F41-E41)*IS!G32+(E41-E32)/(E41-D41)*IS!F32</f>
        <v>5125.9067112179182</v>
      </c>
      <c r="G29" s="161">
        <f>(G23-F41)/(G41-F41)*IS!H32+(F41-F32)/(F41-E41)*IS!G32</f>
        <v>5107.367067402427</v>
      </c>
      <c r="H29" s="161">
        <f>(H23-G41)/(H41-G41)*IS!I32+(G41-G32)/(G41-F41)*IS!H32</f>
        <v>5081.0843627073909</v>
      </c>
      <c r="I29" s="161">
        <f>(I23-H41)/(I41-H41)*IS!J32+(H41-H32)/(H41-G41)*IS!I32</f>
        <v>5074.8006251334446</v>
      </c>
      <c r="J29" s="161">
        <f>(J23-I41)/(J41-I41)*IS!K32+(I41-I32)/(I41-H41)*IS!J32</f>
        <v>5019.4103644516763</v>
      </c>
      <c r="K29" s="161">
        <f>(K23-J41)/(K41-J41)*IS!L32+(J41-J32)/(J41-I41)*IS!K32</f>
        <v>4997.7481189721657</v>
      </c>
      <c r="L29" s="161">
        <f>(L23-K41)/(L41-K41)*IS!M32+(K41-K32)/(K41-J41)*IS!L32</f>
        <v>4968.4015273004534</v>
      </c>
      <c r="M29" s="161">
        <f>(M23-L41)/(M41-L41)*IS!N32+(L41-L32)/(L41-K41)*IS!M32</f>
        <v>4958.4834382870613</v>
      </c>
      <c r="N29" s="161">
        <f>(N23-M41)/(N41-M41)*IS!O32+(M41-M32)/(M41-L41)*IS!N32</f>
        <v>4900.4953795212004</v>
      </c>
      <c r="O29" s="161">
        <f>(O23-N41)/(O41-N41)*IS!P32+(N41-N32)/(N41-M41)*IS!O32</f>
        <v>4875.3388793022677</v>
      </c>
      <c r="P29" s="161">
        <f>(P23-O41)/(P41-O41)*IS!Q32+(O41-O32)/(O41-N41)*IS!P32</f>
        <v>4842.5632128960824</v>
      </c>
      <c r="Q29" s="161">
        <f>(Q23-P41)/(Q41-P41)*IS!R32+(P41-P32)/(P41-O41)*IS!Q32</f>
        <v>4828.5785564966964</v>
      </c>
      <c r="R29" s="161">
        <f>(R23-Q41)/(R41-Q41)*IS!S32+(Q41-Q32)/(Q41-P41)*IS!R32</f>
        <v>4767.6812199500582</v>
      </c>
      <c r="S29" s="161">
        <f>(S23-R41)/(S41-R41)*IS!T32+(R41-R32)/(R41-Q41)*IS!S32</f>
        <v>4738.6138363344107</v>
      </c>
      <c r="T29" s="161">
        <f>(T23-S41)/(T41-S41)*IS!U32+(S41-S32)/(S41-R41)*IS!T32</f>
        <v>4701.9996687985476</v>
      </c>
      <c r="U29" s="161">
        <f>(U23-T41)/(U41-T41)*IS!V32+(T41-T32)/(T41-S41)*IS!U32</f>
        <v>4683.4639545264527</v>
      </c>
      <c r="V29" s="161">
        <f>(V23-U41)/(V41-U41)*IS!W32+(U41-U32)/(U41-T41)*IS!V32</f>
        <v>2975.3788506687674</v>
      </c>
      <c r="W29" s="161">
        <f>(W23-V41)/(W41-V41)*IS!X32+(V41-V32)/(V41-U41)*IS!W32</f>
        <v>-120.90214417855032</v>
      </c>
      <c r="X29" s="161">
        <f>(X23-W41)/(X41-W41)*IS!Y32+(W41-W32)/(W41-V41)*IS!X32</f>
        <v>-1580.7203979570927</v>
      </c>
      <c r="Y29" s="161">
        <f>(Y23-X41)/(Y41-X41)*IS!Z32+(X41-X32)/(X41-W41)*IS!Y32</f>
        <v>-1629.547503904384</v>
      </c>
      <c r="Z29" s="161">
        <f>(Z23-Y41)/(Z41-Y41)*IS!AA32+(Y41-Y32)/(Y41-X41)*IS!Z32</f>
        <v>-1663.7884888901704</v>
      </c>
      <c r="AA29" s="161">
        <f>(AA23-Z41)/(AA41-Z41)*IS!AB32+(Z41-Z32)/(Z41-Y41)*IS!AA32</f>
        <v>-1710.5040465573313</v>
      </c>
      <c r="AB29" s="161">
        <f>(AB23-AA41)/(AB41-AA41)*IS!AC32+(AA41-AA32)/(AA41-Z41)*IS!AB32</f>
        <v>-1756.2282236362644</v>
      </c>
      <c r="AC29" s="161">
        <f>(AC23-AB41)/(AC41-AB41)*IS!AD32+(AB41-AB32)/(AB41-AA41)*IS!AC32</f>
        <v>-1810.7585750092705</v>
      </c>
      <c r="AD29" s="161">
        <f>(AD23-AC41)/(AD41-AC41)*IS!AE32+(AC41-AC32)/(AC41-AB41)*IS!AD32</f>
        <v>-1849.0898367261589</v>
      </c>
      <c r="AE29" s="161">
        <f>(AE23-AD41)/(AE41-AD41)*IS!AF32+(AD41-AD32)/(AD41-AC41)*IS!AE32</f>
        <v>-1901.2945724586821</v>
      </c>
      <c r="AF29" s="161">
        <f>(AF23-AE41)/(AG23-AE41)*IS!AG32+(AE41-AE32)/(AE41-AD41)*IS!AF32</f>
        <v>-3947.0802902906589</v>
      </c>
      <c r="AG29"/>
    </row>
    <row r="30" spans="1:33">
      <c r="A30" s="405" t="s">
        <v>0</v>
      </c>
      <c r="B30" s="407"/>
      <c r="C30" s="406">
        <f>IF(C28&gt;0.1,C29/(C27+C26+B44)," ")</f>
        <v>1.2873057206388518</v>
      </c>
      <c r="D30" s="406">
        <f t="shared" ref="D30:AF30" si="7">IF(D28&gt;0.1,D29/(D27+D26+C44)," ")</f>
        <v>1.2979370022210148</v>
      </c>
      <c r="E30" s="406">
        <f t="shared" si="7"/>
        <v>1.3024263125439952</v>
      </c>
      <c r="F30" s="406">
        <f t="shared" si="7"/>
        <v>1.2971462184250924</v>
      </c>
      <c r="G30" s="406">
        <f t="shared" si="7"/>
        <v>1.2980898829968346</v>
      </c>
      <c r="H30" s="406">
        <f t="shared" si="7"/>
        <v>1.2981448434620788</v>
      </c>
      <c r="I30" s="406">
        <f t="shared" si="7"/>
        <v>1.3026413423072623</v>
      </c>
      <c r="J30" s="406">
        <f t="shared" si="7"/>
        <v>1.2973702862108829</v>
      </c>
      <c r="K30" s="406">
        <f t="shared" si="7"/>
        <v>1.298323134861691</v>
      </c>
      <c r="L30" s="406">
        <f t="shared" si="7"/>
        <v>1.2983874142790648</v>
      </c>
      <c r="M30" s="406">
        <f t="shared" si="7"/>
        <v>1.3028926704476225</v>
      </c>
      <c r="N30" s="406">
        <f t="shared" si="7"/>
        <v>1.2976325765055172</v>
      </c>
      <c r="O30" s="406">
        <f t="shared" si="7"/>
        <v>1.2985966071203305</v>
      </c>
      <c r="P30" s="406">
        <f t="shared" si="7"/>
        <v>1.2986722794582293</v>
      </c>
      <c r="Q30" s="406">
        <f t="shared" si="7"/>
        <v>1.3031883239983424</v>
      </c>
      <c r="R30" s="406">
        <f t="shared" si="7"/>
        <v>1.2979416739323282</v>
      </c>
      <c r="S30" s="406" t="str">
        <f t="shared" si="7"/>
        <v xml:space="preserve"> </v>
      </c>
      <c r="T30" s="406" t="str">
        <f t="shared" si="7"/>
        <v xml:space="preserve"> </v>
      </c>
      <c r="U30" s="406" t="str">
        <f t="shared" si="7"/>
        <v xml:space="preserve"> </v>
      </c>
      <c r="V30" s="406" t="str">
        <f t="shared" si="7"/>
        <v xml:space="preserve"> </v>
      </c>
      <c r="W30" s="406">
        <f t="shared" si="7"/>
        <v>0.18606341899405235</v>
      </c>
      <c r="X30" s="406">
        <f t="shared" si="7"/>
        <v>1.2879657931639004</v>
      </c>
      <c r="Y30" s="406">
        <f t="shared" si="7"/>
        <v>1.292434268838337</v>
      </c>
      <c r="Z30" s="406">
        <f t="shared" si="7"/>
        <v>1.2870634896622519</v>
      </c>
      <c r="AA30" s="406">
        <f t="shared" si="7"/>
        <v>1.2879278336695532</v>
      </c>
      <c r="AB30" s="406">
        <f t="shared" si="7"/>
        <v>1.2879155658515633</v>
      </c>
      <c r="AC30" s="406">
        <f t="shared" si="7"/>
        <v>1.2923850127057244</v>
      </c>
      <c r="AD30" s="406">
        <f t="shared" si="7"/>
        <v>1.2870148538590547</v>
      </c>
      <c r="AE30" s="406">
        <f t="shared" si="7"/>
        <v>1.2878798712383177</v>
      </c>
      <c r="AF30" s="406">
        <f t="shared" si="7"/>
        <v>2.0813030596365123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69202.763515152663</v>
      </c>
      <c r="C33" s="48">
        <f>C28</f>
        <v>67160.76527162714</v>
      </c>
      <c r="D33" s="48">
        <f t="shared" ref="D33:AF33" si="8">D28</f>
        <v>64681.199089768845</v>
      </c>
      <c r="E33" s="48">
        <f t="shared" si="8"/>
        <v>62005.033226563377</v>
      </c>
      <c r="F33" s="48">
        <f t="shared" si="8"/>
        <v>59123.588402549329</v>
      </c>
      <c r="G33" s="48">
        <f t="shared" si="8"/>
        <v>56053.121034131051</v>
      </c>
      <c r="H33" s="48">
        <f t="shared" si="8"/>
        <v>52762.389173958567</v>
      </c>
      <c r="I33" s="48">
        <f t="shared" si="8"/>
        <v>49242.794947131923</v>
      </c>
      <c r="J33" s="48">
        <f t="shared" si="8"/>
        <v>45455.708955183538</v>
      </c>
      <c r="K33" s="48">
        <f t="shared" si="8"/>
        <v>41405.696659657857</v>
      </c>
      <c r="L33" s="48">
        <f t="shared" si="8"/>
        <v>37057.787338978524</v>
      </c>
      <c r="M33" s="48">
        <f t="shared" si="8"/>
        <v>32394.23462999189</v>
      </c>
      <c r="N33" s="48">
        <f t="shared" si="8"/>
        <v>27377.590092584342</v>
      </c>
      <c r="O33" s="48">
        <f t="shared" si="8"/>
        <v>21996.669465025072</v>
      </c>
      <c r="P33" s="48">
        <f t="shared" si="8"/>
        <v>16211.211400160679</v>
      </c>
      <c r="Q33" s="48">
        <f t="shared" si="8"/>
        <v>9990.9912409849276</v>
      </c>
      <c r="R33" s="48">
        <f t="shared" si="8"/>
        <v>3299.8082390850182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649.78997393579573</v>
      </c>
      <c r="X33" s="48">
        <f t="shared" si="8"/>
        <v>2608.3236564083059</v>
      </c>
      <c r="Y33" s="48">
        <f t="shared" si="8"/>
        <v>5367.2391302241376</v>
      </c>
      <c r="Z33" s="48">
        <f t="shared" si="8"/>
        <v>8423.5565817333045</v>
      </c>
      <c r="AA33" s="48">
        <f t="shared" si="8"/>
        <v>11806.817613978186</v>
      </c>
      <c r="AB33" s="48">
        <f t="shared" si="8"/>
        <v>15547.33033884436</v>
      </c>
      <c r="AC33" s="48">
        <f t="shared" si="8"/>
        <v>19680.224261792238</v>
      </c>
      <c r="AD33" s="48">
        <f t="shared" si="8"/>
        <v>24229.246687614574</v>
      </c>
      <c r="AE33" s="48">
        <f t="shared" si="8"/>
        <v>29241.515184609074</v>
      </c>
      <c r="AF33" s="48">
        <f t="shared" si="8"/>
        <v>35137.171292523832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873.45165242510848</v>
      </c>
      <c r="C35" s="48">
        <f>C33-C37</f>
        <v>1200.4749381578731</v>
      </c>
      <c r="D35" s="48">
        <f t="shared" ref="D35:AF35" si="9">D33-D37</f>
        <v>1317.0894795887871</v>
      </c>
      <c r="E35" s="48">
        <f t="shared" si="9"/>
        <v>1418.6992250269832</v>
      </c>
      <c r="F35" s="48">
        <f t="shared" si="9"/>
        <v>1506.1501588900937</v>
      </c>
      <c r="G35" s="48">
        <f t="shared" si="9"/>
        <v>1615.9989640918866</v>
      </c>
      <c r="H35" s="48">
        <f t="shared" si="9"/>
        <v>1731.7006147868888</v>
      </c>
      <c r="I35" s="48">
        <f t="shared" si="9"/>
        <v>1864.5120496787567</v>
      </c>
      <c r="J35" s="48">
        <f t="shared" si="9"/>
        <v>1988.726036612381</v>
      </c>
      <c r="K35" s="48">
        <f t="shared" si="9"/>
        <v>2136.722541661693</v>
      </c>
      <c r="L35" s="48">
        <f t="shared" si="9"/>
        <v>2293.7722640354114</v>
      </c>
      <c r="M35" s="48">
        <f t="shared" si="9"/>
        <v>2469.4875588135474</v>
      </c>
      <c r="N35" s="48">
        <f t="shared" si="9"/>
        <v>2644.069541905712</v>
      </c>
      <c r="O35" s="48">
        <f t="shared" si="9"/>
        <v>2844.4650413254058</v>
      </c>
      <c r="P35" s="48">
        <f t="shared" si="9"/>
        <v>3058.3124353415224</v>
      </c>
      <c r="Q35" s="48">
        <f t="shared" si="9"/>
        <v>3293.0755849622537</v>
      </c>
      <c r="R35" s="48">
        <f t="shared" si="9"/>
        <v>3299.8082390850182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-676.66724552893459</v>
      </c>
      <c r="X35" s="48">
        <f t="shared" si="9"/>
        <v>-1335.1881116075792</v>
      </c>
      <c r="Y35" s="48">
        <f t="shared" si="9"/>
        <v>-1482.2344981540145</v>
      </c>
      <c r="Z35" s="48">
        <f t="shared" si="9"/>
        <v>-1641.1248640040358</v>
      </c>
      <c r="AA35" s="48">
        <f t="shared" si="9"/>
        <v>-1816.4710641841029</v>
      </c>
      <c r="AB35" s="48">
        <f t="shared" si="9"/>
        <v>-2006.705058731648</v>
      </c>
      <c r="AC35" s="48">
        <f t="shared" si="9"/>
        <v>-2212.9076519776063</v>
      </c>
      <c r="AD35" s="48">
        <f t="shared" si="9"/>
        <v>-2438.9223205929193</v>
      </c>
      <c r="AE35" s="48">
        <f t="shared" si="9"/>
        <v>-2685.8152663780202</v>
      </c>
      <c r="AF35" s="48">
        <f t="shared" si="9"/>
        <v>-2134.7055873653007</v>
      </c>
      <c r="AG35"/>
    </row>
    <row r="36" spans="1:39">
      <c r="A36" s="48" t="s">
        <v>56</v>
      </c>
      <c r="B36" s="385">
        <f>B33*(B32-Assumptions!H17)/365.25*$E$64</f>
        <v>2391.5451949897729</v>
      </c>
      <c r="C36" s="385">
        <f t="shared" ref="C36:AF36" si="10">C33*(C32-C23)/(C41-B41)*$E$64</f>
        <v>2777.9716539407964</v>
      </c>
      <c r="D36" s="385">
        <f t="shared" si="10"/>
        <v>2675.409323993932</v>
      </c>
      <c r="E36" s="385">
        <f t="shared" si="10"/>
        <v>2557.7076205957396</v>
      </c>
      <c r="F36" s="385">
        <f t="shared" si="10"/>
        <v>2445.5297970068177</v>
      </c>
      <c r="G36" s="385">
        <f t="shared" si="10"/>
        <v>2318.5260131857358</v>
      </c>
      <c r="H36" s="385">
        <f t="shared" si="10"/>
        <v>2182.4114261749023</v>
      </c>
      <c r="I36" s="385">
        <f t="shared" si="10"/>
        <v>2031.2652915691915</v>
      </c>
      <c r="J36" s="385">
        <f t="shared" si="10"/>
        <v>1880.1851121942013</v>
      </c>
      <c r="K36" s="385">
        <f t="shared" si="10"/>
        <v>1712.664398134752</v>
      </c>
      <c r="L36" s="385">
        <f t="shared" si="10"/>
        <v>1532.8217653430911</v>
      </c>
      <c r="M36" s="385">
        <f t="shared" si="10"/>
        <v>1336.2621784871658</v>
      </c>
      <c r="N36" s="385">
        <f t="shared" si="10"/>
        <v>1132.419634035047</v>
      </c>
      <c r="O36" s="385">
        <f t="shared" si="10"/>
        <v>909.84854040607127</v>
      </c>
      <c r="P36" s="385">
        <f t="shared" si="10"/>
        <v>670.54455921623526</v>
      </c>
      <c r="Q36" s="385">
        <f t="shared" si="10"/>
        <v>412.1283886906283</v>
      </c>
      <c r="R36" s="385">
        <f t="shared" si="10"/>
        <v>136.49001339612622</v>
      </c>
      <c r="S36" s="385">
        <f t="shared" si="10"/>
        <v>0</v>
      </c>
      <c r="T36" s="385">
        <f t="shared" si="10"/>
        <v>0</v>
      </c>
      <c r="U36" s="385">
        <f t="shared" si="10"/>
        <v>0</v>
      </c>
      <c r="V36" s="385">
        <f t="shared" si="10"/>
        <v>0</v>
      </c>
      <c r="W36" s="385">
        <f t="shared" si="10"/>
        <v>26.87727159313884</v>
      </c>
      <c r="X36" s="385">
        <f t="shared" si="10"/>
        <v>107.88812713047781</v>
      </c>
      <c r="Y36" s="385">
        <f t="shared" si="10"/>
        <v>221.39861412174568</v>
      </c>
      <c r="Z36" s="385">
        <f t="shared" si="10"/>
        <v>348.42368628142071</v>
      </c>
      <c r="AA36" s="385">
        <f t="shared" si="10"/>
        <v>488.36555870420727</v>
      </c>
      <c r="AB36" s="385">
        <f t="shared" si="10"/>
        <v>643.08443778274727</v>
      </c>
      <c r="AC36" s="385">
        <f t="shared" si="10"/>
        <v>811.80925079892984</v>
      </c>
      <c r="AD36" s="385">
        <f t="shared" si="10"/>
        <v>1002.1946626472904</v>
      </c>
      <c r="AE36" s="385">
        <f t="shared" si="10"/>
        <v>1209.5171931496864</v>
      </c>
      <c r="AF36" s="385">
        <f t="shared" si="10"/>
        <v>238.25890123012735</v>
      </c>
      <c r="AG36"/>
    </row>
    <row r="37" spans="1:39">
      <c r="A37" s="48" t="s">
        <v>57</v>
      </c>
      <c r="B37" s="161">
        <f>MAX(B33+B34+B36-B13,0)</f>
        <v>68329.311862727554</v>
      </c>
      <c r="C37" s="161">
        <f>MAX(C33+C34+C36-0.5*C13,0)</f>
        <v>65960.290333469267</v>
      </c>
      <c r="D37" s="161">
        <f t="shared" ref="D37:AF37" si="11">MAX(D33+D34+D36-0.5*D13,0)</f>
        <v>63364.109610180058</v>
      </c>
      <c r="E37" s="161">
        <f t="shared" si="11"/>
        <v>60586.334001536394</v>
      </c>
      <c r="F37" s="161">
        <f t="shared" si="11"/>
        <v>57617.438243659235</v>
      </c>
      <c r="G37" s="161">
        <f t="shared" si="11"/>
        <v>54437.122070039164</v>
      </c>
      <c r="H37" s="161">
        <f t="shared" si="11"/>
        <v>51030.688559171678</v>
      </c>
      <c r="I37" s="161">
        <f t="shared" si="11"/>
        <v>47378.282897453166</v>
      </c>
      <c r="J37" s="161">
        <f t="shared" si="11"/>
        <v>43466.982918571157</v>
      </c>
      <c r="K37" s="161">
        <f t="shared" si="11"/>
        <v>39268.974117996164</v>
      </c>
      <c r="L37" s="161">
        <f t="shared" si="11"/>
        <v>34764.015074943112</v>
      </c>
      <c r="M37" s="161">
        <f t="shared" si="11"/>
        <v>29924.747071178343</v>
      </c>
      <c r="N37" s="161">
        <f t="shared" si="11"/>
        <v>24733.52055067863</v>
      </c>
      <c r="O37" s="161">
        <f t="shared" si="11"/>
        <v>19152.204423699666</v>
      </c>
      <c r="P37" s="161">
        <f t="shared" si="11"/>
        <v>13152.898964819156</v>
      </c>
      <c r="Q37" s="161">
        <f t="shared" si="11"/>
        <v>6697.9156560226738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1326.4572194647303</v>
      </c>
      <c r="X37" s="161">
        <f t="shared" si="11"/>
        <v>3943.5117680158851</v>
      </c>
      <c r="Y37" s="161">
        <f t="shared" si="11"/>
        <v>6849.4736283781522</v>
      </c>
      <c r="Z37" s="161">
        <f t="shared" si="11"/>
        <v>10064.68144573734</v>
      </c>
      <c r="AA37" s="161">
        <f t="shared" si="11"/>
        <v>13623.288678162289</v>
      </c>
      <c r="AB37" s="161">
        <f t="shared" si="11"/>
        <v>17554.035397576008</v>
      </c>
      <c r="AC37" s="161">
        <f t="shared" si="11"/>
        <v>21893.131913769845</v>
      </c>
      <c r="AD37" s="161">
        <f t="shared" si="11"/>
        <v>26668.169008207493</v>
      </c>
      <c r="AE37" s="161">
        <f t="shared" si="11"/>
        <v>31927.330450987094</v>
      </c>
      <c r="AF37" s="161">
        <f t="shared" si="11"/>
        <v>37271.876879889132</v>
      </c>
      <c r="AG37"/>
    </row>
    <row r="38" spans="1:39">
      <c r="A38" s="48" t="s">
        <v>323</v>
      </c>
      <c r="B38" s="161">
        <f>(B32-Assumptions!H17)/(Debt!B41-Assumptions!H17)*IS!C32</f>
        <v>4244.4959016393414</v>
      </c>
      <c r="C38" s="161">
        <f>(C32-C23)/(C41-B41)*IS!D32</f>
        <v>5222.4840821917851</v>
      </c>
      <c r="D38" s="161">
        <f>(D32-D23)/(D41-C41)*IS!E32</f>
        <v>5198.4849608219183</v>
      </c>
      <c r="E38" s="161">
        <f>(E32-E23)/(E41-D41)*IS!F32</f>
        <v>5159.680893499999</v>
      </c>
      <c r="F38" s="161">
        <f>(F32-F23)/(F41-E41)*IS!G32</f>
        <v>5148.461174114057</v>
      </c>
      <c r="G38" s="161">
        <f>(G32-G23)/(G41-F41)*IS!H32</f>
        <v>5122.397873519395</v>
      </c>
      <c r="H38" s="161">
        <f>(H32-H23)/(H41-G41)*IS!I32</f>
        <v>5095.6069437932711</v>
      </c>
      <c r="I38" s="161">
        <f>(I32-I23)/(I41-H41)*IS!J32</f>
        <v>5054.2204621112251</v>
      </c>
      <c r="J38" s="161">
        <f>(J32-J23)/(J41-I41)*IS!K32</f>
        <v>5039.7586224454417</v>
      </c>
      <c r="K38" s="161">
        <f>(K32-K23)/(K41-J41)*IS!L32</f>
        <v>5010.6579244985833</v>
      </c>
      <c r="L38" s="161">
        <f>(L32-L23)/(L41-K41)*IS!M32</f>
        <v>4980.7429490836485</v>
      </c>
      <c r="M38" s="161">
        <f>(M32-M23)/(M41-L41)*IS!N32</f>
        <v>4936.4658786947857</v>
      </c>
      <c r="N38" s="161">
        <f>(N32-N23)/(N41-M41)*IS!O32</f>
        <v>4918.3764779247722</v>
      </c>
      <c r="O38" s="161">
        <f>(O32-O23)/(O41-N41)*IS!P32</f>
        <v>4885.8764331995708</v>
      </c>
      <c r="P38" s="161">
        <f>(P32-P23)/(P41-O41)*IS!Q32</f>
        <v>4852.4649729540906</v>
      </c>
      <c r="Q38" s="161">
        <f>(Q32-Q23)/(Q41-P41)*IS!R32</f>
        <v>4804.9517750007963</v>
      </c>
      <c r="R38" s="161">
        <f>(R32-R23)/(R41-Q41)*IS!S32</f>
        <v>4782.8027662174527</v>
      </c>
      <c r="S38" s="161">
        <f>(S32-S23)/(S41-R41)*IS!T32</f>
        <v>4746.4975859715287</v>
      </c>
      <c r="T38" s="161">
        <f>(T32-T23)/(T41-S41)*IS!U32</f>
        <v>4709.1720776563216</v>
      </c>
      <c r="U38" s="161">
        <f>(U32-U23)/(U41-T41)*IS!V32</f>
        <v>4658.03526751756</v>
      </c>
      <c r="V38" s="161">
        <f>(V32-V23)/(V41-U41)*IS!W32</f>
        <v>1325.4189047064449</v>
      </c>
      <c r="W38" s="161">
        <f>(W32-W23)/(W41-V41)*IS!X32</f>
        <v>-1568.5517880545185</v>
      </c>
      <c r="X38" s="161">
        <f>(X32-X23)/(X41-W41)*IS!Y32</f>
        <v>-1610.2595616833714</v>
      </c>
      <c r="Y38" s="161">
        <f>(Y32-Y23)/(Y41-X41)*IS!Z32</f>
        <v>-1648.625794579516</v>
      </c>
      <c r="Z38" s="161">
        <f>(Z32-Z23)/(Z41-Y41)*IS!AA32</f>
        <v>-1697.2345731886287</v>
      </c>
      <c r="AA38" s="161">
        <f>(AA32-AA23)/(AA41-Z41)*IS!AB32</f>
        <v>-1742.5702676904004</v>
      </c>
      <c r="AB38" s="161">
        <f>(AB32-AB23)/(AB41-AA41)*IS!AC32</f>
        <v>-1789.1853908308788</v>
      </c>
      <c r="AC38" s="161">
        <f>(AC32-AC23)/(AC41-AB41)*IS!AD32</f>
        <v>-1832.0972680552886</v>
      </c>
      <c r="AD38" s="161">
        <f>(AD32-AD23)/(AD41-AC41)*IS!AE32</f>
        <v>-1886.4020739324819</v>
      </c>
      <c r="AE38" s="161">
        <f>(AE32-AE23)/(AE41-AD41)*IS!AF32</f>
        <v>-1937.080417934978</v>
      </c>
      <c r="AF38" s="161">
        <f>(AF32-AF23)/(AG23-AE41)*IS!AG32</f>
        <v>-983.68109366079557</v>
      </c>
      <c r="AG38"/>
    </row>
    <row r="39" spans="1:39">
      <c r="A39" s="405" t="s">
        <v>0</v>
      </c>
      <c r="B39" s="406">
        <f t="shared" ref="B39:AF39" si="12">IF(B37&gt;0.1,B38/(B36+B35)," ")</f>
        <v>1.2999999999999987</v>
      </c>
      <c r="C39" s="406">
        <f t="shared" si="12"/>
        <v>1.3126942793611498</v>
      </c>
      <c r="D39" s="406">
        <f t="shared" si="12"/>
        <v>1.302062997778983</v>
      </c>
      <c r="E39" s="406">
        <f t="shared" si="12"/>
        <v>1.2975736874560104</v>
      </c>
      <c r="F39" s="406">
        <f t="shared" si="12"/>
        <v>1.3028537815749082</v>
      </c>
      <c r="G39" s="406">
        <f t="shared" si="12"/>
        <v>1.3019101170031677</v>
      </c>
      <c r="H39" s="406">
        <f t="shared" si="12"/>
        <v>1.3018551565379202</v>
      </c>
      <c r="I39" s="406">
        <f t="shared" si="12"/>
        <v>1.2973586576927387</v>
      </c>
      <c r="J39" s="406">
        <f t="shared" si="12"/>
        <v>1.302629713789117</v>
      </c>
      <c r="K39" s="406">
        <f t="shared" si="12"/>
        <v>1.3016768651383086</v>
      </c>
      <c r="L39" s="406">
        <f t="shared" si="12"/>
        <v>1.3016125857209362</v>
      </c>
      <c r="M39" s="406">
        <f t="shared" si="12"/>
        <v>1.2971073295523763</v>
      </c>
      <c r="N39" s="406">
        <f t="shared" si="12"/>
        <v>1.3023674234944835</v>
      </c>
      <c r="O39" s="406">
        <f t="shared" si="12"/>
        <v>1.3014033928796702</v>
      </c>
      <c r="P39" s="406">
        <f t="shared" si="12"/>
        <v>1.3013277205417724</v>
      </c>
      <c r="Q39" s="406">
        <f t="shared" si="12"/>
        <v>1.2968116760016577</v>
      </c>
      <c r="R39" s="406" t="str">
        <f t="shared" si="12"/>
        <v xml:space="preserve"> </v>
      </c>
      <c r="S39" s="406" t="str">
        <f t="shared" si="12"/>
        <v xml:space="preserve"> </v>
      </c>
      <c r="T39" s="406" t="str">
        <f t="shared" si="12"/>
        <v xml:space="preserve"> </v>
      </c>
      <c r="U39" s="406" t="str">
        <f t="shared" si="12"/>
        <v xml:space="preserve"> </v>
      </c>
      <c r="V39" s="406" t="str">
        <f t="shared" si="12"/>
        <v xml:space="preserve"> </v>
      </c>
      <c r="W39" s="406">
        <f t="shared" si="12"/>
        <v>2.4139365810059474</v>
      </c>
      <c r="X39" s="406">
        <f t="shared" si="12"/>
        <v>1.3120342068360999</v>
      </c>
      <c r="Y39" s="406">
        <f t="shared" si="12"/>
        <v>1.3075657311616633</v>
      </c>
      <c r="Z39" s="406">
        <f t="shared" si="12"/>
        <v>1.3129365103377491</v>
      </c>
      <c r="AA39" s="406">
        <f t="shared" si="12"/>
        <v>1.3120721663304471</v>
      </c>
      <c r="AB39" s="406">
        <f t="shared" si="12"/>
        <v>1.312084434148437</v>
      </c>
      <c r="AC39" s="406">
        <f t="shared" si="12"/>
        <v>1.3076149872942784</v>
      </c>
      <c r="AD39" s="406">
        <f t="shared" si="12"/>
        <v>1.312985146140947</v>
      </c>
      <c r="AE39" s="406">
        <f t="shared" si="12"/>
        <v>1.3121201287616777</v>
      </c>
      <c r="AF39" s="406">
        <f t="shared" si="12"/>
        <v>0.51869694036349068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68329.311862727554</v>
      </c>
      <c r="C42" s="48">
        <f>C37</f>
        <v>65960.290333469267</v>
      </c>
      <c r="D42" s="48">
        <f t="shared" ref="D42:AF42" si="14">D37</f>
        <v>63364.109610180058</v>
      </c>
      <c r="E42" s="48">
        <f t="shared" si="14"/>
        <v>60586.334001536394</v>
      </c>
      <c r="F42" s="48">
        <f t="shared" si="14"/>
        <v>57617.438243659235</v>
      </c>
      <c r="G42" s="48">
        <f t="shared" si="14"/>
        <v>54437.122070039164</v>
      </c>
      <c r="H42" s="48">
        <f t="shared" si="14"/>
        <v>51030.688559171678</v>
      </c>
      <c r="I42" s="48">
        <f t="shared" si="14"/>
        <v>47378.282897453166</v>
      </c>
      <c r="J42" s="48">
        <f t="shared" si="14"/>
        <v>43466.982918571157</v>
      </c>
      <c r="K42" s="48">
        <f t="shared" si="14"/>
        <v>39268.974117996164</v>
      </c>
      <c r="L42" s="48">
        <f t="shared" si="14"/>
        <v>34764.015074943112</v>
      </c>
      <c r="M42" s="48">
        <f t="shared" si="14"/>
        <v>29924.747071178343</v>
      </c>
      <c r="N42" s="48">
        <f t="shared" si="14"/>
        <v>24733.52055067863</v>
      </c>
      <c r="O42" s="48">
        <f t="shared" si="14"/>
        <v>19152.204423699666</v>
      </c>
      <c r="P42" s="48">
        <f t="shared" si="14"/>
        <v>13152.898964819156</v>
      </c>
      <c r="Q42" s="48">
        <f t="shared" si="14"/>
        <v>6697.9156560226738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1326.4572194647303</v>
      </c>
      <c r="X42" s="48">
        <f t="shared" si="14"/>
        <v>3943.5117680158851</v>
      </c>
      <c r="Y42" s="48">
        <f t="shared" si="14"/>
        <v>6849.4736283781522</v>
      </c>
      <c r="Z42" s="48">
        <f t="shared" si="14"/>
        <v>10064.68144573734</v>
      </c>
      <c r="AA42" s="48">
        <f t="shared" si="14"/>
        <v>13623.288678162289</v>
      </c>
      <c r="AB42" s="48">
        <f t="shared" si="14"/>
        <v>17554.035397576008</v>
      </c>
      <c r="AC42" s="48">
        <f t="shared" si="14"/>
        <v>21893.131913769845</v>
      </c>
      <c r="AD42" s="48">
        <f t="shared" si="14"/>
        <v>26668.169008207493</v>
      </c>
      <c r="AE42" s="48">
        <f t="shared" si="14"/>
        <v>31927.330450987094</v>
      </c>
      <c r="AF42" s="48">
        <f t="shared" si="14"/>
        <v>37271.876879889132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1404.4690179587326</v>
      </c>
      <c r="C44" s="385">
        <f t="shared" ref="C44:AF44" si="15">C42*(C41-C32)/(C41-B41)*$E$64</f>
        <v>1356.7037799411523</v>
      </c>
      <c r="D44" s="385">
        <f t="shared" si="15"/>
        <v>1303.3042545162377</v>
      </c>
      <c r="E44" s="385">
        <f t="shared" si="15"/>
        <v>1242.7647609741377</v>
      </c>
      <c r="F44" s="385">
        <f t="shared" si="15"/>
        <v>1185.103883874717</v>
      </c>
      <c r="G44" s="385">
        <f t="shared" si="15"/>
        <v>1119.6895724406002</v>
      </c>
      <c r="H44" s="385">
        <f t="shared" si="15"/>
        <v>1049.6243681040587</v>
      </c>
      <c r="I44" s="385">
        <f t="shared" si="15"/>
        <v>971.83731926947985</v>
      </c>
      <c r="J44" s="385">
        <f t="shared" si="15"/>
        <v>894.0503404415698</v>
      </c>
      <c r="K44" s="385">
        <f t="shared" si="15"/>
        <v>807.70362518042793</v>
      </c>
      <c r="L44" s="385">
        <f t="shared" si="15"/>
        <v>715.04340595927511</v>
      </c>
      <c r="M44" s="385">
        <f t="shared" si="15"/>
        <v>613.82524217724438</v>
      </c>
      <c r="N44" s="385">
        <f t="shared" si="15"/>
        <v>508.73124803895843</v>
      </c>
      <c r="O44" s="385">
        <f t="shared" si="15"/>
        <v>393.93198550938422</v>
      </c>
      <c r="P44" s="385">
        <f t="shared" si="15"/>
        <v>270.53531226953373</v>
      </c>
      <c r="Q44" s="385">
        <f t="shared" si="15"/>
        <v>137.3896223704651</v>
      </c>
      <c r="R44" s="385">
        <f t="shared" si="15"/>
        <v>0</v>
      </c>
      <c r="S44" s="385">
        <f t="shared" si="15"/>
        <v>0</v>
      </c>
      <c r="T44" s="385">
        <f t="shared" si="15"/>
        <v>0</v>
      </c>
      <c r="U44" s="385">
        <f t="shared" si="15"/>
        <v>0</v>
      </c>
      <c r="V44" s="385">
        <f t="shared" si="15"/>
        <v>0</v>
      </c>
      <c r="W44" s="385">
        <f t="shared" si="15"/>
        <v>27.283226233236885</v>
      </c>
      <c r="X44" s="385">
        <f t="shared" si="15"/>
        <v>81.112094790080164</v>
      </c>
      <c r="Y44" s="385">
        <f t="shared" si="15"/>
        <v>140.4984242214453</v>
      </c>
      <c r="Z44" s="385">
        <f t="shared" si="15"/>
        <v>207.01533138047421</v>
      </c>
      <c r="AA44" s="385">
        <f t="shared" si="15"/>
        <v>280.21051986658466</v>
      </c>
      <c r="AB44" s="385">
        <f t="shared" si="15"/>
        <v>361.06005684192291</v>
      </c>
      <c r="AC44" s="385">
        <f t="shared" si="15"/>
        <v>449.07838208368065</v>
      </c>
      <c r="AD44" s="385">
        <f t="shared" si="15"/>
        <v>548.52405158662395</v>
      </c>
      <c r="AE44" s="385">
        <f t="shared" si="15"/>
        <v>656.69707770078253</v>
      </c>
      <c r="AF44" s="385">
        <f t="shared" si="15"/>
        <v>2055.56953860868</v>
      </c>
    </row>
    <row r="45" spans="1:39">
      <c r="A45" s="48" t="s">
        <v>57</v>
      </c>
      <c r="B45" s="48">
        <f>B42+B43</f>
        <v>68329.311862727554</v>
      </c>
      <c r="C45" s="48">
        <f t="shared" ref="C45:AF45" si="16">C42+C43</f>
        <v>65960.290333469267</v>
      </c>
      <c r="D45" s="48">
        <f t="shared" si="16"/>
        <v>63364.109610180058</v>
      </c>
      <c r="E45" s="48">
        <f t="shared" si="16"/>
        <v>60586.334001536394</v>
      </c>
      <c r="F45" s="48">
        <f t="shared" si="16"/>
        <v>57617.438243659235</v>
      </c>
      <c r="G45" s="48">
        <f t="shared" si="16"/>
        <v>54437.122070039164</v>
      </c>
      <c r="H45" s="48">
        <f t="shared" si="16"/>
        <v>51030.688559171678</v>
      </c>
      <c r="I45" s="48">
        <f t="shared" si="16"/>
        <v>47378.282897453166</v>
      </c>
      <c r="J45" s="48">
        <f t="shared" si="16"/>
        <v>43466.982918571157</v>
      </c>
      <c r="K45" s="48">
        <f t="shared" si="16"/>
        <v>39268.974117996164</v>
      </c>
      <c r="L45" s="48">
        <f t="shared" si="16"/>
        <v>34764.015074943112</v>
      </c>
      <c r="M45" s="48">
        <f t="shared" si="16"/>
        <v>29924.747071178343</v>
      </c>
      <c r="N45" s="48">
        <f t="shared" si="16"/>
        <v>24733.52055067863</v>
      </c>
      <c r="O45" s="48">
        <f t="shared" si="16"/>
        <v>19152.204423699666</v>
      </c>
      <c r="P45" s="48">
        <f t="shared" si="16"/>
        <v>13152.898964819156</v>
      </c>
      <c r="Q45" s="48">
        <f t="shared" si="16"/>
        <v>6697.9156560226738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1326.4572194647303</v>
      </c>
      <c r="X45" s="48">
        <f t="shared" si="16"/>
        <v>3943.5117680158851</v>
      </c>
      <c r="Y45" s="48">
        <f t="shared" si="16"/>
        <v>6849.4736283781522</v>
      </c>
      <c r="Z45" s="48">
        <f t="shared" si="16"/>
        <v>10064.68144573734</v>
      </c>
      <c r="AA45" s="48">
        <f t="shared" si="16"/>
        <v>13623.288678162289</v>
      </c>
      <c r="AB45" s="48">
        <f t="shared" si="16"/>
        <v>17554.035397576008</v>
      </c>
      <c r="AC45" s="48">
        <f t="shared" si="16"/>
        <v>21893.131913769845</v>
      </c>
      <c r="AD45" s="48">
        <f t="shared" si="16"/>
        <v>26668.169008207493</v>
      </c>
      <c r="AE45" s="48">
        <f t="shared" si="16"/>
        <v>31927.330450987094</v>
      </c>
      <c r="AF45" s="48">
        <f t="shared" si="16"/>
        <v>37271.876879889132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873.45165242510848</v>
      </c>
      <c r="C48" s="161">
        <f t="shared" ref="C48:AF48" si="17">SUM(C35,C26)</f>
        <v>2369.021529258287</v>
      </c>
      <c r="D48" s="161">
        <f t="shared" si="17"/>
        <v>2596.1807232892097</v>
      </c>
      <c r="E48" s="161">
        <f t="shared" si="17"/>
        <v>2777.7756086436639</v>
      </c>
      <c r="F48" s="161">
        <f t="shared" si="17"/>
        <v>2968.8957578771588</v>
      </c>
      <c r="G48" s="161">
        <f t="shared" si="17"/>
        <v>3180.3161736200709</v>
      </c>
      <c r="H48" s="161">
        <f t="shared" si="17"/>
        <v>3406.4335108674859</v>
      </c>
      <c r="I48" s="161">
        <f t="shared" si="17"/>
        <v>3652.4056617185124</v>
      </c>
      <c r="J48" s="161">
        <f t="shared" si="17"/>
        <v>3911.2999788820089</v>
      </c>
      <c r="K48" s="161">
        <f t="shared" si="17"/>
        <v>4198.0088005749931</v>
      </c>
      <c r="L48" s="161">
        <f t="shared" si="17"/>
        <v>4504.9590430530516</v>
      </c>
      <c r="M48" s="161">
        <f t="shared" si="17"/>
        <v>4839.2680037647697</v>
      </c>
      <c r="N48" s="161">
        <f t="shared" si="17"/>
        <v>5191.2265204997129</v>
      </c>
      <c r="O48" s="161">
        <f t="shared" si="17"/>
        <v>5581.3161269789634</v>
      </c>
      <c r="P48" s="161">
        <f t="shared" si="17"/>
        <v>5999.3054588805098</v>
      </c>
      <c r="Q48" s="161">
        <f t="shared" si="17"/>
        <v>6454.9833087964826</v>
      </c>
      <c r="R48" s="161">
        <f t="shared" si="17"/>
        <v>6697.9156560226738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-1326.4572194647303</v>
      </c>
      <c r="X48" s="161">
        <f t="shared" si="17"/>
        <v>-2617.0545485511548</v>
      </c>
      <c r="Y48" s="161">
        <f t="shared" si="17"/>
        <v>-2905.9618603622671</v>
      </c>
      <c r="Z48" s="161">
        <f t="shared" si="17"/>
        <v>-3215.2078173591881</v>
      </c>
      <c r="AA48" s="161">
        <f t="shared" si="17"/>
        <v>-3558.607232424949</v>
      </c>
      <c r="AB48" s="161">
        <f t="shared" si="17"/>
        <v>-3930.7467194137189</v>
      </c>
      <c r="AC48" s="161">
        <f t="shared" si="17"/>
        <v>-4339.0965161938366</v>
      </c>
      <c r="AD48" s="161">
        <f t="shared" si="17"/>
        <v>-4775.0370944376482</v>
      </c>
      <c r="AE48" s="161">
        <f t="shared" si="17"/>
        <v>-5259.1614427796012</v>
      </c>
      <c r="AF48" s="161">
        <f t="shared" si="17"/>
        <v>-5344.5464289020383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2391.5451949897729</v>
      </c>
      <c r="C49" s="385">
        <f t="shared" ref="C49:AF49" si="18">C27+C36+B44</f>
        <v>5587.8716549390556</v>
      </c>
      <c r="D49" s="385">
        <f t="shared" si="18"/>
        <v>5388.8168838762367</v>
      </c>
      <c r="E49" s="385">
        <f t="shared" si="18"/>
        <v>5175.0380826017772</v>
      </c>
      <c r="F49" s="385">
        <f t="shared" si="18"/>
        <v>4934.4641539166669</v>
      </c>
      <c r="G49" s="385">
        <f t="shared" si="18"/>
        <v>4688.7337809351702</v>
      </c>
      <c r="H49" s="385">
        <f t="shared" si="18"/>
        <v>4421.7905710561026</v>
      </c>
      <c r="I49" s="385">
        <f t="shared" si="18"/>
        <v>4139.1490207773841</v>
      </c>
      <c r="J49" s="385">
        <f t="shared" si="18"/>
        <v>3826.5223187311594</v>
      </c>
      <c r="K49" s="385">
        <f t="shared" si="18"/>
        <v>3500.7650790178918</v>
      </c>
      <c r="L49" s="385">
        <f t="shared" si="18"/>
        <v>3148.229015703947</v>
      </c>
      <c r="M49" s="385">
        <f t="shared" si="18"/>
        <v>2772.2314708366548</v>
      </c>
      <c r="N49" s="385">
        <f t="shared" si="18"/>
        <v>2361.7518313818023</v>
      </c>
      <c r="O49" s="385">
        <f t="shared" si="18"/>
        <v>1927.3110364839881</v>
      </c>
      <c r="P49" s="385">
        <f t="shared" si="18"/>
        <v>1458.4085302350038</v>
      </c>
      <c r="Q49" s="385">
        <f t="shared" si="18"/>
        <v>955.42463850928061</v>
      </c>
      <c r="R49" s="385">
        <f t="shared" si="18"/>
        <v>411.64566806135906</v>
      </c>
      <c r="S49" s="385">
        <f t="shared" si="18"/>
        <v>0</v>
      </c>
      <c r="T49" s="385">
        <f t="shared" si="18"/>
        <v>0</v>
      </c>
      <c r="U49" s="385">
        <f t="shared" si="18"/>
        <v>0</v>
      </c>
      <c r="V49" s="385">
        <f t="shared" si="18"/>
        <v>0</v>
      </c>
      <c r="W49" s="385">
        <f t="shared" si="18"/>
        <v>26.87727159313884</v>
      </c>
      <c r="X49" s="385">
        <f t="shared" si="18"/>
        <v>162.45457959695159</v>
      </c>
      <c r="Y49" s="385">
        <f t="shared" si="18"/>
        <v>384.29009229772902</v>
      </c>
      <c r="Z49" s="385">
        <f t="shared" si="18"/>
        <v>629.80546191395911</v>
      </c>
      <c r="AA49" s="385">
        <f t="shared" si="18"/>
        <v>902.39622146515569</v>
      </c>
      <c r="AB49" s="385">
        <f t="shared" si="18"/>
        <v>1203.5054775159167</v>
      </c>
      <c r="AC49" s="385">
        <f t="shared" si="18"/>
        <v>1536.8997138364864</v>
      </c>
      <c r="AD49" s="385">
        <f t="shared" si="18"/>
        <v>1901.5817785463878</v>
      </c>
      <c r="AE49" s="385">
        <f t="shared" si="18"/>
        <v>2306.565296322934</v>
      </c>
      <c r="AF49" s="385">
        <f t="shared" si="18"/>
        <v>1551.6530566316924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3264.9968474148814</v>
      </c>
      <c r="C50" s="49">
        <f t="shared" si="19"/>
        <v>7956.8931841973426</v>
      </c>
      <c r="D50" s="49">
        <f t="shared" si="19"/>
        <v>7984.9976071654464</v>
      </c>
      <c r="E50" s="49">
        <f t="shared" si="19"/>
        <v>7952.8136912454411</v>
      </c>
      <c r="F50" s="49">
        <f t="shared" si="19"/>
        <v>7903.3599117938256</v>
      </c>
      <c r="G50" s="49">
        <f t="shared" si="19"/>
        <v>7869.0499545552411</v>
      </c>
      <c r="H50" s="49">
        <f t="shared" si="19"/>
        <v>7828.2240819235885</v>
      </c>
      <c r="I50" s="49">
        <f t="shared" si="19"/>
        <v>7791.5546824958965</v>
      </c>
      <c r="J50" s="49">
        <f t="shared" si="19"/>
        <v>7737.8222976131683</v>
      </c>
      <c r="K50" s="49">
        <f t="shared" si="19"/>
        <v>7698.7738795928854</v>
      </c>
      <c r="L50" s="49">
        <f t="shared" si="19"/>
        <v>7653.1880587569985</v>
      </c>
      <c r="M50" s="49">
        <f t="shared" si="19"/>
        <v>7611.4994746014245</v>
      </c>
      <c r="N50" s="49">
        <f t="shared" si="19"/>
        <v>7552.9783518815148</v>
      </c>
      <c r="O50" s="49">
        <f t="shared" si="19"/>
        <v>7508.627163462952</v>
      </c>
      <c r="P50" s="49">
        <f t="shared" si="19"/>
        <v>7457.7139891155139</v>
      </c>
      <c r="Q50" s="49">
        <f t="shared" si="19"/>
        <v>7410.4079473057627</v>
      </c>
      <c r="R50" s="49">
        <f t="shared" si="19"/>
        <v>7109.561324084033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-1299.5799478715915</v>
      </c>
      <c r="X50" s="49">
        <f t="shared" si="19"/>
        <v>-2454.5999689542032</v>
      </c>
      <c r="Y50" s="49">
        <f t="shared" si="19"/>
        <v>-2521.6717680645379</v>
      </c>
      <c r="Z50" s="49">
        <f t="shared" si="19"/>
        <v>-2585.4023554452287</v>
      </c>
      <c r="AA50" s="49">
        <f t="shared" si="19"/>
        <v>-2656.2110109597934</v>
      </c>
      <c r="AB50" s="49">
        <f t="shared" si="19"/>
        <v>-2727.241241897802</v>
      </c>
      <c r="AC50" s="49">
        <f t="shared" si="19"/>
        <v>-2802.19680235735</v>
      </c>
      <c r="AD50" s="49">
        <f t="shared" si="19"/>
        <v>-2873.4553158912604</v>
      </c>
      <c r="AE50" s="49">
        <f t="shared" si="19"/>
        <v>-2952.5961464566672</v>
      </c>
      <c r="AF50" s="49">
        <f t="shared" si="19"/>
        <v>-3792.8933722703459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1.2999999999999987</v>
      </c>
      <c r="C52" s="403">
        <f t="shared" ref="C52:AF52" si="20">IF(C33&gt;0.1,(C38+C29)/C50," ")</f>
        <v>1.3000000000000007</v>
      </c>
      <c r="D52" s="403">
        <f t="shared" si="20"/>
        <v>1.2999999999999989</v>
      </c>
      <c r="E52" s="403">
        <f t="shared" si="20"/>
        <v>1.3000000000000027</v>
      </c>
      <c r="F52" s="403">
        <f t="shared" si="20"/>
        <v>1.3000000000000003</v>
      </c>
      <c r="G52" s="403">
        <f t="shared" si="20"/>
        <v>1.3000000000000009</v>
      </c>
      <c r="H52" s="403">
        <f t="shared" si="20"/>
        <v>1.2999999999999998</v>
      </c>
      <c r="I52" s="403">
        <f t="shared" si="20"/>
        <v>1.3000000000000005</v>
      </c>
      <c r="J52" s="403">
        <f t="shared" si="20"/>
        <v>1.3</v>
      </c>
      <c r="K52" s="403">
        <f t="shared" si="20"/>
        <v>1.2999999999999998</v>
      </c>
      <c r="L52" s="403">
        <f t="shared" si="20"/>
        <v>1.3000000000000007</v>
      </c>
      <c r="M52" s="403">
        <f t="shared" si="20"/>
        <v>1.2999999999999994</v>
      </c>
      <c r="N52" s="403">
        <f t="shared" si="20"/>
        <v>1.3000000000000005</v>
      </c>
      <c r="O52" s="403">
        <f t="shared" si="20"/>
        <v>1.3</v>
      </c>
      <c r="P52" s="464">
        <f t="shared" si="20"/>
        <v>1.3000000000000007</v>
      </c>
      <c r="Q52" s="403">
        <f t="shared" si="20"/>
        <v>1.3</v>
      </c>
      <c r="R52" s="403">
        <f t="shared" si="20"/>
        <v>1.3433295741911271</v>
      </c>
      <c r="S52" s="403" t="str">
        <f t="shared" si="20"/>
        <v xml:space="preserve"> </v>
      </c>
      <c r="T52" s="403" t="str">
        <f t="shared" si="20"/>
        <v xml:space="preserve"> </v>
      </c>
      <c r="U52" s="403" t="str">
        <f t="shared" si="20"/>
        <v xml:space="preserve"> </v>
      </c>
      <c r="V52" s="403" t="str">
        <f t="shared" si="20"/>
        <v xml:space="preserve"> </v>
      </c>
      <c r="W52" s="403">
        <f t="shared" si="20"/>
        <v>1.3</v>
      </c>
      <c r="X52" s="403">
        <f t="shared" si="20"/>
        <v>1.3</v>
      </c>
      <c r="Y52" s="403">
        <f t="shared" si="20"/>
        <v>1.3000000000000003</v>
      </c>
      <c r="Z52" s="403">
        <f t="shared" si="20"/>
        <v>1.3000000000000005</v>
      </c>
      <c r="AA52" s="403">
        <f t="shared" si="20"/>
        <v>1.3</v>
      </c>
      <c r="AB52" s="403">
        <f t="shared" si="20"/>
        <v>1.3</v>
      </c>
      <c r="AC52" s="403">
        <f t="shared" si="20"/>
        <v>1.3000000000000014</v>
      </c>
      <c r="AD52" s="403">
        <f t="shared" si="20"/>
        <v>1.3000000000000007</v>
      </c>
      <c r="AE52" s="403">
        <f t="shared" si="20"/>
        <v>1.2999999999999976</v>
      </c>
      <c r="AF52" s="464">
        <f t="shared" si="20"/>
        <v>1.3000000000000012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873.45165242510848</v>
      </c>
      <c r="C56" s="161">
        <f t="shared" si="21"/>
        <v>2369.021529258287</v>
      </c>
      <c r="D56" s="161">
        <f t="shared" si="21"/>
        <v>2596.1807232892097</v>
      </c>
      <c r="E56" s="161">
        <f t="shared" si="21"/>
        <v>2777.7756086436639</v>
      </c>
      <c r="F56" s="161">
        <f t="shared" si="21"/>
        <v>2968.8957578771588</v>
      </c>
      <c r="G56" s="161">
        <f t="shared" si="21"/>
        <v>3180.3161736200709</v>
      </c>
      <c r="H56" s="161">
        <f t="shared" si="21"/>
        <v>3406.4335108674859</v>
      </c>
      <c r="I56" s="161">
        <f t="shared" si="21"/>
        <v>3652.4056617185124</v>
      </c>
      <c r="J56" s="161">
        <f t="shared" si="21"/>
        <v>3911.2999788820089</v>
      </c>
      <c r="K56" s="161">
        <f t="shared" si="21"/>
        <v>4198.0088005749931</v>
      </c>
      <c r="L56" s="161">
        <f t="shared" si="21"/>
        <v>4504.9590430530516</v>
      </c>
      <c r="M56" s="161">
        <f t="shared" si="21"/>
        <v>4839.2680037647697</v>
      </c>
      <c r="N56" s="161">
        <f t="shared" si="21"/>
        <v>5191.2265204997129</v>
      </c>
      <c r="O56" s="161">
        <f t="shared" si="21"/>
        <v>5581.3161269789634</v>
      </c>
      <c r="P56" s="161">
        <f t="shared" si="21"/>
        <v>5999.3054588805098</v>
      </c>
      <c r="Q56" s="161">
        <f t="shared" si="21"/>
        <v>6454.9833087964826</v>
      </c>
      <c r="R56" s="161">
        <f t="shared" si="21"/>
        <v>6697.9156560226738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-1326.4572194647303</v>
      </c>
      <c r="X56" s="161">
        <f t="shared" si="21"/>
        <v>-2617.0545485511548</v>
      </c>
      <c r="Y56" s="161">
        <f t="shared" si="21"/>
        <v>-2905.9618603622671</v>
      </c>
      <c r="Z56" s="161">
        <f t="shared" si="21"/>
        <v>-3215.2078173591881</v>
      </c>
      <c r="AA56" s="161">
        <f t="shared" si="21"/>
        <v>-3558.607232424949</v>
      </c>
      <c r="AB56" s="161">
        <f t="shared" si="21"/>
        <v>-3930.7467194137189</v>
      </c>
      <c r="AC56" s="161">
        <f t="shared" si="21"/>
        <v>-4339.0965161938366</v>
      </c>
      <c r="AD56" s="161">
        <f t="shared" si="21"/>
        <v>-4775.0370944376482</v>
      </c>
      <c r="AE56" s="161">
        <f t="shared" si="21"/>
        <v>-5259.1614427796012</v>
      </c>
      <c r="AF56" s="161">
        <f t="shared" si="21"/>
        <v>-5344.5464289020383</v>
      </c>
    </row>
    <row r="57" spans="1:39">
      <c r="A57" s="396" t="s">
        <v>131</v>
      </c>
      <c r="B57" s="385">
        <f t="shared" ref="B57:AF57" si="22">B36+B44+B27</f>
        <v>3796.0142129485057</v>
      </c>
      <c r="C57" s="385">
        <f t="shared" si="22"/>
        <v>5540.1064169214751</v>
      </c>
      <c r="D57" s="385">
        <f t="shared" si="22"/>
        <v>5335.4173584513228</v>
      </c>
      <c r="E57" s="385">
        <f t="shared" si="22"/>
        <v>5114.4985890596763</v>
      </c>
      <c r="F57" s="385">
        <f t="shared" si="22"/>
        <v>4876.8032768172461</v>
      </c>
      <c r="G57" s="385">
        <f t="shared" si="22"/>
        <v>4623.3194695010534</v>
      </c>
      <c r="H57" s="385">
        <f t="shared" si="22"/>
        <v>4351.725366719561</v>
      </c>
      <c r="I57" s="385">
        <f t="shared" si="22"/>
        <v>4061.3619719428052</v>
      </c>
      <c r="J57" s="385">
        <f t="shared" si="22"/>
        <v>3748.7353399032495</v>
      </c>
      <c r="K57" s="385">
        <f t="shared" si="22"/>
        <v>3414.4183637567498</v>
      </c>
      <c r="L57" s="385">
        <f t="shared" si="22"/>
        <v>3055.5687964827944</v>
      </c>
      <c r="M57" s="385">
        <f t="shared" si="22"/>
        <v>2671.013307054624</v>
      </c>
      <c r="N57" s="385">
        <f t="shared" si="22"/>
        <v>2256.657837243516</v>
      </c>
      <c r="O57" s="385">
        <f t="shared" si="22"/>
        <v>1812.5117739544139</v>
      </c>
      <c r="P57" s="385">
        <f t="shared" si="22"/>
        <v>1335.0118569951533</v>
      </c>
      <c r="Q57" s="385">
        <f t="shared" si="22"/>
        <v>822.27894861021196</v>
      </c>
      <c r="R57" s="385">
        <f t="shared" si="22"/>
        <v>274.25604569089398</v>
      </c>
      <c r="S57" s="385">
        <f t="shared" si="22"/>
        <v>0</v>
      </c>
      <c r="T57" s="385">
        <f t="shared" si="22"/>
        <v>0</v>
      </c>
      <c r="U57" s="385">
        <f t="shared" si="22"/>
        <v>0</v>
      </c>
      <c r="V57" s="385">
        <f t="shared" si="22"/>
        <v>0</v>
      </c>
      <c r="W57" s="385">
        <f t="shared" si="22"/>
        <v>54.160497826375725</v>
      </c>
      <c r="X57" s="385">
        <f t="shared" si="22"/>
        <v>216.28344815379486</v>
      </c>
      <c r="Y57" s="385">
        <f t="shared" si="22"/>
        <v>443.67642172909416</v>
      </c>
      <c r="Z57" s="385">
        <f t="shared" si="22"/>
        <v>696.32236907298807</v>
      </c>
      <c r="AA57" s="385">
        <f t="shared" si="22"/>
        <v>975.59140995126609</v>
      </c>
      <c r="AB57" s="385">
        <f t="shared" si="22"/>
        <v>1284.3550144912549</v>
      </c>
      <c r="AC57" s="385">
        <f t="shared" si="22"/>
        <v>1624.918039078244</v>
      </c>
      <c r="AD57" s="385">
        <f t="shared" si="22"/>
        <v>2001.027448049331</v>
      </c>
      <c r="AE57" s="385">
        <f t="shared" si="22"/>
        <v>2414.7383224370928</v>
      </c>
      <c r="AF57" s="385">
        <f t="shared" si="22"/>
        <v>2950.5255175395896</v>
      </c>
    </row>
    <row r="58" spans="1:39">
      <c r="A58" s="49" t="s">
        <v>58</v>
      </c>
      <c r="B58" s="49">
        <f>SUM(B56:B57)</f>
        <v>4669.4658653736142</v>
      </c>
      <c r="C58" s="49">
        <f t="shared" ref="C58:AF58" si="23">SUM(C56:C57)</f>
        <v>7909.1279461797621</v>
      </c>
      <c r="D58" s="49">
        <f t="shared" si="23"/>
        <v>7931.5980817405325</v>
      </c>
      <c r="E58" s="49">
        <f t="shared" si="23"/>
        <v>7892.2741977033402</v>
      </c>
      <c r="F58" s="49">
        <f t="shared" si="23"/>
        <v>7845.6990346944049</v>
      </c>
      <c r="G58" s="49">
        <f t="shared" si="23"/>
        <v>7803.6356431211243</v>
      </c>
      <c r="H58" s="49">
        <f t="shared" si="23"/>
        <v>7758.1588775870468</v>
      </c>
      <c r="I58" s="49">
        <f t="shared" si="23"/>
        <v>7713.7676336613176</v>
      </c>
      <c r="J58" s="49">
        <f t="shared" si="23"/>
        <v>7660.0353187852579</v>
      </c>
      <c r="K58" s="49">
        <f t="shared" si="23"/>
        <v>7612.4271643317425</v>
      </c>
      <c r="L58" s="49">
        <f t="shared" si="23"/>
        <v>7560.5278395358455</v>
      </c>
      <c r="M58" s="49">
        <f t="shared" si="23"/>
        <v>7510.2813108193932</v>
      </c>
      <c r="N58" s="49">
        <f t="shared" si="23"/>
        <v>7447.884357743229</v>
      </c>
      <c r="O58" s="49">
        <f t="shared" si="23"/>
        <v>7393.8279009333774</v>
      </c>
      <c r="P58" s="49">
        <f t="shared" si="23"/>
        <v>7334.3173158756636</v>
      </c>
      <c r="Q58" s="49">
        <f t="shared" si="23"/>
        <v>7277.2622574066945</v>
      </c>
      <c r="R58" s="49">
        <f t="shared" si="23"/>
        <v>6972.1717017135679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-1272.2967216383545</v>
      </c>
      <c r="X58" s="49">
        <f t="shared" si="23"/>
        <v>-2400.77110039736</v>
      </c>
      <c r="Y58" s="49">
        <f t="shared" si="23"/>
        <v>-2462.2854386331728</v>
      </c>
      <c r="Z58" s="49">
        <f t="shared" si="23"/>
        <v>-2518.8854482861998</v>
      </c>
      <c r="AA58" s="49">
        <f t="shared" si="23"/>
        <v>-2583.0158224736829</v>
      </c>
      <c r="AB58" s="49">
        <f t="shared" si="23"/>
        <v>-2646.3917049224638</v>
      </c>
      <c r="AC58" s="49">
        <f t="shared" si="23"/>
        <v>-2714.1784771155926</v>
      </c>
      <c r="AD58" s="49">
        <f t="shared" si="23"/>
        <v>-2774.0096463883174</v>
      </c>
      <c r="AE58" s="49">
        <f t="shared" si="23"/>
        <v>-2844.4231203425084</v>
      </c>
      <c r="AF58" s="49">
        <f t="shared" si="23"/>
        <v>-2394.0209113624487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41" t="s">
        <v>322</v>
      </c>
      <c r="C61" s="742"/>
      <c r="D61" s="742"/>
      <c r="E61" s="743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-4.2370451605704753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69202.763515152663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1.3016047990441162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-4.2370451605704753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94670</v>
      </c>
      <c r="C16" s="302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21161</v>
      </c>
      <c r="C17" s="302"/>
      <c r="D17" s="299">
        <f>$B$17*D13</f>
        <v>2821.4666666666667</v>
      </c>
      <c r="E17" s="299">
        <f t="shared" ref="E17:AH17" si="2">$B$17*E13</f>
        <v>4232.2</v>
      </c>
      <c r="F17" s="299">
        <f t="shared" si="2"/>
        <v>4232.2</v>
      </c>
      <c r="G17" s="299">
        <f t="shared" si="2"/>
        <v>4232.2</v>
      </c>
      <c r="H17" s="299">
        <f t="shared" si="2"/>
        <v>4232.2</v>
      </c>
      <c r="I17" s="299">
        <f t="shared" si="2"/>
        <v>1410.7333333333336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2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115831</v>
      </c>
      <c r="C21" s="376"/>
      <c r="D21" s="303">
        <f>B19-D19</f>
        <v>108276.03333333333</v>
      </c>
      <c r="E21" s="303">
        <f>D21-E19</f>
        <v>95050.18333333332</v>
      </c>
      <c r="F21" s="303">
        <f t="shared" ref="F21:X21" si="7">E21-F19</f>
        <v>82723.698333333319</v>
      </c>
      <c r="G21" s="303">
        <f t="shared" si="7"/>
        <v>71201.908333333326</v>
      </c>
      <c r="H21" s="303">
        <f t="shared" si="7"/>
        <v>60409.077333333327</v>
      </c>
      <c r="I21" s="303">
        <f t="shared" si="7"/>
        <v>53100.402999999991</v>
      </c>
      <c r="J21" s="303">
        <f t="shared" si="7"/>
        <v>47514.872999999992</v>
      </c>
      <c r="K21" s="303">
        <f t="shared" si="7"/>
        <v>41919.875999999989</v>
      </c>
      <c r="L21" s="303">
        <f t="shared" si="7"/>
        <v>36334.34599999999</v>
      </c>
      <c r="M21" s="303">
        <f t="shared" si="7"/>
        <v>30739.348999999991</v>
      </c>
      <c r="N21" s="303">
        <f t="shared" si="7"/>
        <v>25153.818999999992</v>
      </c>
      <c r="O21" s="303">
        <f t="shared" si="7"/>
        <v>19558.821999999993</v>
      </c>
      <c r="P21" s="303">
        <f t="shared" si="7"/>
        <v>13973.291999999994</v>
      </c>
      <c r="Q21" s="303">
        <f t="shared" si="7"/>
        <v>8378.2949999999946</v>
      </c>
      <c r="R21" s="303">
        <f t="shared" si="7"/>
        <v>2792.7649999999949</v>
      </c>
      <c r="S21" s="303">
        <f t="shared" si="7"/>
        <v>-5.0022208597511053E-12</v>
      </c>
      <c r="T21" s="303">
        <f t="shared" si="7"/>
        <v>-5.0022208597511053E-12</v>
      </c>
      <c r="U21" s="303">
        <f t="shared" si="7"/>
        <v>-5.0022208597511053E-12</v>
      </c>
      <c r="V21" s="303">
        <f t="shared" si="7"/>
        <v>-5.0022208597511053E-12</v>
      </c>
      <c r="W21" s="303">
        <f t="shared" si="7"/>
        <v>-5.0022208597511053E-12</v>
      </c>
      <c r="X21" s="303">
        <f t="shared" si="7"/>
        <v>-5.0022208597511053E-12</v>
      </c>
      <c r="Y21" s="303">
        <f>X21-Y19</f>
        <v>-5.0022208597511053E-12</v>
      </c>
      <c r="Z21" s="303">
        <f t="shared" ref="Z21:AH21" si="8">Y21-Z19</f>
        <v>-5.0022208597511053E-12</v>
      </c>
      <c r="AA21" s="303">
        <f t="shared" si="8"/>
        <v>-5.0022208597511053E-12</v>
      </c>
      <c r="AB21" s="303">
        <f t="shared" si="8"/>
        <v>-5.0022208597511053E-12</v>
      </c>
      <c r="AC21" s="303">
        <f t="shared" si="8"/>
        <v>-5.0022208597511053E-12</v>
      </c>
      <c r="AD21" s="303">
        <f t="shared" si="8"/>
        <v>-5.0022208597511053E-12</v>
      </c>
      <c r="AE21" s="303">
        <f t="shared" si="8"/>
        <v>-5.0022208597511053E-12</v>
      </c>
      <c r="AF21" s="303">
        <f t="shared" si="8"/>
        <v>-5.0022208597511053E-12</v>
      </c>
      <c r="AG21" s="303">
        <f t="shared" si="8"/>
        <v>-5.0022208597511053E-12</v>
      </c>
      <c r="AH21" s="303">
        <f t="shared" si="8"/>
        <v>-5.0022208597511053E-12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94670</v>
      </c>
      <c r="C31" s="302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21161</v>
      </c>
      <c r="C32" s="302"/>
      <c r="D32" s="299">
        <f>D27*$B$32</f>
        <v>2821.4666666666667</v>
      </c>
      <c r="E32" s="299">
        <f t="shared" ref="E32:AH32" si="16">E27*$B$32</f>
        <v>4232.2</v>
      </c>
      <c r="F32" s="299">
        <f t="shared" si="16"/>
        <v>4232.2</v>
      </c>
      <c r="G32" s="299">
        <f t="shared" si="16"/>
        <v>4232.2</v>
      </c>
      <c r="H32" s="299">
        <f t="shared" si="16"/>
        <v>4232.2</v>
      </c>
      <c r="I32" s="299">
        <f t="shared" si="16"/>
        <v>1410.7333333333336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2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115831</v>
      </c>
      <c r="C36" s="378"/>
      <c r="D36" s="303">
        <f>B34-D34</f>
        <v>108276.03333333333</v>
      </c>
      <c r="E36" s="303">
        <f>D36-E34</f>
        <v>95050.18333333332</v>
      </c>
      <c r="F36" s="303">
        <f t="shared" ref="F36:W36" si="21">E36-F34</f>
        <v>82723.698333333319</v>
      </c>
      <c r="G36" s="303">
        <f t="shared" si="21"/>
        <v>71201.908333333326</v>
      </c>
      <c r="H36" s="303">
        <f t="shared" si="21"/>
        <v>60409.077333333327</v>
      </c>
      <c r="I36" s="303">
        <f t="shared" si="21"/>
        <v>53100.402999999991</v>
      </c>
      <c r="J36" s="303">
        <f t="shared" si="21"/>
        <v>47514.872999999992</v>
      </c>
      <c r="K36" s="303">
        <f t="shared" si="21"/>
        <v>41919.875999999989</v>
      </c>
      <c r="L36" s="303">
        <f t="shared" si="21"/>
        <v>36334.34599999999</v>
      </c>
      <c r="M36" s="303">
        <f t="shared" si="21"/>
        <v>30739.348999999991</v>
      </c>
      <c r="N36" s="303">
        <f t="shared" si="21"/>
        <v>25153.818999999992</v>
      </c>
      <c r="O36" s="303">
        <f t="shared" si="21"/>
        <v>19558.821999999993</v>
      </c>
      <c r="P36" s="303">
        <f t="shared" si="21"/>
        <v>13973.291999999994</v>
      </c>
      <c r="Q36" s="303">
        <f t="shared" si="21"/>
        <v>8378.2949999999946</v>
      </c>
      <c r="R36" s="303">
        <f t="shared" si="21"/>
        <v>2792.7649999999949</v>
      </c>
      <c r="S36" s="303">
        <f t="shared" si="21"/>
        <v>-5.0022208597511053E-12</v>
      </c>
      <c r="T36" s="303">
        <f t="shared" si="21"/>
        <v>-5.0022208597511053E-12</v>
      </c>
      <c r="U36" s="303">
        <f t="shared" si="21"/>
        <v>-5.0022208597511053E-12</v>
      </c>
      <c r="V36" s="303">
        <f t="shared" si="21"/>
        <v>-5.0022208597511053E-12</v>
      </c>
      <c r="W36" s="303">
        <f t="shared" si="21"/>
        <v>-5.0022208597511053E-12</v>
      </c>
      <c r="X36" s="303">
        <f>W36-X34</f>
        <v>-5.0022208597511053E-12</v>
      </c>
      <c r="Y36" s="303">
        <f>X36-Y34</f>
        <v>-5.0022208597511053E-12</v>
      </c>
      <c r="Z36" s="303">
        <f t="shared" ref="Z36:AH36" si="22">Y36-Z34</f>
        <v>-5.0022208597511053E-12</v>
      </c>
      <c r="AA36" s="303">
        <f t="shared" si="22"/>
        <v>-5.0022208597511053E-12</v>
      </c>
      <c r="AB36" s="303">
        <f t="shared" si="22"/>
        <v>-5.0022208597511053E-12</v>
      </c>
      <c r="AC36" s="303">
        <f t="shared" si="22"/>
        <v>-5.0022208597511053E-12</v>
      </c>
      <c r="AD36" s="303">
        <f t="shared" si="22"/>
        <v>-5.0022208597511053E-12</v>
      </c>
      <c r="AE36" s="303">
        <f t="shared" si="22"/>
        <v>-5.0022208597511053E-12</v>
      </c>
      <c r="AF36" s="303">
        <f t="shared" si="22"/>
        <v>-5.0022208597511053E-12</v>
      </c>
      <c r="AG36" s="303">
        <f t="shared" si="22"/>
        <v>-5.0022208597511053E-12</v>
      </c>
      <c r="AH36" s="303">
        <f t="shared" si="22"/>
        <v>-5.0022208597511053E-12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94670</v>
      </c>
      <c r="C45" s="302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21161</v>
      </c>
      <c r="C46" s="302"/>
      <c r="D46" s="299">
        <f>D42*$B$46</f>
        <v>2821.4666666666667</v>
      </c>
      <c r="E46" s="299">
        <f t="shared" ref="E46:AH46" si="26">E42*$B$46</f>
        <v>4232.2</v>
      </c>
      <c r="F46" s="299">
        <f t="shared" si="26"/>
        <v>4232.2</v>
      </c>
      <c r="G46" s="299">
        <f t="shared" si="26"/>
        <v>4232.2</v>
      </c>
      <c r="H46" s="299">
        <f t="shared" si="26"/>
        <v>4232.2</v>
      </c>
      <c r="I46" s="299">
        <f t="shared" si="26"/>
        <v>1410.7333333333336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2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115831</v>
      </c>
      <c r="C50" s="378"/>
      <c r="D50" s="303">
        <f>B48-D48</f>
        <v>111116.13333333333</v>
      </c>
      <c r="E50" s="303">
        <f>D50-E48</f>
        <v>104043.83333333333</v>
      </c>
      <c r="F50" s="303">
        <f t="shared" ref="F50:Y50" si="31">E50-F48</f>
        <v>96971.533333333326</v>
      </c>
      <c r="G50" s="303">
        <f t="shared" si="31"/>
        <v>89899.233333333323</v>
      </c>
      <c r="H50" s="303">
        <f t="shared" si="31"/>
        <v>82826.93333333332</v>
      </c>
      <c r="I50" s="303">
        <f t="shared" si="31"/>
        <v>78576.099999999991</v>
      </c>
      <c r="J50" s="303">
        <f t="shared" si="31"/>
        <v>75735.999999999985</v>
      </c>
      <c r="K50" s="303">
        <f t="shared" si="31"/>
        <v>72895.89999999998</v>
      </c>
      <c r="L50" s="303">
        <f t="shared" si="31"/>
        <v>70055.799999999974</v>
      </c>
      <c r="M50" s="303">
        <f t="shared" si="31"/>
        <v>67215.699999999968</v>
      </c>
      <c r="N50" s="303">
        <f t="shared" si="31"/>
        <v>64375.599999999969</v>
      </c>
      <c r="O50" s="303">
        <f t="shared" si="31"/>
        <v>61535.499999999971</v>
      </c>
      <c r="P50" s="303">
        <f t="shared" si="31"/>
        <v>58695.399999999972</v>
      </c>
      <c r="Q50" s="303">
        <f t="shared" si="31"/>
        <v>55855.299999999974</v>
      </c>
      <c r="R50" s="303">
        <f t="shared" si="31"/>
        <v>53015.199999999975</v>
      </c>
      <c r="S50" s="303">
        <f t="shared" si="31"/>
        <v>50175.099999999977</v>
      </c>
      <c r="T50" s="303">
        <f t="shared" si="31"/>
        <v>47334.999999999978</v>
      </c>
      <c r="U50" s="303">
        <f t="shared" si="31"/>
        <v>44494.89999999998</v>
      </c>
      <c r="V50" s="303">
        <f t="shared" si="31"/>
        <v>41654.799999999981</v>
      </c>
      <c r="W50" s="303">
        <f t="shared" si="31"/>
        <v>38814.699999999983</v>
      </c>
      <c r="X50" s="303">
        <f t="shared" si="31"/>
        <v>35974.599999999984</v>
      </c>
      <c r="Y50" s="303">
        <f t="shared" si="31"/>
        <v>33134.499999999985</v>
      </c>
      <c r="Z50" s="303">
        <f t="shared" ref="Z50:AH50" si="32">Y50-Z48</f>
        <v>30294.399999999987</v>
      </c>
      <c r="AA50" s="303">
        <f t="shared" si="32"/>
        <v>27454.299999999988</v>
      </c>
      <c r="AB50" s="303">
        <f t="shared" si="32"/>
        <v>24614.19999999999</v>
      </c>
      <c r="AC50" s="303">
        <f t="shared" si="32"/>
        <v>21774.099999999991</v>
      </c>
      <c r="AD50" s="303">
        <f t="shared" si="32"/>
        <v>18933.999999999993</v>
      </c>
      <c r="AE50" s="303">
        <f t="shared" si="32"/>
        <v>16093.899999999992</v>
      </c>
      <c r="AF50" s="303">
        <f t="shared" si="32"/>
        <v>13253.799999999992</v>
      </c>
      <c r="AG50" s="303">
        <f t="shared" si="32"/>
        <v>10413.699999999992</v>
      </c>
      <c r="AH50" s="303">
        <f t="shared" si="32"/>
        <v>9466.9999999999909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>
      <selection activeCell="I24" sqref="I24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-1741.8808796151761</v>
      </c>
      <c r="C10" s="19">
        <f>IS!D40</f>
        <v>-2195.9764169214668</v>
      </c>
      <c r="D10" s="19">
        <f>IS!E40</f>
        <v>-2039.1544584513213</v>
      </c>
      <c r="E10" s="19">
        <f>IS!F40</f>
        <v>-1867.4368020596776</v>
      </c>
      <c r="F10" s="19">
        <f>IS!G40</f>
        <v>-1680.3145962072422</v>
      </c>
      <c r="G10" s="19">
        <f>IS!H40</f>
        <v>1342.6516989939137</v>
      </c>
      <c r="H10" s="19">
        <f>IS!I40</f>
        <v>2971.5436741795847</v>
      </c>
      <c r="I10" s="19">
        <f>IS!J40</f>
        <v>3206.9789522796445</v>
      </c>
      <c r="J10" s="19">
        <f>IS!K40</f>
        <v>3463.1422403841057</v>
      </c>
      <c r="K10" s="19">
        <f>IS!L40</f>
        <v>3739.4168408442488</v>
      </c>
      <c r="L10" s="19">
        <f>IS!M40</f>
        <v>4038.5999270993448</v>
      </c>
      <c r="M10" s="19">
        <f>IS!N40</f>
        <v>4361.8184503349476</v>
      </c>
      <c r="N10" s="19">
        <f>IS!O40</f>
        <v>4713.1187444097159</v>
      </c>
      <c r="O10" s="19">
        <f>IS!P40</f>
        <v>5092.442314121231</v>
      </c>
      <c r="P10" s="19">
        <f>IS!Q40</f>
        <v>5503.301886875026</v>
      </c>
      <c r="Q10" s="19">
        <f>IS!R40</f>
        <v>5947.5246013913802</v>
      </c>
      <c r="R10" s="19">
        <f>IS!S40</f>
        <v>6425.1139525023846</v>
      </c>
      <c r="S10" s="19">
        <f>IS!T40</f>
        <v>6626.9580266645225</v>
      </c>
      <c r="T10" s="19">
        <f>IS!U40</f>
        <v>6552.5109745604223</v>
      </c>
      <c r="U10" s="19">
        <f>IS!V40</f>
        <v>6475.9705350351196</v>
      </c>
      <c r="V10" s="19">
        <f>IS!W40</f>
        <v>-196.50491684233702</v>
      </c>
      <c r="W10" s="19">
        <f>IS!X40</f>
        <v>-6022.7927526892136</v>
      </c>
      <c r="X10" s="19">
        <f>IS!Y40</f>
        <v>-6268.1033389430331</v>
      </c>
      <c r="Y10" s="19">
        <f>IS!Z40</f>
        <v>-6581.0280108881261</v>
      </c>
      <c r="Z10" s="19">
        <f>IS!AA40</f>
        <v>-6921.617009585827</v>
      </c>
      <c r="AA10" s="19">
        <f>IS!AB40</f>
        <v>-7291.3097034321199</v>
      </c>
      <c r="AB10" s="19">
        <f>IS!AC40</f>
        <v>-7693.04882680421</v>
      </c>
      <c r="AC10" s="19">
        <f>IS!AD40</f>
        <v>-8129.2125751888216</v>
      </c>
      <c r="AD10" s="19">
        <f>IS!AE40</f>
        <v>-8603.6233878600196</v>
      </c>
      <c r="AE10" s="19">
        <f>IS!AF40</f>
        <v>-9118.4140194112297</v>
      </c>
      <c r="AF10" s="19">
        <f>IS!AG40</f>
        <v>-7864.7392619714647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-4581.9808796151765</v>
      </c>
      <c r="C13" s="23">
        <f t="shared" ref="C13:W13" si="0">SUM(C10:C12)</f>
        <v>-8349.5264169214661</v>
      </c>
      <c r="D13" s="23">
        <f t="shared" si="0"/>
        <v>-7293.3394584513226</v>
      </c>
      <c r="E13" s="23">
        <f t="shared" si="0"/>
        <v>-6316.9268020596792</v>
      </c>
      <c r="F13" s="23">
        <f t="shared" si="0"/>
        <v>-5400.845596207243</v>
      </c>
      <c r="G13" s="23">
        <f t="shared" si="0"/>
        <v>-1715.1893010060858</v>
      </c>
      <c r="H13" s="23">
        <f t="shared" si="0"/>
        <v>226.11367417958445</v>
      </c>
      <c r="I13" s="23">
        <f t="shared" si="0"/>
        <v>452.0819522796437</v>
      </c>
      <c r="J13" s="23">
        <f t="shared" si="0"/>
        <v>717.71224038410583</v>
      </c>
      <c r="K13" s="23">
        <f t="shared" si="0"/>
        <v>984.51984084424839</v>
      </c>
      <c r="L13" s="23">
        <f t="shared" si="0"/>
        <v>1293.1699270993449</v>
      </c>
      <c r="M13" s="23">
        <f t="shared" si="0"/>
        <v>1606.9214503349476</v>
      </c>
      <c r="N13" s="23">
        <f t="shared" si="0"/>
        <v>1967.6887444097165</v>
      </c>
      <c r="O13" s="23">
        <f t="shared" si="0"/>
        <v>2337.5453141212301</v>
      </c>
      <c r="P13" s="23">
        <f t="shared" si="0"/>
        <v>2757.8718868750266</v>
      </c>
      <c r="Q13" s="23">
        <f t="shared" si="0"/>
        <v>5994.8596013913811</v>
      </c>
      <c r="R13" s="23">
        <f t="shared" si="0"/>
        <v>9265.2139525023849</v>
      </c>
      <c r="S13" s="23">
        <f t="shared" si="0"/>
        <v>9467.0580266645229</v>
      </c>
      <c r="T13" s="23">
        <f t="shared" si="0"/>
        <v>9392.6109745604226</v>
      </c>
      <c r="U13" s="23">
        <f t="shared" si="0"/>
        <v>9316.07053503512</v>
      </c>
      <c r="V13" s="23">
        <f t="shared" si="0"/>
        <v>2643.5950831576629</v>
      </c>
      <c r="W13" s="23">
        <f t="shared" si="0"/>
        <v>-3182.6927526892136</v>
      </c>
      <c r="X13" s="23">
        <f t="shared" ref="X13:AF13" si="1">SUM(X10:X12)</f>
        <v>-3428.0033389430332</v>
      </c>
      <c r="Y13" s="23">
        <f t="shared" si="1"/>
        <v>-3740.9280108881262</v>
      </c>
      <c r="Z13" s="23">
        <f t="shared" si="1"/>
        <v>-4081.5170095858271</v>
      </c>
      <c r="AA13" s="23">
        <f t="shared" si="1"/>
        <v>-4451.2097034321196</v>
      </c>
      <c r="AB13" s="23">
        <f t="shared" si="1"/>
        <v>-4852.9488268042096</v>
      </c>
      <c r="AC13" s="23">
        <f t="shared" si="1"/>
        <v>-5289.1125751888212</v>
      </c>
      <c r="AD13" s="23">
        <f t="shared" si="1"/>
        <v>-5763.5233878600193</v>
      </c>
      <c r="AE13" s="23">
        <f t="shared" si="1"/>
        <v>-6278.3140194112293</v>
      </c>
      <c r="AF13" s="23">
        <f t="shared" si="1"/>
        <v>-6918.0392619714648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-320.73866157306236</v>
      </c>
      <c r="C16" s="19">
        <f t="shared" si="2"/>
        <v>-584.46684918450273</v>
      </c>
      <c r="D16" s="19">
        <f t="shared" si="2"/>
        <v>-510.53376209159262</v>
      </c>
      <c r="E16" s="19">
        <f t="shared" si="2"/>
        <v>-442.18487614417757</v>
      </c>
      <c r="F16" s="19">
        <f t="shared" si="2"/>
        <v>-378.05919173450707</v>
      </c>
      <c r="G16" s="19">
        <f t="shared" si="2"/>
        <v>-120.06325107042602</v>
      </c>
      <c r="H16" s="19">
        <f t="shared" si="2"/>
        <v>15.827957192570913</v>
      </c>
      <c r="I16" s="19">
        <f t="shared" si="2"/>
        <v>31.645736659575061</v>
      </c>
      <c r="J16" s="19">
        <f t="shared" si="2"/>
        <v>50.239856826887412</v>
      </c>
      <c r="K16" s="19">
        <f t="shared" si="2"/>
        <v>68.916388859097395</v>
      </c>
      <c r="L16" s="19">
        <f t="shared" si="2"/>
        <v>90.521894896954151</v>
      </c>
      <c r="M16" s="19">
        <f t="shared" si="2"/>
        <v>112.48450152344634</v>
      </c>
      <c r="N16" s="19">
        <f t="shared" si="2"/>
        <v>137.73821210868016</v>
      </c>
      <c r="O16" s="19">
        <f t="shared" si="2"/>
        <v>163.62817198848612</v>
      </c>
      <c r="P16" s="19">
        <f t="shared" si="2"/>
        <v>193.05103208125189</v>
      </c>
      <c r="Q16" s="19">
        <f t="shared" si="2"/>
        <v>419.64017209739671</v>
      </c>
      <c r="R16" s="19">
        <f t="shared" si="2"/>
        <v>648.56497667516703</v>
      </c>
      <c r="S16" s="19">
        <f t="shared" si="2"/>
        <v>662.69406186651668</v>
      </c>
      <c r="T16" s="19">
        <f t="shared" si="2"/>
        <v>657.48276821922968</v>
      </c>
      <c r="U16" s="19">
        <f t="shared" si="2"/>
        <v>652.12493745245843</v>
      </c>
      <c r="V16" s="19">
        <f t="shared" si="2"/>
        <v>185.05165582103641</v>
      </c>
      <c r="W16" s="19">
        <f t="shared" si="2"/>
        <v>-222.78849268824499</v>
      </c>
      <c r="X16" s="19">
        <f t="shared" si="2"/>
        <v>-239.96023372601235</v>
      </c>
      <c r="Y16" s="19">
        <f t="shared" si="2"/>
        <v>-261.86496076216883</v>
      </c>
      <c r="Z16" s="19">
        <f t="shared" si="2"/>
        <v>-285.7061906710079</v>
      </c>
      <c r="AA16" s="19">
        <f t="shared" si="2"/>
        <v>-311.58467924024842</v>
      </c>
      <c r="AB16" s="19">
        <f t="shared" si="2"/>
        <v>-339.70641787629472</v>
      </c>
      <c r="AC16" s="19">
        <f t="shared" si="2"/>
        <v>-370.23788026321751</v>
      </c>
      <c r="AD16" s="19">
        <f t="shared" si="2"/>
        <v>-403.44663715020141</v>
      </c>
      <c r="AE16" s="19">
        <f t="shared" si="2"/>
        <v>-439.48198135878607</v>
      </c>
      <c r="AF16" s="19">
        <f t="shared" si="2"/>
        <v>-484.26274833800261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320.73866157306236</v>
      </c>
      <c r="D18" s="19">
        <f t="shared" ref="D18:W18" si="3">C22</f>
        <v>905.20551075756509</v>
      </c>
      <c r="E18" s="19">
        <f t="shared" si="3"/>
        <v>1415.7392728491577</v>
      </c>
      <c r="F18" s="19">
        <f t="shared" si="3"/>
        <v>1857.9241489933352</v>
      </c>
      <c r="G18" s="19">
        <f t="shared" si="3"/>
        <v>2235.983340727842</v>
      </c>
      <c r="H18" s="19">
        <f t="shared" si="3"/>
        <v>2356.0465917982679</v>
      </c>
      <c r="I18" s="19">
        <f t="shared" si="3"/>
        <v>2340.2186346056969</v>
      </c>
      <c r="J18" s="19">
        <f t="shared" si="3"/>
        <v>2308.5728979461219</v>
      </c>
      <c r="K18" s="19">
        <f t="shared" si="3"/>
        <v>1985.0680733983179</v>
      </c>
      <c r="L18" s="19">
        <f t="shared" si="3"/>
        <v>1702.6633537546675</v>
      </c>
      <c r="M18" s="19">
        <f t="shared" si="3"/>
        <v>1612.1414588577134</v>
      </c>
      <c r="N18" s="19">
        <f t="shared" si="3"/>
        <v>1499.656957334267</v>
      </c>
      <c r="O18" s="19">
        <f t="shared" si="3"/>
        <v>1361.9187452255869</v>
      </c>
      <c r="P18" s="19">
        <f>O22</f>
        <v>1198.2905732371007</v>
      </c>
      <c r="Q18" s="19">
        <f t="shared" si="3"/>
        <v>1005.2395411558489</v>
      </c>
      <c r="R18" s="19">
        <f t="shared" si="3"/>
        <v>585.59936905845211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222.78849268824499</v>
      </c>
      <c r="Y18" s="19">
        <f t="shared" si="4"/>
        <v>462.74872641425736</v>
      </c>
      <c r="Z18" s="19">
        <f t="shared" si="4"/>
        <v>724.6136871764262</v>
      </c>
      <c r="AA18" s="19">
        <f t="shared" si="4"/>
        <v>1010.3198778474341</v>
      </c>
      <c r="AB18" s="19">
        <f t="shared" si="4"/>
        <v>1321.9045570876824</v>
      </c>
      <c r="AC18" s="19">
        <f t="shared" si="4"/>
        <v>1661.6109749639772</v>
      </c>
      <c r="AD18" s="19">
        <f t="shared" si="4"/>
        <v>2031.8488552271947</v>
      </c>
      <c r="AE18" s="19">
        <f t="shared" si="4"/>
        <v>2435.2954923773959</v>
      </c>
      <c r="AF18" s="19">
        <f t="shared" si="4"/>
        <v>2651.9889810479372</v>
      </c>
    </row>
    <row r="19" spans="1:32">
      <c r="A19" s="21" t="s">
        <v>73</v>
      </c>
      <c r="B19" s="139">
        <f>IF(B16&lt;0,-B16,0)</f>
        <v>320.73866157306236</v>
      </c>
      <c r="C19" s="139">
        <f t="shared" ref="C19:W19" si="5">IF(C16&lt;0,-C16,0)</f>
        <v>584.46684918450273</v>
      </c>
      <c r="D19" s="139">
        <f t="shared" si="5"/>
        <v>510.53376209159262</v>
      </c>
      <c r="E19" s="139">
        <f t="shared" si="5"/>
        <v>442.18487614417757</v>
      </c>
      <c r="F19" s="139">
        <f t="shared" si="5"/>
        <v>378.05919173450707</v>
      </c>
      <c r="G19" s="139">
        <f t="shared" si="5"/>
        <v>120.06325107042602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222.78849268824499</v>
      </c>
      <c r="X19" s="139">
        <f t="shared" ref="X19:AF19" si="6">IF(X16&lt;0,-X16,0)</f>
        <v>239.96023372601235</v>
      </c>
      <c r="Y19" s="139">
        <f t="shared" si="6"/>
        <v>261.86496076216883</v>
      </c>
      <c r="Z19" s="139">
        <f t="shared" si="6"/>
        <v>285.7061906710079</v>
      </c>
      <c r="AA19" s="139">
        <f t="shared" si="6"/>
        <v>311.58467924024842</v>
      </c>
      <c r="AB19" s="139">
        <f t="shared" si="6"/>
        <v>339.70641787629472</v>
      </c>
      <c r="AC19" s="139">
        <f t="shared" si="6"/>
        <v>370.23788026321751</v>
      </c>
      <c r="AD19" s="139">
        <f t="shared" si="6"/>
        <v>403.44663715020141</v>
      </c>
      <c r="AE19" s="139">
        <f t="shared" si="6"/>
        <v>439.48198135878607</v>
      </c>
      <c r="AF19" s="139">
        <f t="shared" si="6"/>
        <v>484.26274833800261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-273.26496772091639</v>
      </c>
      <c r="K20" s="468">
        <f t="shared" ref="K20:AF20" si="7">IF(-SUM(C21:J21, C20:J20)&gt;C19,0,-C19-SUM(C21:J21,C20:J20))</f>
        <v>-213.488330784553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0</v>
      </c>
      <c r="T20" s="468">
        <f t="shared" si="7"/>
        <v>0</v>
      </c>
      <c r="U20" s="468">
        <f t="shared" si="7"/>
        <v>0</v>
      </c>
      <c r="V20" s="468">
        <f t="shared" si="7"/>
        <v>0</v>
      </c>
      <c r="W20" s="468">
        <f t="shared" si="7"/>
        <v>0</v>
      </c>
      <c r="X20" s="468">
        <f t="shared" si="7"/>
        <v>0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0</v>
      </c>
      <c r="AC20" s="468">
        <f t="shared" si="7"/>
        <v>0</v>
      </c>
      <c r="AD20" s="468">
        <f t="shared" si="7"/>
        <v>0</v>
      </c>
      <c r="AE20" s="468">
        <f t="shared" si="7"/>
        <v>-222.78849268824499</v>
      </c>
      <c r="AF20" s="468">
        <f t="shared" si="7"/>
        <v>-17.171741037767362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-15.827957192570913</v>
      </c>
      <c r="I21" s="132">
        <f t="shared" si="8"/>
        <v>-31.645736659575061</v>
      </c>
      <c r="J21" s="132">
        <f t="shared" si="8"/>
        <v>-50.239856826887412</v>
      </c>
      <c r="K21" s="132">
        <f t="shared" si="8"/>
        <v>-68.916388859097395</v>
      </c>
      <c r="L21" s="132">
        <f t="shared" si="8"/>
        <v>-90.521894896954151</v>
      </c>
      <c r="M21" s="132">
        <f t="shared" si="8"/>
        <v>-112.48450152344634</v>
      </c>
      <c r="N21" s="132">
        <f t="shared" si="8"/>
        <v>-137.73821210868016</v>
      </c>
      <c r="O21" s="132">
        <f t="shared" si="8"/>
        <v>-163.62817198848612</v>
      </c>
      <c r="P21" s="132">
        <f t="shared" si="8"/>
        <v>-193.05103208125189</v>
      </c>
      <c r="Q21" s="132">
        <f t="shared" si="8"/>
        <v>-419.64017209739671</v>
      </c>
      <c r="R21" s="132">
        <f t="shared" si="8"/>
        <v>-585.59936905845211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320.73866157306236</v>
      </c>
      <c r="C22" s="132">
        <f t="shared" si="10"/>
        <v>905.20551075756509</v>
      </c>
      <c r="D22" s="132">
        <f t="shared" si="10"/>
        <v>1415.7392728491577</v>
      </c>
      <c r="E22" s="132">
        <f t="shared" si="10"/>
        <v>1857.9241489933352</v>
      </c>
      <c r="F22" s="132">
        <f t="shared" si="10"/>
        <v>2235.983340727842</v>
      </c>
      <c r="G22" s="132">
        <f t="shared" si="10"/>
        <v>2356.0465917982679</v>
      </c>
      <c r="H22" s="132">
        <f t="shared" si="10"/>
        <v>2340.2186346056969</v>
      </c>
      <c r="I22" s="132">
        <f t="shared" si="10"/>
        <v>2308.5728979461219</v>
      </c>
      <c r="J22" s="132">
        <f t="shared" si="10"/>
        <v>1985.0680733983179</v>
      </c>
      <c r="K22" s="132">
        <f t="shared" si="10"/>
        <v>1702.6633537546675</v>
      </c>
      <c r="L22" s="132">
        <f t="shared" si="10"/>
        <v>1612.1414588577134</v>
      </c>
      <c r="M22" s="132">
        <f t="shared" si="10"/>
        <v>1499.656957334267</v>
      </c>
      <c r="N22" s="132">
        <f t="shared" si="10"/>
        <v>1361.9187452255869</v>
      </c>
      <c r="O22" s="132">
        <f t="shared" si="10"/>
        <v>1198.2905732371007</v>
      </c>
      <c r="P22" s="132">
        <f t="shared" si="10"/>
        <v>1005.2395411558489</v>
      </c>
      <c r="Q22" s="132">
        <f t="shared" si="10"/>
        <v>585.59936905845211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222.78849268824499</v>
      </c>
      <c r="X22" s="132">
        <f t="shared" si="10"/>
        <v>462.74872641425736</v>
      </c>
      <c r="Y22" s="132">
        <f t="shared" si="10"/>
        <v>724.6136871764262</v>
      </c>
      <c r="Z22" s="132">
        <f t="shared" si="10"/>
        <v>1010.3198778474341</v>
      </c>
      <c r="AA22" s="132">
        <f t="shared" si="10"/>
        <v>1321.9045570876824</v>
      </c>
      <c r="AB22" s="132">
        <f t="shared" si="10"/>
        <v>1661.6109749639772</v>
      </c>
      <c r="AC22" s="132">
        <f t="shared" si="10"/>
        <v>2031.8488552271947</v>
      </c>
      <c r="AD22" s="132">
        <f t="shared" si="10"/>
        <v>2435.2954923773959</v>
      </c>
      <c r="AE22" s="132">
        <f t="shared" si="10"/>
        <v>2651.9889810479372</v>
      </c>
      <c r="AF22" s="132">
        <f t="shared" si="10"/>
        <v>3119.0799883481723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62.965607616714919</v>
      </c>
      <c r="S24" s="136">
        <f t="shared" si="11"/>
        <v>662.69406186651668</v>
      </c>
      <c r="T24" s="136">
        <f t="shared" si="11"/>
        <v>657.48276821922968</v>
      </c>
      <c r="U24" s="136">
        <f t="shared" si="11"/>
        <v>652.12493745245843</v>
      </c>
      <c r="V24" s="136">
        <f t="shared" si="11"/>
        <v>185.05165582103641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-4581.9808796151765</v>
      </c>
      <c r="C28" s="19">
        <f t="shared" ref="C28:AF28" si="12">C13</f>
        <v>-8349.5264169214661</v>
      </c>
      <c r="D28" s="19">
        <f t="shared" si="12"/>
        <v>-7293.3394584513226</v>
      </c>
      <c r="E28" s="19">
        <f t="shared" si="12"/>
        <v>-6316.9268020596792</v>
      </c>
      <c r="F28" s="19">
        <f t="shared" si="12"/>
        <v>-5400.845596207243</v>
      </c>
      <c r="G28" s="19">
        <f t="shared" si="12"/>
        <v>-1715.1893010060858</v>
      </c>
      <c r="H28" s="19">
        <f t="shared" si="12"/>
        <v>226.11367417958445</v>
      </c>
      <c r="I28" s="19">
        <f t="shared" si="12"/>
        <v>452.0819522796437</v>
      </c>
      <c r="J28" s="19">
        <f t="shared" si="12"/>
        <v>717.71224038410583</v>
      </c>
      <c r="K28" s="19">
        <f t="shared" si="12"/>
        <v>984.51984084424839</v>
      </c>
      <c r="L28" s="19">
        <f t="shared" si="12"/>
        <v>1293.1699270993449</v>
      </c>
      <c r="M28" s="19">
        <f t="shared" si="12"/>
        <v>1606.9214503349476</v>
      </c>
      <c r="N28" s="19">
        <f t="shared" si="12"/>
        <v>1967.6887444097165</v>
      </c>
      <c r="O28" s="19">
        <f t="shared" si="12"/>
        <v>2337.5453141212301</v>
      </c>
      <c r="P28" s="19">
        <f t="shared" si="12"/>
        <v>2757.8718868750266</v>
      </c>
      <c r="Q28" s="19">
        <f t="shared" si="12"/>
        <v>5994.8596013913811</v>
      </c>
      <c r="R28" s="19">
        <f t="shared" si="12"/>
        <v>9265.2139525023849</v>
      </c>
      <c r="S28" s="19">
        <f t="shared" si="12"/>
        <v>9467.0580266645229</v>
      </c>
      <c r="T28" s="19">
        <f t="shared" si="12"/>
        <v>9392.6109745604226</v>
      </c>
      <c r="U28" s="19">
        <f t="shared" si="12"/>
        <v>9316.07053503512</v>
      </c>
      <c r="V28" s="19">
        <f t="shared" si="12"/>
        <v>2643.5950831576629</v>
      </c>
      <c r="W28" s="19">
        <f t="shared" si="12"/>
        <v>-3182.6927526892136</v>
      </c>
      <c r="X28" s="19">
        <f t="shared" si="12"/>
        <v>-3428.0033389430332</v>
      </c>
      <c r="Y28" s="19">
        <f t="shared" si="12"/>
        <v>-3740.9280108881262</v>
      </c>
      <c r="Z28" s="19">
        <f t="shared" si="12"/>
        <v>-4081.5170095858271</v>
      </c>
      <c r="AA28" s="19">
        <f t="shared" si="12"/>
        <v>-4451.2097034321196</v>
      </c>
      <c r="AB28" s="19">
        <f t="shared" si="12"/>
        <v>-4852.9488268042096</v>
      </c>
      <c r="AC28" s="19">
        <f t="shared" si="12"/>
        <v>-5289.1125751888212</v>
      </c>
      <c r="AD28" s="19">
        <f t="shared" si="12"/>
        <v>-5763.5233878600193</v>
      </c>
      <c r="AE28" s="19">
        <f t="shared" si="12"/>
        <v>-6278.3140194112293</v>
      </c>
      <c r="AF28" s="19">
        <f t="shared" si="12"/>
        <v>-6918.0392619714648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-62.965607616714919</v>
      </c>
      <c r="S29" s="134">
        <f t="shared" si="13"/>
        <v>-662.69406186651668</v>
      </c>
      <c r="T29" s="134">
        <f t="shared" si="13"/>
        <v>-657.48276821922968</v>
      </c>
      <c r="U29" s="134">
        <f t="shared" si="13"/>
        <v>-652.12493745245843</v>
      </c>
      <c r="V29" s="134">
        <f t="shared" si="13"/>
        <v>-185.05165582103641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-4581.9808796151765</v>
      </c>
      <c r="C30" s="44">
        <f t="shared" si="14"/>
        <v>-8349.5264169214661</v>
      </c>
      <c r="D30" s="44">
        <f t="shared" si="14"/>
        <v>-7293.3394584513226</v>
      </c>
      <c r="E30" s="44">
        <f t="shared" si="14"/>
        <v>-6316.9268020596792</v>
      </c>
      <c r="F30" s="44">
        <f t="shared" si="14"/>
        <v>-5400.845596207243</v>
      </c>
      <c r="G30" s="44">
        <f t="shared" si="14"/>
        <v>-1715.1893010060858</v>
      </c>
      <c r="H30" s="44">
        <f t="shared" si="14"/>
        <v>226.11367417958445</v>
      </c>
      <c r="I30" s="44">
        <f t="shared" si="14"/>
        <v>452.0819522796437</v>
      </c>
      <c r="J30" s="44">
        <f t="shared" si="14"/>
        <v>717.71224038410583</v>
      </c>
      <c r="K30" s="44">
        <f t="shared" si="14"/>
        <v>984.51984084424839</v>
      </c>
      <c r="L30" s="44">
        <f t="shared" si="14"/>
        <v>1293.1699270993449</v>
      </c>
      <c r="M30" s="44">
        <f t="shared" si="14"/>
        <v>1606.9214503349476</v>
      </c>
      <c r="N30" s="44">
        <f t="shared" si="14"/>
        <v>1967.6887444097165</v>
      </c>
      <c r="O30" s="44">
        <f t="shared" si="14"/>
        <v>2337.5453141212301</v>
      </c>
      <c r="P30" s="44">
        <f t="shared" si="14"/>
        <v>2757.8718868750266</v>
      </c>
      <c r="Q30" s="44">
        <f t="shared" si="14"/>
        <v>5994.8596013913811</v>
      </c>
      <c r="R30" s="44">
        <f t="shared" si="14"/>
        <v>9202.2483448856692</v>
      </c>
      <c r="S30" s="44">
        <f t="shared" si="14"/>
        <v>8804.3639647980053</v>
      </c>
      <c r="T30" s="44">
        <f t="shared" si="14"/>
        <v>8735.1282063411927</v>
      </c>
      <c r="U30" s="44">
        <f t="shared" si="14"/>
        <v>8663.9455975826622</v>
      </c>
      <c r="V30" s="44">
        <f t="shared" si="14"/>
        <v>2458.5434273366263</v>
      </c>
      <c r="W30" s="44">
        <f t="shared" si="14"/>
        <v>-3182.6927526892136</v>
      </c>
      <c r="X30" s="44">
        <f t="shared" si="14"/>
        <v>-3428.0033389430332</v>
      </c>
      <c r="Y30" s="44">
        <f t="shared" si="14"/>
        <v>-3740.9280108881262</v>
      </c>
      <c r="Z30" s="44">
        <f t="shared" si="14"/>
        <v>-4081.5170095858271</v>
      </c>
      <c r="AA30" s="44">
        <f t="shared" si="14"/>
        <v>-4451.2097034321196</v>
      </c>
      <c r="AB30" s="44">
        <f t="shared" si="14"/>
        <v>-4852.9488268042096</v>
      </c>
      <c r="AC30" s="44">
        <f t="shared" si="14"/>
        <v>-5289.1125751888212</v>
      </c>
      <c r="AD30" s="44">
        <f t="shared" si="14"/>
        <v>-5763.5233878600193</v>
      </c>
      <c r="AE30" s="44">
        <f t="shared" si="14"/>
        <v>-6278.3140194112293</v>
      </c>
      <c r="AF30" s="44">
        <f t="shared" si="14"/>
        <v>-6918.0392619714648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-1603.6933078653117</v>
      </c>
      <c r="C33" s="19">
        <f t="shared" ref="C33:W33" si="15">C30*C32</f>
        <v>-2922.3342459225128</v>
      </c>
      <c r="D33" s="19">
        <f t="shared" si="15"/>
        <v>-2552.6688104579625</v>
      </c>
      <c r="E33" s="19">
        <f t="shared" si="15"/>
        <v>-2210.9243807208877</v>
      </c>
      <c r="F33" s="19">
        <f t="shared" si="15"/>
        <v>-1890.2959586725349</v>
      </c>
      <c r="G33" s="19">
        <f t="shared" si="15"/>
        <v>-600.31625535212993</v>
      </c>
      <c r="H33" s="19">
        <f t="shared" si="15"/>
        <v>79.139785962854546</v>
      </c>
      <c r="I33" s="19">
        <f t="shared" si="15"/>
        <v>158.22868329787528</v>
      </c>
      <c r="J33" s="19">
        <f t="shared" si="15"/>
        <v>251.19928413443702</v>
      </c>
      <c r="K33" s="19">
        <f t="shared" si="15"/>
        <v>344.58194429548689</v>
      </c>
      <c r="L33" s="19">
        <f t="shared" si="15"/>
        <v>452.60947448477071</v>
      </c>
      <c r="M33" s="19">
        <f t="shared" si="15"/>
        <v>562.42250761723164</v>
      </c>
      <c r="N33" s="19">
        <f t="shared" si="15"/>
        <v>688.69106054340068</v>
      </c>
      <c r="O33" s="19">
        <f t="shared" si="15"/>
        <v>818.14085994243055</v>
      </c>
      <c r="P33" s="19">
        <f t="shared" si="15"/>
        <v>965.25516040625928</v>
      </c>
      <c r="Q33" s="19">
        <f t="shared" si="15"/>
        <v>2098.2008604869834</v>
      </c>
      <c r="R33" s="19">
        <f t="shared" si="15"/>
        <v>3220.7869207099839</v>
      </c>
      <c r="S33" s="19">
        <f t="shared" si="15"/>
        <v>3081.5273876793017</v>
      </c>
      <c r="T33" s="19">
        <f t="shared" si="15"/>
        <v>3057.2948722194174</v>
      </c>
      <c r="U33" s="19">
        <f t="shared" si="15"/>
        <v>3032.3809591539316</v>
      </c>
      <c r="V33" s="19">
        <f t="shared" si="15"/>
        <v>860.49019956781922</v>
      </c>
      <c r="W33" s="19">
        <f t="shared" si="15"/>
        <v>-1113.9424634412246</v>
      </c>
      <c r="X33" s="19">
        <f t="shared" ref="X33:AF33" si="16">X30*X32</f>
        <v>-1199.8011686300615</v>
      </c>
      <c r="Y33" s="19">
        <f t="shared" si="16"/>
        <v>-1309.3248038108441</v>
      </c>
      <c r="Z33" s="19">
        <f t="shared" si="16"/>
        <v>-1428.5309533550394</v>
      </c>
      <c r="AA33" s="19">
        <f t="shared" si="16"/>
        <v>-1557.9233962012418</v>
      </c>
      <c r="AB33" s="19">
        <f t="shared" si="16"/>
        <v>-1698.5320893814733</v>
      </c>
      <c r="AC33" s="19">
        <f t="shared" si="16"/>
        <v>-1851.1894013160872</v>
      </c>
      <c r="AD33" s="19">
        <f t="shared" si="16"/>
        <v>-2017.2331857510067</v>
      </c>
      <c r="AE33" s="19">
        <f t="shared" si="16"/>
        <v>-2197.4099067939301</v>
      </c>
      <c r="AF33" s="19">
        <f t="shared" si="16"/>
        <v>-2421.3137416900126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1603.6933078653117</v>
      </c>
      <c r="D35" s="19">
        <f t="shared" si="17"/>
        <v>4526.0275537878242</v>
      </c>
      <c r="E35" s="19">
        <f t="shared" si="17"/>
        <v>7078.6963642457868</v>
      </c>
      <c r="F35" s="19">
        <f t="shared" si="17"/>
        <v>9289.6207449666745</v>
      </c>
      <c r="G35" s="19">
        <f t="shared" si="17"/>
        <v>11179.91670363921</v>
      </c>
      <c r="H35" s="19">
        <f t="shared" si="17"/>
        <v>11780.232958991341</v>
      </c>
      <c r="I35" s="19">
        <f t="shared" si="17"/>
        <v>11701.093173028486</v>
      </c>
      <c r="J35" s="19">
        <f t="shared" si="17"/>
        <v>11542.864489730611</v>
      </c>
      <c r="K35" s="19">
        <f t="shared" si="17"/>
        <v>11291.665205596175</v>
      </c>
      <c r="L35" s="19">
        <f t="shared" si="17"/>
        <v>10947.083261300688</v>
      </c>
      <c r="M35" s="19">
        <f t="shared" si="17"/>
        <v>10494.473786815917</v>
      </c>
      <c r="N35" s="19">
        <f t="shared" si="17"/>
        <v>9932.0512791986857</v>
      </c>
      <c r="O35" s="19">
        <f t="shared" si="17"/>
        <v>9243.3602186552853</v>
      </c>
      <c r="P35" s="19">
        <f t="shared" si="17"/>
        <v>8425.219358712855</v>
      </c>
      <c r="Q35" s="19">
        <f t="shared" si="17"/>
        <v>7459.9641983065958</v>
      </c>
      <c r="R35" s="19">
        <f t="shared" si="17"/>
        <v>5361.7633378196124</v>
      </c>
      <c r="S35" s="19">
        <f t="shared" si="17"/>
        <v>2140.9764171096285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1113.9424634412246</v>
      </c>
      <c r="Y35" s="19">
        <f t="shared" si="18"/>
        <v>2313.7436320712859</v>
      </c>
      <c r="Z35" s="19">
        <f t="shared" si="18"/>
        <v>3623.06843588213</v>
      </c>
      <c r="AA35" s="19">
        <f t="shared" si="18"/>
        <v>5051.5993892371698</v>
      </c>
      <c r="AB35" s="19">
        <f t="shared" si="18"/>
        <v>6609.522785438412</v>
      </c>
      <c r="AC35" s="19">
        <f t="shared" si="18"/>
        <v>8308.0548748198853</v>
      </c>
      <c r="AD35" s="19">
        <f t="shared" si="18"/>
        <v>10159.244276135973</v>
      </c>
      <c r="AE35" s="19">
        <f t="shared" si="18"/>
        <v>12176.47746188698</v>
      </c>
      <c r="AF35" s="19">
        <f t="shared" si="18"/>
        <v>14373.887368680909</v>
      </c>
    </row>
    <row r="36" spans="1:32">
      <c r="A36" s="21" t="s">
        <v>73</v>
      </c>
      <c r="B36" s="139">
        <f>IF(B33&lt;0,-B33,0)</f>
        <v>1603.6933078653117</v>
      </c>
      <c r="C36" s="139">
        <f t="shared" ref="C36:AF36" si="19">IF(C33&lt;0,-C33,0)</f>
        <v>2922.3342459225128</v>
      </c>
      <c r="D36" s="139">
        <f t="shared" si="19"/>
        <v>2552.6688104579625</v>
      </c>
      <c r="E36" s="139">
        <f t="shared" si="19"/>
        <v>2210.9243807208877</v>
      </c>
      <c r="F36" s="139">
        <f t="shared" si="19"/>
        <v>1890.2959586725349</v>
      </c>
      <c r="G36" s="139">
        <f t="shared" si="19"/>
        <v>600.31625535212993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1113.9424634412246</v>
      </c>
      <c r="X36" s="139">
        <f t="shared" si="19"/>
        <v>1199.8011686300615</v>
      </c>
      <c r="Y36" s="139">
        <f t="shared" si="19"/>
        <v>1309.3248038108441</v>
      </c>
      <c r="Z36" s="139">
        <f t="shared" si="19"/>
        <v>1428.5309533550394</v>
      </c>
      <c r="AA36" s="139">
        <f t="shared" si="19"/>
        <v>1557.9233962012418</v>
      </c>
      <c r="AB36" s="139">
        <f t="shared" si="19"/>
        <v>1698.5320893814733</v>
      </c>
      <c r="AC36" s="139">
        <f t="shared" si="19"/>
        <v>1851.1894013160872</v>
      </c>
      <c r="AD36" s="139">
        <f t="shared" si="19"/>
        <v>2017.2331857510067</v>
      </c>
      <c r="AE36" s="139">
        <f t="shared" si="19"/>
        <v>2197.4099067939301</v>
      </c>
      <c r="AF36" s="139">
        <f t="shared" si="19"/>
        <v>2421.3137416900126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0</v>
      </c>
      <c r="R37" s="468">
        <f t="shared" ref="R37:AF37" si="20">IF(-SUM(C38:Q38, C37:Q37)&gt;C36,0,-C36-SUM(C38:Q38,C37:Q37))</f>
        <v>0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-79.139785962854546</v>
      </c>
      <c r="I38" s="132">
        <f t="shared" si="21"/>
        <v>-158.22868329787528</v>
      </c>
      <c r="J38" s="132">
        <f t="shared" si="21"/>
        <v>-251.19928413443702</v>
      </c>
      <c r="K38" s="132">
        <f t="shared" si="21"/>
        <v>-344.58194429548689</v>
      </c>
      <c r="L38" s="132">
        <f t="shared" si="21"/>
        <v>-452.60947448477071</v>
      </c>
      <c r="M38" s="132">
        <f t="shared" si="21"/>
        <v>-562.42250761723164</v>
      </c>
      <c r="N38" s="132">
        <f t="shared" si="21"/>
        <v>-688.69106054340068</v>
      </c>
      <c r="O38" s="132">
        <f t="shared" si="21"/>
        <v>-818.14085994243055</v>
      </c>
      <c r="P38" s="132">
        <f t="shared" si="21"/>
        <v>-965.25516040625928</v>
      </c>
      <c r="Q38" s="132">
        <f t="shared" si="21"/>
        <v>-2098.2008604869834</v>
      </c>
      <c r="R38" s="132">
        <f t="shared" si="21"/>
        <v>-3220.7869207099839</v>
      </c>
      <c r="S38" s="132">
        <f t="shared" si="21"/>
        <v>-2140.9764171096285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1603.6933078653117</v>
      </c>
      <c r="C39" s="132">
        <f t="shared" si="23"/>
        <v>4526.0275537878242</v>
      </c>
      <c r="D39" s="132">
        <f t="shared" si="23"/>
        <v>7078.6963642457868</v>
      </c>
      <c r="E39" s="132">
        <f t="shared" si="23"/>
        <v>9289.6207449666745</v>
      </c>
      <c r="F39" s="132">
        <f t="shared" si="23"/>
        <v>11179.91670363921</v>
      </c>
      <c r="G39" s="132">
        <f t="shared" si="23"/>
        <v>11780.232958991341</v>
      </c>
      <c r="H39" s="132">
        <f t="shared" si="23"/>
        <v>11701.093173028486</v>
      </c>
      <c r="I39" s="132">
        <f t="shared" si="23"/>
        <v>11542.864489730611</v>
      </c>
      <c r="J39" s="132">
        <f t="shared" si="23"/>
        <v>11291.665205596175</v>
      </c>
      <c r="K39" s="132">
        <f t="shared" si="23"/>
        <v>10947.083261300688</v>
      </c>
      <c r="L39" s="132">
        <f t="shared" si="23"/>
        <v>10494.473786815917</v>
      </c>
      <c r="M39" s="132">
        <f t="shared" si="23"/>
        <v>9932.0512791986857</v>
      </c>
      <c r="N39" s="132">
        <f t="shared" si="23"/>
        <v>9243.3602186552853</v>
      </c>
      <c r="O39" s="132">
        <f t="shared" si="23"/>
        <v>8425.219358712855</v>
      </c>
      <c r="P39" s="132">
        <f t="shared" si="23"/>
        <v>7459.9641983065958</v>
      </c>
      <c r="Q39" s="132">
        <f t="shared" si="23"/>
        <v>5361.7633378196124</v>
      </c>
      <c r="R39" s="132">
        <f t="shared" si="23"/>
        <v>2140.9764171096285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1113.9424634412246</v>
      </c>
      <c r="X39" s="132">
        <f t="shared" si="23"/>
        <v>2313.7436320712859</v>
      </c>
      <c r="Y39" s="132">
        <f t="shared" si="23"/>
        <v>3623.06843588213</v>
      </c>
      <c r="Z39" s="132">
        <f t="shared" si="23"/>
        <v>5051.5993892371698</v>
      </c>
      <c r="AA39" s="132">
        <f t="shared" si="23"/>
        <v>6609.522785438412</v>
      </c>
      <c r="AB39" s="132">
        <f t="shared" si="23"/>
        <v>8308.0548748198853</v>
      </c>
      <c r="AC39" s="132">
        <f t="shared" si="23"/>
        <v>10159.244276135973</v>
      </c>
      <c r="AD39" s="132">
        <f t="shared" si="23"/>
        <v>12176.47746188698</v>
      </c>
      <c r="AE39" s="132">
        <f t="shared" si="23"/>
        <v>14373.887368680909</v>
      </c>
      <c r="AF39" s="132">
        <f t="shared" si="23"/>
        <v>16795.201110370923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940.55097056967315</v>
      </c>
      <c r="T41" s="136">
        <f t="shared" si="24"/>
        <v>3057.2948722194174</v>
      </c>
      <c r="U41" s="136">
        <f t="shared" si="24"/>
        <v>3032.3809591539316</v>
      </c>
      <c r="V41" s="136">
        <f t="shared" si="24"/>
        <v>860.49019956781922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9" t="s">
        <v>120</v>
      </c>
    </row>
    <row r="6" spans="1:4" ht="13.5" thickBot="1"/>
    <row r="7" spans="1:4" ht="13.5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5" thickBot="1">
      <c r="A9" s="480" t="s">
        <v>119</v>
      </c>
      <c r="B9" s="481">
        <f>'Returns Analysis'!C39</f>
        <v>2.1981081366539E-2</v>
      </c>
      <c r="C9" s="482">
        <f>Debt!E69</f>
        <v>1.2999999999999976</v>
      </c>
      <c r="D9" s="483">
        <f>Debt!E68</f>
        <v>1.3016047990441162</v>
      </c>
    </row>
    <row r="10" spans="1:4">
      <c r="A10" s="63"/>
      <c r="C10" s="484"/>
      <c r="D10" s="484"/>
    </row>
    <row r="11" spans="1:4" ht="13.5" thickBot="1"/>
    <row r="12" spans="1:4">
      <c r="A12" s="485" t="s">
        <v>370</v>
      </c>
      <c r="B12" s="486">
        <f>B9</f>
        <v>2.1981081366539E-2</v>
      </c>
      <c r="C12" s="487">
        <f>C9</f>
        <v>1.2999999999999976</v>
      </c>
      <c r="D12" s="488">
        <f>D9</f>
        <v>1.3016047990441162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10220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71302.248036658537</v>
      </c>
      <c r="E15" s="239">
        <f t="shared" ref="E15:E33" si="0">C15*$C$6</f>
        <v>1737.4</v>
      </c>
      <c r="F15" s="239">
        <f t="shared" ref="F15:F33" si="1">+E15+D15</f>
        <v>73039.648036658531</v>
      </c>
      <c r="G15" s="239">
        <f>F15+H15</f>
        <v>73039.648036658531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0.12</v>
      </c>
      <c r="D16" s="238">
        <v>0</v>
      </c>
      <c r="E16" s="239">
        <f t="shared" si="0"/>
        <v>1226.3999999999999</v>
      </c>
      <c r="F16" s="239">
        <f t="shared" si="1"/>
        <v>1226.3999999999999</v>
      </c>
      <c r="G16" s="239">
        <f t="shared" ref="G16:G33" si="3">F16+G15+H16</f>
        <v>74768.195616910554</v>
      </c>
      <c r="H16" s="239">
        <f>IF(A16&gt;$C$7+1,0,G15*(B16-B15)*$D$8)</f>
        <v>502.14758025202747</v>
      </c>
      <c r="I16" s="239">
        <f>IF(A16&lt;=$C$7+1,H16+I15,I15)</f>
        <v>502.14758025202747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0.12</v>
      </c>
      <c r="D17" s="238">
        <v>0</v>
      </c>
      <c r="E17" s="239">
        <f t="shared" si="0"/>
        <v>1226.3999999999999</v>
      </c>
      <c r="F17" s="239">
        <f t="shared" si="1"/>
        <v>1226.3999999999999</v>
      </c>
      <c r="G17" s="239">
        <f t="shared" si="3"/>
        <v>76525.76133993901</v>
      </c>
      <c r="H17" s="239">
        <f t="shared" ref="H17:H33" si="4">IF(A17&gt;$C$7+1,0,G16*(B17-B16)*$D$8)</f>
        <v>531.16572302846873</v>
      </c>
      <c r="I17" s="239">
        <f t="shared" ref="I17:I33" si="5">IF(A17&lt;=$C$7+1,H17+I16,I16)</f>
        <v>1033.3133032804963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0.14000000000000001</v>
      </c>
      <c r="D18" s="238">
        <v>0</v>
      </c>
      <c r="E18" s="239">
        <f t="shared" si="0"/>
        <v>1430.8000000000002</v>
      </c>
      <c r="F18" s="239">
        <f t="shared" si="1"/>
        <v>1430.8000000000002</v>
      </c>
      <c r="G18" s="239">
        <f t="shared" si="3"/>
        <v>78482.675949151089</v>
      </c>
      <c r="H18" s="239">
        <f t="shared" si="4"/>
        <v>526.11460921208072</v>
      </c>
      <c r="I18" s="239">
        <f t="shared" si="5"/>
        <v>1559.427912492577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0.13</v>
      </c>
      <c r="D19" s="238">
        <v>0</v>
      </c>
      <c r="E19" s="239">
        <f t="shared" si="0"/>
        <v>1328.6000000000001</v>
      </c>
      <c r="F19" s="239">
        <f t="shared" si="1"/>
        <v>1328.6000000000001</v>
      </c>
      <c r="G19" s="239">
        <f t="shared" si="3"/>
        <v>80368.829959539857</v>
      </c>
      <c r="H19" s="239">
        <f t="shared" si="4"/>
        <v>557.55401038876096</v>
      </c>
      <c r="I19" s="239">
        <f t="shared" si="5"/>
        <v>2116.9819228813381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0.12</v>
      </c>
      <c r="D20" s="238">
        <v>0</v>
      </c>
      <c r="E20" s="239">
        <f t="shared" si="0"/>
        <v>1226.3999999999999</v>
      </c>
      <c r="F20" s="239">
        <f t="shared" si="1"/>
        <v>1226.3999999999999</v>
      </c>
      <c r="G20" s="239">
        <f t="shared" si="3"/>
        <v>82166.183522377411</v>
      </c>
      <c r="H20" s="239">
        <f t="shared" si="4"/>
        <v>570.9535628375645</v>
      </c>
      <c r="I20" s="239">
        <f t="shared" si="5"/>
        <v>2687.9354857189028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0.1</v>
      </c>
      <c r="D21" s="238">
        <v>0</v>
      </c>
      <c r="E21" s="239">
        <f t="shared" si="0"/>
        <v>1022</v>
      </c>
      <c r="F21" s="239">
        <f t="shared" si="1"/>
        <v>1022</v>
      </c>
      <c r="G21" s="239">
        <f t="shared" si="3"/>
        <v>83753.076034093756</v>
      </c>
      <c r="H21" s="239">
        <f t="shared" si="4"/>
        <v>564.89251171634476</v>
      </c>
      <c r="I21" s="239">
        <f t="shared" si="5"/>
        <v>3252.8279974352477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0.1</v>
      </c>
      <c r="D22" s="238">
        <v>0</v>
      </c>
      <c r="E22" s="239">
        <f t="shared" si="0"/>
        <v>1022</v>
      </c>
      <c r="F22" s="239">
        <f t="shared" si="1"/>
        <v>1022</v>
      </c>
      <c r="G22" s="239">
        <f t="shared" si="3"/>
        <v>85370.071845085957</v>
      </c>
      <c r="H22" s="239">
        <f t="shared" si="4"/>
        <v>594.99581099220779</v>
      </c>
      <c r="I22" s="239">
        <f t="shared" si="5"/>
        <v>3847.8238084274553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85370.071845085957</v>
      </c>
      <c r="H23" s="239">
        <f t="shared" si="4"/>
        <v>0</v>
      </c>
      <c r="I23" s="239">
        <f t="shared" si="5"/>
        <v>3847.8238084274553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85370.071845085957</v>
      </c>
      <c r="H24" s="239">
        <f t="shared" si="4"/>
        <v>0</v>
      </c>
      <c r="I24" s="239">
        <f t="shared" si="5"/>
        <v>3847.8238084274553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85370.071845085957</v>
      </c>
      <c r="H25" s="239">
        <f t="shared" si="4"/>
        <v>0</v>
      </c>
      <c r="I25" s="239">
        <f t="shared" si="5"/>
        <v>3847.8238084274553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85370.071845085957</v>
      </c>
      <c r="H26" s="239">
        <f t="shared" si="4"/>
        <v>0</v>
      </c>
      <c r="I26" s="239">
        <f t="shared" si="5"/>
        <v>3847.8238084274553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85370.071845085957</v>
      </c>
      <c r="H27" s="239">
        <f t="shared" si="4"/>
        <v>0</v>
      </c>
      <c r="I27" s="239">
        <f t="shared" si="5"/>
        <v>3847.8238084274553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85370.071845085957</v>
      </c>
      <c r="H28" s="239">
        <f t="shared" si="4"/>
        <v>0</v>
      </c>
      <c r="I28" s="239">
        <f t="shared" si="5"/>
        <v>3847.8238084274553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85370.071845085957</v>
      </c>
      <c r="H29" s="239">
        <f t="shared" si="4"/>
        <v>0</v>
      </c>
      <c r="I29" s="239">
        <f t="shared" si="5"/>
        <v>3847.8238084274553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85370.071845085957</v>
      </c>
      <c r="H30" s="239">
        <f t="shared" si="4"/>
        <v>0</v>
      </c>
      <c r="I30" s="239">
        <f t="shared" si="5"/>
        <v>3847.8238084274553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85370.071845085957</v>
      </c>
      <c r="H31" s="239">
        <f t="shared" si="4"/>
        <v>0</v>
      </c>
      <c r="I31" s="239">
        <f t="shared" si="5"/>
        <v>3847.8238084274553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85370.071845085957</v>
      </c>
      <c r="H32" s="239">
        <f t="shared" si="4"/>
        <v>0</v>
      </c>
      <c r="I32" s="239">
        <f t="shared" si="5"/>
        <v>3847.8238084274553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85370.071845085957</v>
      </c>
      <c r="H33" s="244">
        <f t="shared" si="4"/>
        <v>0</v>
      </c>
      <c r="I33" s="244">
        <f t="shared" si="5"/>
        <v>3847.8238084274553</v>
      </c>
      <c r="K33" s="439"/>
    </row>
    <row r="34" spans="1:13">
      <c r="C34" s="232">
        <f>SUM(C15:C33)</f>
        <v>1</v>
      </c>
      <c r="D34" s="240">
        <f>SUM(D15:D33)</f>
        <v>71302.248036658537</v>
      </c>
      <c r="E34" s="240">
        <f>SUM(E15:E33)</f>
        <v>10220</v>
      </c>
      <c r="F34" s="240">
        <f>SUM(F15:F33)</f>
        <v>81522.248036658522</v>
      </c>
      <c r="G34" s="18"/>
      <c r="H34" s="240">
        <f>SUM(H15:H33)</f>
        <v>3847.8238084274553</v>
      </c>
      <c r="I34" s="240"/>
    </row>
    <row r="38" spans="1:13" ht="18.75">
      <c r="A38" s="61" t="s">
        <v>224</v>
      </c>
      <c r="B38" s="282"/>
      <c r="F38"/>
      <c r="G38"/>
      <c r="H38"/>
      <c r="I38"/>
      <c r="J38"/>
      <c r="K38"/>
      <c r="L38"/>
    </row>
    <row r="39" spans="1:13" ht="13.5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5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5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5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5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5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5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5" thickBot="1">
      <c r="A58" s="171" t="s">
        <v>225</v>
      </c>
      <c r="B58" s="42"/>
      <c r="C58" s="42"/>
      <c r="D58" s="285">
        <v>20.833333333333314</v>
      </c>
      <c r="E58" s="66"/>
    </row>
    <row r="59" spans="1:13" ht="13.5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C23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29" width="14.140625" style="12" customWidth="1"/>
    <col min="30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0" t="s">
        <v>642</v>
      </c>
      <c r="AD8" s="660" t="s">
        <v>645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3" t="s">
        <v>643</v>
      </c>
      <c r="AD9" s="663" t="s">
        <v>646</v>
      </c>
    </row>
    <row r="10" spans="1:38" ht="15.75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4" t="s">
        <v>644</v>
      </c>
      <c r="AD10" s="664" t="s">
        <v>642</v>
      </c>
    </row>
    <row r="11" spans="1:38" ht="15.75">
      <c r="A11" s="98" t="s">
        <v>9</v>
      </c>
      <c r="B11" s="268">
        <f>C11/$C$14</f>
        <v>0.40384073607952498</v>
      </c>
      <c r="C11" s="194">
        <f>C61-C12</f>
        <v>46878.236484847337</v>
      </c>
      <c r="D11" s="345">
        <f>C11/$H$68</f>
        <v>206.05818235097732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4" t="s">
        <v>621</v>
      </c>
      <c r="AD11" s="661"/>
    </row>
    <row r="12" spans="1:38" ht="15.75">
      <c r="A12" s="98" t="s">
        <v>85</v>
      </c>
      <c r="B12" s="268">
        <f>C12/$C$14</f>
        <v>0.59615926392047502</v>
      </c>
      <c r="C12" s="194">
        <f>Debt!B19</f>
        <v>69202.763515152663</v>
      </c>
      <c r="D12" s="345">
        <f>C12/$H$68</f>
        <v>304.18797149517655</v>
      </c>
      <c r="E12" s="13"/>
      <c r="F12" s="116" t="s">
        <v>11</v>
      </c>
      <c r="G12" s="175"/>
      <c r="H12" s="250">
        <v>5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2"/>
      <c r="AD12" s="662"/>
    </row>
    <row r="13" spans="1:38" ht="15.75">
      <c r="A13" s="99"/>
      <c r="B13" s="246"/>
      <c r="C13" s="194"/>
      <c r="D13" s="345"/>
      <c r="E13" s="13"/>
      <c r="F13" s="116" t="s">
        <v>263</v>
      </c>
      <c r="G13" s="175"/>
      <c r="H13" s="251">
        <v>45.5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3">
        <v>3</v>
      </c>
      <c r="AD13" s="663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116081</v>
      </c>
      <c r="D14" s="450">
        <f>C14/$H$68</f>
        <v>510.24615384615385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Lease</v>
      </c>
      <c r="AD14" s="327">
        <v>1</v>
      </c>
    </row>
    <row r="15" spans="1:38" ht="15.75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75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1.9</v>
      </c>
      <c r="U16" s="329"/>
      <c r="V16" s="57" t="s">
        <v>264</v>
      </c>
      <c r="W16" s="330" t="s">
        <v>265</v>
      </c>
    </row>
    <row r="17" spans="1:23" ht="15.75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2.1999999999999997</v>
      </c>
      <c r="U17" s="55" t="s">
        <v>260</v>
      </c>
      <c r="V17" s="13">
        <v>11</v>
      </c>
      <c r="W17" s="331">
        <v>21</v>
      </c>
    </row>
    <row r="18" spans="1:23" ht="15.75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75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494</v>
      </c>
      <c r="O19" s="270">
        <f t="shared" ref="O19:O25" si="0">N19/$H$68</f>
        <v>2.1714285714285713</v>
      </c>
      <c r="P19" s="40"/>
    </row>
    <row r="20" spans="1:23" ht="15.75">
      <c r="A20" s="101" t="s">
        <v>414</v>
      </c>
      <c r="B20" s="167">
        <f t="shared" ref="B20:B35" si="1">C20/$C$61</f>
        <v>0.6142262730334852</v>
      </c>
      <c r="C20" s="197">
        <f>H11*H12</f>
        <v>71300</v>
      </c>
      <c r="D20" s="345">
        <f t="shared" ref="D20:D34" si="2">C20/$H$68</f>
        <v>313.4065934065934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400</v>
      </c>
      <c r="O20" s="270">
        <f t="shared" si="0"/>
        <v>1.7582417582417582</v>
      </c>
      <c r="P20" s="40"/>
    </row>
    <row r="21" spans="1:23" ht="15.75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75">
      <c r="A22" s="101" t="s">
        <v>172</v>
      </c>
      <c r="B22" s="167">
        <f t="shared" si="1"/>
        <v>8.8041970692878252E-2</v>
      </c>
      <c r="C22" s="248">
        <v>10220</v>
      </c>
      <c r="D22" s="345">
        <f t="shared" si="2"/>
        <v>44.92307692307692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125</v>
      </c>
      <c r="O22" s="270">
        <f t="shared" si="0"/>
        <v>0.5494505494505495</v>
      </c>
      <c r="P22" s="40"/>
    </row>
    <row r="23" spans="1:23" ht="15.75">
      <c r="A23" s="101" t="s">
        <v>107</v>
      </c>
      <c r="B23" s="167">
        <f t="shared" si="1"/>
        <v>1.2922011354140643E-2</v>
      </c>
      <c r="C23" s="248">
        <v>1500</v>
      </c>
      <c r="D23" s="345">
        <f t="shared" si="2"/>
        <v>6.5934065934065931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100</v>
      </c>
      <c r="O23" s="270">
        <f t="shared" si="0"/>
        <v>0.43956043956043955</v>
      </c>
      <c r="P23" s="40"/>
    </row>
    <row r="24" spans="1:23" ht="15.75">
      <c r="A24" s="101" t="s">
        <v>611</v>
      </c>
      <c r="B24" s="167">
        <f t="shared" si="1"/>
        <v>1.0768342795117203E-2</v>
      </c>
      <c r="C24" s="248">
        <v>1250</v>
      </c>
      <c r="D24" s="345">
        <f t="shared" si="2"/>
        <v>5.4945054945054945</v>
      </c>
      <c r="E24" s="13"/>
      <c r="F24" s="323" t="s">
        <v>371</v>
      </c>
      <c r="G24" s="13"/>
      <c r="H24" s="355">
        <v>0.2</v>
      </c>
      <c r="I24" s="110"/>
      <c r="J24" s="40"/>
      <c r="L24" s="101" t="s">
        <v>606</v>
      </c>
      <c r="M24" s="13"/>
      <c r="N24" s="252">
        <v>100</v>
      </c>
      <c r="O24" s="270">
        <f t="shared" si="0"/>
        <v>0.43956043956043955</v>
      </c>
      <c r="P24" s="40"/>
    </row>
    <row r="25" spans="1:23" ht="16.5" thickBot="1">
      <c r="A25" s="101" t="s">
        <v>612</v>
      </c>
      <c r="B25" s="167">
        <f t="shared" si="1"/>
        <v>5.298024655197664E-2</v>
      </c>
      <c r="C25" s="248">
        <v>6150</v>
      </c>
      <c r="D25" s="345">
        <f t="shared" si="2"/>
        <v>27.032967032967033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100</v>
      </c>
      <c r="O25" s="297">
        <f t="shared" si="0"/>
        <v>0.43956043956043955</v>
      </c>
      <c r="P25" s="40"/>
    </row>
    <row r="26" spans="1:23" ht="16.5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1319</v>
      </c>
      <c r="O26" s="298">
        <f>SUM(O19:O25)</f>
        <v>5.7978021978021985</v>
      </c>
      <c r="P26" s="361"/>
    </row>
    <row r="27" spans="1:23" ht="15.75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7">
        <f t="shared" si="1"/>
        <v>1.2922011354140643E-2</v>
      </c>
      <c r="C28" s="248">
        <v>1500</v>
      </c>
      <c r="D28" s="345">
        <f t="shared" si="2"/>
        <v>6.5934065934065931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75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1" t="s">
        <v>651</v>
      </c>
      <c r="J29" s="328"/>
      <c r="L29" s="101" t="s">
        <v>232</v>
      </c>
      <c r="M29" s="13"/>
      <c r="N29" s="274">
        <f>IS!C16</f>
        <v>18524.231901160776</v>
      </c>
      <c r="O29" s="223">
        <f>N29/$H$68</f>
        <v>81.425195169937481</v>
      </c>
      <c r="P29" s="40"/>
      <c r="R29" s="339"/>
    </row>
    <row r="30" spans="1:23" ht="15.75">
      <c r="A30" s="101" t="s">
        <v>613</v>
      </c>
      <c r="B30" s="167">
        <f t="shared" si="1"/>
        <v>1.2922011354140643E-2</v>
      </c>
      <c r="C30" s="248">
        <v>1500</v>
      </c>
      <c r="D30" s="345">
        <f t="shared" si="2"/>
        <v>6.5934065934065931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500</v>
      </c>
      <c r="O30" s="223">
        <f>N30/$H$68</f>
        <v>2.197802197802198</v>
      </c>
      <c r="P30" s="527">
        <v>0.02</v>
      </c>
      <c r="R30" s="3"/>
    </row>
    <row r="31" spans="1:23" ht="15.75">
      <c r="A31" s="101" t="s">
        <v>614</v>
      </c>
      <c r="B31" s="167">
        <f t="shared" si="1"/>
        <v>4.3073371180468809E-3</v>
      </c>
      <c r="C31" s="248">
        <v>500</v>
      </c>
      <c r="D31" s="345">
        <f t="shared" si="2"/>
        <v>2.197802197802198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75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69202.763515152663</v>
      </c>
      <c r="H32" s="106"/>
      <c r="I32" s="644" t="s">
        <v>641</v>
      </c>
      <c r="J32" s="328" t="s">
        <v>715</v>
      </c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739" t="s">
        <v>258</v>
      </c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5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75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-4.2370451605704753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75">
      <c r="A36" s="101" t="s">
        <v>106</v>
      </c>
      <c r="B36" s="167">
        <f>SUM(B20:B35)</f>
        <v>0.80909020425392597</v>
      </c>
      <c r="C36" s="197">
        <f>SUM(C20:C35)</f>
        <v>93920</v>
      </c>
      <c r="D36" s="345">
        <f>SUM(D20:D35)</f>
        <v>412.83516483516485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75">
      <c r="A39" s="101" t="s">
        <v>617</v>
      </c>
      <c r="B39" s="167">
        <f t="shared" ref="B39:B52" si="3">C39/$C$61</f>
        <v>3.0151359826328166E-3</v>
      </c>
      <c r="C39" s="248">
        <v>350</v>
      </c>
      <c r="D39" s="345">
        <f>C39/$H$68</f>
        <v>1.5384615384615385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75">
      <c r="A40" s="98" t="s">
        <v>618</v>
      </c>
      <c r="B40" s="167">
        <f t="shared" si="3"/>
        <v>0.13370835881841128</v>
      </c>
      <c r="C40" s="248">
        <v>15521</v>
      </c>
      <c r="D40" s="345">
        <f t="shared" ref="D40:D53" si="4">C40/$H$68</f>
        <v>68.22417582417583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75">
      <c r="A41" s="98" t="s">
        <v>619</v>
      </c>
      <c r="B41" s="167">
        <f t="shared" si="3"/>
        <v>6.4610056770703214E-3</v>
      </c>
      <c r="C41" s="248">
        <v>750</v>
      </c>
      <c r="D41" s="345">
        <f t="shared" si="4"/>
        <v>3.2967032967032965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75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75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75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75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5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5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46878.236484847337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5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75">
      <c r="A50" s="101" t="s">
        <v>175</v>
      </c>
      <c r="B50" s="167">
        <f t="shared" si="3"/>
        <v>8.6146742360937618E-3</v>
      </c>
      <c r="C50" s="248">
        <v>1000</v>
      </c>
      <c r="D50" s="345">
        <f t="shared" si="4"/>
        <v>4.395604395604396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75">
      <c r="A51" s="101" t="s">
        <v>268</v>
      </c>
      <c r="B51" s="167">
        <f t="shared" si="3"/>
        <v>3.9110621031865682E-2</v>
      </c>
      <c r="C51" s="634">
        <v>4540</v>
      </c>
      <c r="D51" s="345">
        <f t="shared" si="4"/>
        <v>19.956043956043956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75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75">
      <c r="A53" s="101" t="s">
        <v>106</v>
      </c>
      <c r="B53" s="167">
        <f>SUM(B39:B52)</f>
        <v>0.19090979574607386</v>
      </c>
      <c r="C53" s="197">
        <f>SUM(C39:C52)</f>
        <v>22161</v>
      </c>
      <c r="D53" s="345">
        <f t="shared" si="4"/>
        <v>97.410989010989013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75">
      <c r="E54" s="13"/>
      <c r="F54" s="101" t="s">
        <v>410</v>
      </c>
      <c r="G54" s="13"/>
      <c r="H54" s="251">
        <v>4.5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5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75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75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75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8"/>
      <c r="E60" s="13"/>
      <c r="F60" s="101" t="s">
        <v>418</v>
      </c>
      <c r="G60" s="97"/>
      <c r="H60" s="153">
        <f>P17</f>
        <v>2.1999999999999997</v>
      </c>
      <c r="I60" s="110"/>
      <c r="J60" s="40"/>
    </row>
    <row r="61" spans="1:16" ht="16.5" thickBot="1">
      <c r="A61" s="185" t="s">
        <v>101</v>
      </c>
      <c r="B61" s="181">
        <f>B59+B53+B36</f>
        <v>0.99999999999999978</v>
      </c>
      <c r="C61" s="198">
        <f>C59+C53+C36</f>
        <v>116081</v>
      </c>
      <c r="D61" s="349">
        <f>C61/$H$68</f>
        <v>510.24615384615385</v>
      </c>
      <c r="E61" s="13"/>
      <c r="F61" s="101"/>
      <c r="G61" s="13"/>
      <c r="H61" s="262"/>
      <c r="I61" s="110"/>
      <c r="J61" s="40"/>
    </row>
    <row r="62" spans="1:16" ht="16.5" thickBot="1">
      <c r="E62" s="13"/>
      <c r="F62" s="103" t="s">
        <v>425</v>
      </c>
      <c r="G62" s="42"/>
      <c r="H62" s="276">
        <f>H68*H72</f>
        <v>557375</v>
      </c>
      <c r="I62" s="203"/>
      <c r="J62" s="81"/>
    </row>
    <row r="63" spans="1:16" ht="16.5" thickBot="1">
      <c r="A63" s="94" t="s">
        <v>32</v>
      </c>
      <c r="B63" s="119"/>
      <c r="C63" s="202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75">
      <c r="A65" s="340" t="s">
        <v>266</v>
      </c>
      <c r="B65" s="341"/>
      <c r="C65" s="342">
        <f>D61</f>
        <v>510.24615384615385</v>
      </c>
      <c r="D65" s="40"/>
      <c r="E65" s="13"/>
      <c r="F65" s="180"/>
      <c r="G65" s="151"/>
      <c r="H65" s="110"/>
      <c r="I65" s="13"/>
      <c r="J65" s="40"/>
    </row>
    <row r="66" spans="1:10" ht="15.75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227.5</v>
      </c>
      <c r="I66" s="13"/>
      <c r="J66" s="40"/>
    </row>
    <row r="67" spans="1:10" ht="15.75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1.3016047990441162</v>
      </c>
      <c r="D68" s="350">
        <f>Debt!E69</f>
        <v>1.2999999999999976</v>
      </c>
      <c r="E68" s="13"/>
      <c r="F68" s="118" t="s">
        <v>304</v>
      </c>
      <c r="G68" s="43"/>
      <c r="H68" s="357">
        <f>SUM(H66:H67)</f>
        <v>227.5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2.1981081366539E-2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3.4805354475975034E-2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4.2352363467216492E-2</v>
      </c>
      <c r="D73" s="537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5.5458220839500416E-2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75">
      <c r="A77" s="101" t="s">
        <v>97</v>
      </c>
      <c r="B77" s="111">
        <f>IS!C32</f>
        <v>6768.9999999999964</v>
      </c>
      <c r="C77" s="111">
        <f>IS!D32</f>
        <v>10416.430000000008</v>
      </c>
      <c r="D77" s="165">
        <f>IS!E32</f>
        <v>10368.562900000001</v>
      </c>
      <c r="E77" s="13"/>
    </row>
    <row r="78" spans="1:10" ht="15.75">
      <c r="A78" s="101" t="s">
        <v>98</v>
      </c>
      <c r="B78" s="111">
        <f>IS!C45</f>
        <v>-1052.9669917273741</v>
      </c>
      <c r="C78" s="111">
        <f>IS!D45</f>
        <v>-1327.4677440290268</v>
      </c>
      <c r="D78" s="165">
        <f>IS!E45</f>
        <v>-1232.6688701338237</v>
      </c>
      <c r="E78" s="13"/>
    </row>
    <row r="79" spans="1:10" ht="15.75">
      <c r="A79" s="101" t="s">
        <v>99</v>
      </c>
      <c r="B79" s="111">
        <f>'Returns Analysis'!C13</f>
        <v>4377.4548050102239</v>
      </c>
      <c r="C79" s="111">
        <f>'Returns Analysis'!D13</f>
        <v>4828.558345060952</v>
      </c>
      <c r="D79" s="165">
        <f>'Returns Analysis'!E13</f>
        <v>4979.7460161237641</v>
      </c>
      <c r="E79" s="13"/>
    </row>
    <row r="80" spans="1:10" ht="16.5" thickBot="1">
      <c r="A80" s="103" t="s">
        <v>360</v>
      </c>
      <c r="B80" s="112">
        <f>'Returns Analysis'!C21</f>
        <v>3504.0031525851155</v>
      </c>
      <c r="C80" s="112">
        <f>'Returns Analysis'!D21</f>
        <v>2459.5368158026649</v>
      </c>
      <c r="D80" s="191">
        <f>'Returns Analysis'!E21</f>
        <v>2383.5652928345544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8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200025</xdr:rowOff>
                  </from>
                  <to>
                    <xdr:col>9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1209675</xdr:colOff>
                    <xdr:row>29</xdr:row>
                    <xdr:rowOff>0</xdr:rowOff>
                  </from>
                  <to>
                    <xdr:col>8</xdr:col>
                    <xdr:colOff>1181100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10" sqref="C1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8190</v>
      </c>
      <c r="D10" s="74">
        <f>IF(D6&lt;Assumptions!$H$19,12*'Price_Technical Assumption'!E21*Assumptions!$H$68,IF(AND(C6&lt;Assumptions!$H$19,D6&gt;Assumptions!$H$19),(1-$C$6)*12*'Price_Technical Assumption'!E21*Assumptions!$H$68,0))</f>
        <v>12285</v>
      </c>
      <c r="E10" s="74">
        <f>IF(E6&lt;Assumptions!$H$19,12*'Price_Technical Assumption'!F21*Assumptions!$H$68,IF(AND(D6&lt;Assumptions!$H$19,E6&gt;Assumptions!$H$19),(1-$C$6)*12*'Price_Technical Assumption'!F21*Assumptions!$H$68,0))</f>
        <v>12285</v>
      </c>
      <c r="F10" s="74">
        <f>IF(F6&lt;Assumptions!$H$19,12*'Price_Technical Assumption'!G21*Assumptions!$H$68,IF(AND(E6&lt;Assumptions!$H$19,F6&gt;Assumptions!$H$19),(1-$C$6)*12*'Price_Technical Assumption'!G21*Assumptions!$H$68,0))</f>
        <v>12285</v>
      </c>
      <c r="G10" s="74">
        <f>IF(G6&lt;Assumptions!$H$19,12*'Price_Technical Assumption'!H21*Assumptions!$H$68,IF(AND(F6&lt;Assumptions!$H$19,G6&gt;Assumptions!$H$19),(1-$C$6)*12*'Price_Technical Assumption'!H21*Assumptions!$H$68,0))</f>
        <v>12285</v>
      </c>
      <c r="H10" s="74">
        <f>IF(H6&lt;Assumptions!$H$19,12*'Price_Technical Assumption'!I21*Assumptions!$H$68,IF(AND(G6&lt;Assumptions!$H$19,H6&gt;Assumptions!$H$19),(1-$C$6)*12*'Price_Technical Assumption'!I21*Assumptions!$H$68,0))</f>
        <v>12285</v>
      </c>
      <c r="I10" s="74">
        <f>IF(I6&lt;Assumptions!$H$19,12*'Price_Technical Assumption'!J21*Assumptions!$H$68,IF(AND(H6&lt;Assumptions!$H$19,I6&gt;Assumptions!$H$19),(1-$C$6)*12*'Price_Technical Assumption'!J21*Assumptions!$H$68,0))</f>
        <v>12285</v>
      </c>
      <c r="J10" s="74">
        <f>IF(J6&lt;Assumptions!$H$19,12*'Price_Technical Assumption'!K21*Assumptions!$H$68,IF(AND(I6&lt;Assumptions!$H$19,J6&gt;Assumptions!$H$19),(1-$C$6)*12*'Price_Technical Assumption'!K21*Assumptions!$H$68,0))</f>
        <v>12285</v>
      </c>
      <c r="K10" s="74">
        <f>IF(K6&lt;Assumptions!$H$19,12*'Price_Technical Assumption'!L21*Assumptions!$H$68,IF(AND(J6&lt;Assumptions!$H$19,K6&gt;Assumptions!$H$19),(1-$C$6)*12*'Price_Technical Assumption'!L21*Assumptions!$H$68,0))</f>
        <v>12285</v>
      </c>
      <c r="L10" s="74">
        <f>IF(L6&lt;Assumptions!$H$19,12*'Price_Technical Assumption'!M21*Assumptions!$H$68,IF(AND(K6&lt;Assumptions!$H$19,L6&gt;Assumptions!$H$19),(1-$C$6)*12*'Price_Technical Assumption'!M21*Assumptions!$H$68,0))</f>
        <v>12285</v>
      </c>
      <c r="M10" s="74">
        <f>IF(M6&lt;Assumptions!$H$19,12*'Price_Technical Assumption'!N21*Assumptions!$H$68,IF(AND(L6&lt;Assumptions!$H$19,M6&gt;Assumptions!$H$19),(1-$C$6)*12*'Price_Technical Assumption'!N21*Assumptions!$H$68,0))</f>
        <v>12285</v>
      </c>
      <c r="N10" s="74">
        <f>IF(N6&lt;Assumptions!$H$19,12*'Price_Technical Assumption'!O21*Assumptions!$H$68,IF(AND(M6&lt;Assumptions!$H$19,N6&gt;Assumptions!$H$19),(1-$C$6)*12*'Price_Technical Assumption'!O21*Assumptions!$H$68,0))</f>
        <v>12285</v>
      </c>
      <c r="O10" s="74">
        <f>IF(O6&lt;Assumptions!$H$19,12*'Price_Technical Assumption'!P21*Assumptions!$H$68,IF(AND(N6&lt;Assumptions!$H$19,O6&gt;Assumptions!$H$19),(1-$C$6)*12*'Price_Technical Assumption'!P21*Assumptions!$H$68,0))</f>
        <v>12285</v>
      </c>
      <c r="P10" s="74">
        <f>IF(P6&lt;Assumptions!$H$19,12*'Price_Technical Assumption'!Q21*Assumptions!$H$68,IF(AND(O6&lt;Assumptions!$H$19,P6&gt;Assumptions!$H$19),(1-$C$6)*12*'Price_Technical Assumption'!Q21*Assumptions!$H$68,0))</f>
        <v>12285</v>
      </c>
      <c r="Q10" s="74">
        <f>IF(Q6&lt;Assumptions!$H$19,12*'Price_Technical Assumption'!R21*Assumptions!$H$68,IF(AND(P6&lt;Assumptions!$H$19,Q6&gt;Assumptions!$H$19),(1-$C$6)*12*'Price_Technical Assumption'!R21*Assumptions!$H$68,0))</f>
        <v>12285</v>
      </c>
      <c r="R10" s="74">
        <f>IF(R6&lt;Assumptions!$H$19,12*'Price_Technical Assumption'!S21*Assumptions!$H$68,IF(AND(Q6&lt;Assumptions!$H$19,R6&gt;Assumptions!$H$19),(1-$C$6)*12*'Price_Technical Assumption'!S21*Assumptions!$H$68,0))</f>
        <v>12285</v>
      </c>
      <c r="S10" s="74">
        <f>IF(S6&lt;Assumptions!$H$19,12*'Price_Technical Assumption'!T21*Assumptions!$H$68,IF(AND(R6&lt;Assumptions!$H$19,S6&gt;Assumptions!$H$19),(1-$C$6)*12*'Price_Technical Assumption'!T21*Assumptions!$H$68,0))</f>
        <v>12285</v>
      </c>
      <c r="T10" s="74">
        <f>IF(T6&lt;Assumptions!$H$19,12*'Price_Technical Assumption'!U21*Assumptions!$H$68,IF(AND(S6&lt;Assumptions!$H$19,T6&gt;Assumptions!$H$19),(1-$C$6)*12*'Price_Technical Assumption'!U21*Assumptions!$H$68,0))</f>
        <v>12285</v>
      </c>
      <c r="U10" s="74">
        <f>IF(U6&lt;Assumptions!$H$19,12*'Price_Technical Assumption'!V21*Assumptions!$H$68,IF(AND(T6&lt;Assumptions!$H$19,U6&gt;Assumptions!$H$19),(1-$C$6)*12*'Price_Technical Assumption'!V21*Assumptions!$H$68,0))</f>
        <v>12285</v>
      </c>
      <c r="V10" s="74">
        <f>IF(V6&lt;Assumptions!$H$19,12*'Price_Technical Assumption'!W21*Assumptions!$H$68,IF(AND(U6&lt;Assumptions!$H$19,V6&gt;Assumptions!$H$19),(1-$C$6)*12*'Price_Technical Assumption'!W21*Assumptions!$H$68,0))</f>
        <v>12285</v>
      </c>
      <c r="W10" s="74">
        <f>IF(W6&lt;Assumptions!$H$19,12*'Price_Technical Assumption'!X21*Assumptions!$H$68,IF(AND(V6&lt;Assumptions!$H$19,W6&gt;Assumptions!$H$19),(1-$C$6)*12*'Price_Technical Assumption'!X21*Assumptions!$H$68,0))</f>
        <v>5691.2183762088598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19774.860385575641</v>
      </c>
      <c r="D11" s="74">
        <f>'Price_Technical Assumption'!E38*Assumptions!$H$62/1000</f>
        <v>19703.343174461068</v>
      </c>
      <c r="E11" s="74">
        <f>'Price_Technical Assumption'!F38*Assumptions!$H$62/1000</f>
        <v>19928.733105726511</v>
      </c>
      <c r="F11" s="74">
        <f>'Price_Technical Assumption'!G38*Assumptions!$H$62/1000</f>
        <v>20255.090438596864</v>
      </c>
      <c r="G11" s="74">
        <f>'Price_Technical Assumption'!H38*Assumptions!$H$62/1000</f>
        <v>20640.923968137911</v>
      </c>
      <c r="H11" s="74">
        <f>'Price_Technical Assumption'!I38*Assumptions!$H$62/1000</f>
        <v>21049.84321517247</v>
      </c>
      <c r="I11" s="74">
        <f>'Price_Technical Assumption'!J38*Assumptions!$H$62/1000</f>
        <v>21472.171397098125</v>
      </c>
      <c r="J11" s="74">
        <f>'Price_Technical Assumption'!K38*Assumptions!$H$62/1000</f>
        <v>21924.94546012823</v>
      </c>
      <c r="K11" s="74">
        <f>'Price_Technical Assumption'!L38*Assumptions!$H$62/1000</f>
        <v>22408.204549434609</v>
      </c>
      <c r="L11" s="74">
        <f>'Price_Technical Assumption'!M38*Assumptions!$H$62/1000</f>
        <v>22921.988984544245</v>
      </c>
      <c r="M11" s="74">
        <f>'Price_Technical Assumption'!N38*Assumptions!$H$62/1000</f>
        <v>23466.34029456992</v>
      </c>
      <c r="N11" s="74">
        <f>'Price_Technical Assumption'!O38*Assumptions!$H$62/1000</f>
        <v>23972.091279643901</v>
      </c>
      <c r="O11" s="74">
        <f>'Price_Technical Assumption'!P38*Assumptions!$H$62/1000</f>
        <v>24429.572317320679</v>
      </c>
      <c r="P11" s="74">
        <f>'Price_Technical Assumption'!Q38*Assumptions!$H$62/1000</f>
        <v>25283.229678750289</v>
      </c>
      <c r="Q11" s="74">
        <f>'Price_Technical Assumption'!R38*Assumptions!$H$62/1000</f>
        <v>25950.289264440013</v>
      </c>
      <c r="R11" s="74">
        <f>'Price_Technical Assumption'!S38*Assumptions!$H$62/1000</f>
        <v>26648.142823256618</v>
      </c>
      <c r="S11" s="74">
        <f>'Price_Technical Assumption'!T38*Assumptions!$H$62/1000</f>
        <v>27376.839943132614</v>
      </c>
      <c r="T11" s="74">
        <f>'Price_Technical Assumption'!U38*Assumptions!$H$62/1000</f>
        <v>28136.43169963844</v>
      </c>
      <c r="U11" s="74">
        <f>'Price_Technical Assumption'!V38*Assumptions!$H$62/1000</f>
        <v>28926.970700611688</v>
      </c>
      <c r="V11" s="74">
        <f>'Price_Technical Assumption'!W38*Assumptions!$H$62/1000</f>
        <v>29748.511132125084</v>
      </c>
      <c r="W11" s="74">
        <f>'Price_Technical Assumption'!X38*Assumptions!$H$62/1000</f>
        <v>30601.10880583349</v>
      </c>
      <c r="X11" s="74">
        <f>'Price_Technical Assumption'!Y38*Assumptions!$H$62/1000</f>
        <v>15148.595880032253</v>
      </c>
      <c r="Y11" s="74">
        <f>'Price_Technical Assumption'!Z38*Assumptions!$H$62/1000</f>
        <v>15218.392001455719</v>
      </c>
      <c r="Z11" s="74">
        <f>'Price_Technical Assumption'!AA38*Assumptions!$H$62/1000</f>
        <v>15290.282006521889</v>
      </c>
      <c r="AA11" s="74">
        <f>'Price_Technical Assumption'!AB38*Assumptions!$H$62/1000</f>
        <v>15364.328711740049</v>
      </c>
      <c r="AB11" s="74">
        <f>'Price_Technical Assumption'!AC38*Assumptions!$H$62/1000</f>
        <v>15440.596818114751</v>
      </c>
      <c r="AC11" s="74">
        <f>'Price_Technical Assumption'!AD38*Assumptions!$H$62/1000</f>
        <v>15519.152967680695</v>
      </c>
      <c r="AD11" s="74">
        <f>'Price_Technical Assumption'!AE38*Assumptions!$H$62/1000</f>
        <v>15600.065801733612</v>
      </c>
      <c r="AE11" s="74">
        <f>'Price_Technical Assumption'!AF38*Assumptions!$H$62/1000</f>
        <v>15683.406020808121</v>
      </c>
      <c r="AF11" s="74">
        <f>'Price_Technical Assumption'!AG38*Assumptions!$H$62/1000</f>
        <v>15769.246446454867</v>
      </c>
      <c r="AG11" s="74">
        <f>'Price_Technical Assumption'!AH38*Assumptions!$H$62/1000</f>
        <v>15857.662084871012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27964.860385575641</v>
      </c>
      <c r="D13" s="65">
        <f t="shared" si="0"/>
        <v>31988.343174461068</v>
      </c>
      <c r="E13" s="65">
        <f t="shared" si="0"/>
        <v>32213.733105726511</v>
      </c>
      <c r="F13" s="65">
        <f t="shared" si="0"/>
        <v>32540.090438596864</v>
      </c>
      <c r="G13" s="65">
        <f t="shared" si="0"/>
        <v>32925.923968137911</v>
      </c>
      <c r="H13" s="65">
        <f t="shared" si="0"/>
        <v>33334.84321517247</v>
      </c>
      <c r="I13" s="65">
        <f t="shared" si="0"/>
        <v>33757.171397098122</v>
      </c>
      <c r="J13" s="65">
        <f t="shared" si="0"/>
        <v>34209.945460128234</v>
      </c>
      <c r="K13" s="65">
        <f t="shared" si="0"/>
        <v>34693.204549434609</v>
      </c>
      <c r="L13" s="65">
        <f t="shared" si="0"/>
        <v>35206.988984544245</v>
      </c>
      <c r="M13" s="65">
        <f t="shared" si="0"/>
        <v>35751.34029456992</v>
      </c>
      <c r="N13" s="65">
        <f t="shared" si="0"/>
        <v>36257.091279643901</v>
      </c>
      <c r="O13" s="65">
        <f t="shared" si="0"/>
        <v>36714.572317320679</v>
      </c>
      <c r="P13" s="65">
        <f t="shared" si="0"/>
        <v>37568.229678750286</v>
      </c>
      <c r="Q13" s="65">
        <f t="shared" si="0"/>
        <v>38235.289264440013</v>
      </c>
      <c r="R13" s="65">
        <f t="shared" si="0"/>
        <v>38933.142823256618</v>
      </c>
      <c r="S13" s="65">
        <f t="shared" si="0"/>
        <v>39661.839943132611</v>
      </c>
      <c r="T13" s="65">
        <f t="shared" si="0"/>
        <v>40421.431699638444</v>
      </c>
      <c r="U13" s="65">
        <f t="shared" si="0"/>
        <v>41211.970700611688</v>
      </c>
      <c r="V13" s="65">
        <f t="shared" si="0"/>
        <v>42033.511132125088</v>
      </c>
      <c r="W13" s="65">
        <f t="shared" si="0"/>
        <v>36292.327182042347</v>
      </c>
      <c r="X13" s="65">
        <f t="shared" si="0"/>
        <v>15148.595880032253</v>
      </c>
      <c r="Y13" s="65">
        <f t="shared" si="0"/>
        <v>15218.392001455719</v>
      </c>
      <c r="Z13" s="65">
        <f t="shared" si="0"/>
        <v>15290.282006521889</v>
      </c>
      <c r="AA13" s="65">
        <f t="shared" si="0"/>
        <v>15364.328711740049</v>
      </c>
      <c r="AB13" s="65">
        <f t="shared" si="0"/>
        <v>15440.596818114751</v>
      </c>
      <c r="AC13" s="65">
        <f t="shared" si="0"/>
        <v>15519.152967680695</v>
      </c>
      <c r="AD13" s="65">
        <f t="shared" si="0"/>
        <v>15600.065801733612</v>
      </c>
      <c r="AE13" s="65">
        <f t="shared" si="0"/>
        <v>15683.406020808121</v>
      </c>
      <c r="AF13" s="65">
        <f t="shared" si="0"/>
        <v>15769.246446454867</v>
      </c>
      <c r="AG13" s="65">
        <f t="shared" si="0"/>
        <v>15857.662084871012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18524.231901160776</v>
      </c>
      <c r="D16" s="218">
        <f>Assumptions!$H$62*'Price_Technical Assumption'!E30*'Price_Technical Assumption'!E44/1000000</f>
        <v>18415.19583551375</v>
      </c>
      <c r="E16" s="218">
        <f>Assumptions!$H$62*'Price_Technical Assumption'!F30*'Price_Technical Assumption'!F44/1000000</f>
        <v>18601.94134661078</v>
      </c>
      <c r="F16" s="218">
        <f>Assumptions!$H$62*'Price_Technical Assumption'!G30*'Price_Technical Assumption'!G44/1000000</f>
        <v>18888.494926707655</v>
      </c>
      <c r="G16" s="218">
        <f>Assumptions!$H$62*'Price_Technical Assumption'!H30*'Price_Technical Assumption'!H44/1000000</f>
        <v>19233.330590892034</v>
      </c>
      <c r="H16" s="218">
        <f>Assumptions!$H$62*'Price_Technical Assumption'!I30*'Price_Technical Assumption'!I44/1000000</f>
        <v>19600.022036609214</v>
      </c>
      <c r="I16" s="218">
        <f>Assumptions!$H$62*'Price_Technical Assumption'!J30*'Price_Technical Assumption'!J44/1000000</f>
        <v>19978.85558317797</v>
      </c>
      <c r="J16" s="218">
        <f>Assumptions!$H$62*'Price_Technical Assumption'!K30*'Price_Technical Assumption'!K44/1000000</f>
        <v>20386.830171790469</v>
      </c>
      <c r="K16" s="218">
        <f>Assumptions!$H$62*'Price_Technical Assumption'!L30*'Price_Technical Assumption'!L44/1000000</f>
        <v>20823.94580244672</v>
      </c>
      <c r="L16" s="218">
        <f>Assumptions!$H$62*'Price_Technical Assumption'!M30*'Price_Technical Assumption'!M44/1000000</f>
        <v>21290.202475146714</v>
      </c>
      <c r="M16" s="218">
        <f>Assumptions!$H$62*'Price_Technical Assumption'!N30*'Price_Technical Assumption'!N44/1000000</f>
        <v>21785.600189890465</v>
      </c>
      <c r="N16" s="218">
        <f>Assumptions!$H$62*'Price_Technical Assumption'!O30*'Price_Technical Assumption'!O44/1000000</f>
        <v>22240.928971824062</v>
      </c>
      <c r="O16" s="218">
        <f>Assumptions!$H$62*'Price_Technical Assumption'!P30*'Price_Technical Assumption'!P44/1000000</f>
        <v>22646.475140266248</v>
      </c>
      <c r="P16" s="218">
        <f>Assumptions!$H$62*'Price_Technical Assumption'!Q30*'Price_Technical Assumption'!Q44/1000000</f>
        <v>23446.639586384223</v>
      </c>
      <c r="Q16" s="218">
        <f>Assumptions!$H$62*'Price_Technical Assumption'!R30*'Price_Technical Assumption'!R44/1000000</f>
        <v>24058.601469302968</v>
      </c>
      <c r="R16" s="218">
        <f>Assumptions!$H$62*'Price_Technical Assumption'!S30*'Price_Technical Assumption'!S44/1000000</f>
        <v>24699.704394265464</v>
      </c>
      <c r="S16" s="218">
        <f>Assumptions!$H$62*'Price_Technical Assumption'!T30*'Price_Technical Assumption'!T44/1000000</f>
        <v>25369.948361271716</v>
      </c>
      <c r="T16" s="218">
        <f>Assumptions!$H$62*'Price_Technical Assumption'!U30*'Price_Technical Assumption'!U44/1000000</f>
        <v>26069.333370321721</v>
      </c>
      <c r="U16" s="218">
        <f>Assumptions!$H$62*'Price_Technical Assumption'!V30*'Price_Technical Assumption'!V44/1000000</f>
        <v>26797.859421415465</v>
      </c>
      <c r="V16" s="218">
        <f>Assumptions!$H$62*'Price_Technical Assumption'!W30*'Price_Technical Assumption'!W44/1000000</f>
        <v>27555.52651455297</v>
      </c>
      <c r="W16" s="218">
        <f>Assumptions!$H$62*'Price_Technical Assumption'!X30*'Price_Technical Assumption'!X44/1000000</f>
        <v>28342.334649734217</v>
      </c>
      <c r="X16" s="218">
        <f>Assumptions!$H$62*'Price_Technical Assumption'!Y30*'Price_Technical Assumption'!Y44/1000000</f>
        <v>12822.058499250001</v>
      </c>
      <c r="Y16" s="218">
        <f>Assumptions!$H$62*'Price_Technical Assumption'!Z30*'Price_Technical Assumption'!Z44/1000000</f>
        <v>12822.058499250001</v>
      </c>
      <c r="Z16" s="218">
        <f>Assumptions!$H$62*'Price_Technical Assumption'!AA30*'Price_Technical Assumption'!AA44/1000000</f>
        <v>12822.058499250001</v>
      </c>
      <c r="AA16" s="218">
        <f>Assumptions!$H$62*'Price_Technical Assumption'!AB30*'Price_Technical Assumption'!AB44/1000000</f>
        <v>12822.058499250001</v>
      </c>
      <c r="AB16" s="218">
        <f>Assumptions!$H$62*'Price_Technical Assumption'!AC30*'Price_Technical Assumption'!AC44/1000000</f>
        <v>12822.058499250001</v>
      </c>
      <c r="AC16" s="218">
        <f>Assumptions!$H$62*'Price_Technical Assumption'!AD30*'Price_Technical Assumption'!AD44/1000000</f>
        <v>12822.058499250001</v>
      </c>
      <c r="AD16" s="218">
        <f>Assumptions!$H$62*'Price_Technical Assumption'!AE30*'Price_Technical Assumption'!AE44/1000000</f>
        <v>12822.058499250001</v>
      </c>
      <c r="AE16" s="218">
        <f>Assumptions!$H$62*'Price_Technical Assumption'!AF30*'Price_Technical Assumption'!AF44/1000000</f>
        <v>12822.058499250001</v>
      </c>
      <c r="AF16" s="218">
        <f>Assumptions!$H$62*'Price_Technical Assumption'!AG30*'Price_Technical Assumption'!AG44/1000000</f>
        <v>12822.058499250001</v>
      </c>
      <c r="AG16" s="218">
        <f>Assumptions!$H$62*'Price_Technical Assumption'!AH30*'Price_Technical Assumption'!AH44/1000000</f>
        <v>12822.058499250001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8">
        <f>+(Assumptions!$P$15*Assumptions!$H$62)/1000*(1+Assumptions!$N$11)^IS!C6</f>
        <v>170.54024787475456</v>
      </c>
      <c r="D18" s="74">
        <f>C18*(1+Assumptions!$N$11)</f>
        <v>175.65645531099719</v>
      </c>
      <c r="E18" s="74">
        <f>D18*(1+Assumptions!$N$11)</f>
        <v>180.92614897032712</v>
      </c>
      <c r="F18" s="74">
        <f>E18*(1+Assumptions!$N$11)</f>
        <v>186.35393343943693</v>
      </c>
      <c r="G18" s="74">
        <f>F18*(1+Assumptions!$N$11)</f>
        <v>191.94455144262005</v>
      </c>
      <c r="H18" s="74">
        <f>G18*(1+Assumptions!$N$11)</f>
        <v>197.70288798589866</v>
      </c>
      <c r="I18" s="74">
        <f>H18*(1+Assumptions!$N$11)</f>
        <v>203.63397462547562</v>
      </c>
      <c r="J18" s="74">
        <f>I18*(1+Assumptions!$N$11)</f>
        <v>209.74299386423988</v>
      </c>
      <c r="K18" s="74">
        <f>J18*(1+Assumptions!$N$11)</f>
        <v>216.03528368016708</v>
      </c>
      <c r="L18" s="74">
        <f>K18*(1+Assumptions!$N$11)</f>
        <v>222.51634219057209</v>
      </c>
      <c r="M18" s="74">
        <f>L18*(1+Assumptions!$N$11)</f>
        <v>229.19183245628926</v>
      </c>
      <c r="N18" s="74">
        <f>M18*(1+Assumptions!$N$11)</f>
        <v>236.06758742997795</v>
      </c>
      <c r="O18" s="74">
        <f>N18*(1+Assumptions!$N$11)</f>
        <v>243.14961505287729</v>
      </c>
      <c r="P18" s="74">
        <f>O18*(1+Assumptions!$N$11)</f>
        <v>250.44410350446361</v>
      </c>
      <c r="Q18" s="74">
        <f>P18*(1+Assumptions!$N$11)</f>
        <v>257.95742660959752</v>
      </c>
      <c r="R18" s="74">
        <f>Q18*(1+Assumptions!$N$11)</f>
        <v>265.69614940788546</v>
      </c>
      <c r="S18" s="74">
        <f>R18*(1+Assumptions!$N$11)</f>
        <v>273.66703389012201</v>
      </c>
      <c r="T18" s="74">
        <f>S18*(1+Assumptions!$N$11)</f>
        <v>281.87704490682569</v>
      </c>
      <c r="U18" s="74">
        <f>T18*(1+Assumptions!$N$11)</f>
        <v>290.33335625403049</v>
      </c>
      <c r="V18" s="74">
        <f>U18*(1+Assumptions!$N$11)</f>
        <v>299.04335694165144</v>
      </c>
      <c r="W18" s="74">
        <f>V18*(1+Assumptions!$N$11)</f>
        <v>308.01465764990098</v>
      </c>
      <c r="X18" s="74">
        <f>W18*(1+Assumptions!$N$11)</f>
        <v>317.25509737939802</v>
      </c>
      <c r="Y18" s="74">
        <f>X18*(1+Assumptions!$N$11)</f>
        <v>326.77275030077999</v>
      </c>
      <c r="Z18" s="74">
        <f>Y18*(1+Assumptions!$N$11)</f>
        <v>336.57593280980342</v>
      </c>
      <c r="AA18" s="74">
        <f>Z18*(1+Assumptions!$N$11)</f>
        <v>346.67321079409754</v>
      </c>
      <c r="AB18" s="74">
        <f>AA18*(1+Assumptions!$N$11)</f>
        <v>357.07340711792045</v>
      </c>
      <c r="AC18" s="74">
        <f>AB18*(1+Assumptions!$N$11)</f>
        <v>367.78560933145809</v>
      </c>
      <c r="AD18" s="74">
        <f>AC18*(1+Assumptions!$N$11)</f>
        <v>378.81917761140187</v>
      </c>
      <c r="AE18" s="74">
        <f>AD18*(1+Assumptions!$N$11)</f>
        <v>390.18375293974395</v>
      </c>
      <c r="AF18" s="74">
        <f>AE18*(1+Assumptions!$N$11)</f>
        <v>401.88926552793629</v>
      </c>
      <c r="AG18" s="74">
        <f>AF18*(1+Assumptions!$N$11)</f>
        <v>413.94594349377439</v>
      </c>
    </row>
    <row r="19" spans="1:47">
      <c r="A19" s="3" t="s">
        <v>245</v>
      </c>
      <c r="C19" s="74">
        <f>Assumptions!$P$16*Assumptions!$H$62/1000*(1+Assumptions!$N$11)^IS!C6</f>
        <v>1080.0882365401121</v>
      </c>
      <c r="D19" s="74">
        <f>C19*(1+Assumptions!$N$11)</f>
        <v>1112.4908836363154</v>
      </c>
      <c r="E19" s="74">
        <f>D19*(1+Assumptions!$N$11)</f>
        <v>1145.8656101454048</v>
      </c>
      <c r="F19" s="74">
        <f>E19*(1+Assumptions!$N$11)</f>
        <v>1180.2415784497671</v>
      </c>
      <c r="G19" s="74">
        <f>F19*(1+Assumptions!$N$11)</f>
        <v>1215.64882580326</v>
      </c>
      <c r="H19" s="74">
        <f>G19*(1+Assumptions!$N$11)</f>
        <v>1252.1182905773578</v>
      </c>
      <c r="I19" s="74">
        <f>H19*(1+Assumptions!$N$11)</f>
        <v>1289.6818392946786</v>
      </c>
      <c r="J19" s="74">
        <f>I19*(1+Assumptions!$N$11)</f>
        <v>1328.3722944735191</v>
      </c>
      <c r="K19" s="74">
        <f>J19*(1+Assumptions!$N$11)</f>
        <v>1368.2234633077246</v>
      </c>
      <c r="L19" s="74">
        <f>K19*(1+Assumptions!$N$11)</f>
        <v>1409.2701672069563</v>
      </c>
      <c r="M19" s="74">
        <f>L19*(1+Assumptions!$N$11)</f>
        <v>1451.548272223165</v>
      </c>
      <c r="N19" s="74">
        <f>M19*(1+Assumptions!$N$11)</f>
        <v>1495.09472038986</v>
      </c>
      <c r="O19" s="74">
        <f>N19*(1+Assumptions!$N$11)</f>
        <v>1539.9475620015558</v>
      </c>
      <c r="P19" s="74">
        <f>O19*(1+Assumptions!$N$11)</f>
        <v>1586.1459888616025</v>
      </c>
      <c r="Q19" s="74">
        <f>P19*(1+Assumptions!$N$11)</f>
        <v>1633.7303685274505</v>
      </c>
      <c r="R19" s="74">
        <f>Q19*(1+Assumptions!$N$11)</f>
        <v>1682.742279583274</v>
      </c>
      <c r="S19" s="74">
        <f>R19*(1+Assumptions!$N$11)</f>
        <v>1733.2245479707722</v>
      </c>
      <c r="T19" s="74">
        <f>S19*(1+Assumptions!$N$11)</f>
        <v>1785.2212844098954</v>
      </c>
      <c r="U19" s="74">
        <f>T19*(1+Assumptions!$N$11)</f>
        <v>1838.7779229421922</v>
      </c>
      <c r="V19" s="74">
        <f>U19*(1+Assumptions!$N$11)</f>
        <v>1893.9412606304579</v>
      </c>
      <c r="W19" s="74">
        <f>V19*(1+Assumptions!$N$11)</f>
        <v>1950.7594984493717</v>
      </c>
      <c r="X19" s="74">
        <f>W19*(1+Assumptions!$N$11)</f>
        <v>2009.282283402853</v>
      </c>
      <c r="Y19" s="74">
        <f>X19*(1+Assumptions!$N$11)</f>
        <v>2069.5607519049386</v>
      </c>
      <c r="Z19" s="74">
        <f>Y19*(1+Assumptions!$N$11)</f>
        <v>2131.6475744620866</v>
      </c>
      <c r="AA19" s="74">
        <f>Z19*(1+Assumptions!$N$11)</f>
        <v>2195.5970016959491</v>
      </c>
      <c r="AB19" s="74">
        <f>AA19*(1+Assumptions!$N$11)</f>
        <v>2261.4649117468275</v>
      </c>
      <c r="AC19" s="74">
        <f>AB19*(1+Assumptions!$N$11)</f>
        <v>2329.3088590992324</v>
      </c>
      <c r="AD19" s="74">
        <f>AC19*(1+Assumptions!$N$11)</f>
        <v>2399.1881248722093</v>
      </c>
      <c r="AE19" s="74">
        <f>AD19*(1+Assumptions!$N$11)</f>
        <v>2471.1637686183758</v>
      </c>
      <c r="AF19" s="74">
        <f>AE19*(1+Assumptions!$N$11)</f>
        <v>2545.2986816769271</v>
      </c>
      <c r="AG19" s="74">
        <f>AF19*(1+Assumptions!$N$11)</f>
        <v>2621.6576421272348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2">
        <f>Assumptions!N30</f>
        <v>500</v>
      </c>
      <c r="D23" s="192">
        <f>C23*(1+Assumptions!$P$30)</f>
        <v>510</v>
      </c>
      <c r="E23" s="192">
        <f>D23*(1+Assumptions!$P$30)</f>
        <v>520.20000000000005</v>
      </c>
      <c r="F23" s="192">
        <f>E23*(1+Assumptions!$P$30)</f>
        <v>530.60400000000004</v>
      </c>
      <c r="G23" s="192">
        <f>F23*(1+Assumptions!$P$30)</f>
        <v>541.21608000000003</v>
      </c>
      <c r="H23" s="192">
        <f>G23*(1+Assumptions!$P$30)</f>
        <v>552.0404016</v>
      </c>
      <c r="I23" s="192">
        <f>H23*(1+Assumptions!$P$30)</f>
        <v>563.08120963199997</v>
      </c>
      <c r="J23" s="192">
        <f>I23*(1+Assumptions!$P$30)</f>
        <v>574.34283382464002</v>
      </c>
      <c r="K23" s="192">
        <f>J23*(1+Assumptions!$P$30)</f>
        <v>585.82969050113286</v>
      </c>
      <c r="L23" s="192">
        <f>K23*(1+Assumptions!$P$30)</f>
        <v>597.54628431115555</v>
      </c>
      <c r="M23" s="192">
        <f>L23*(1+Assumptions!$P$30)</f>
        <v>609.49720999737872</v>
      </c>
      <c r="N23" s="192">
        <f>M23*(1+Assumptions!$P$30)</f>
        <v>621.68715419732632</v>
      </c>
      <c r="O23" s="192">
        <f>N23*(1+Assumptions!$P$30)</f>
        <v>634.12089728127285</v>
      </c>
      <c r="P23" s="192">
        <f>O23*(1+Assumptions!$P$30)</f>
        <v>646.80331522689835</v>
      </c>
      <c r="Q23" s="192">
        <f>P23*(1+Assumptions!$P$30)</f>
        <v>659.73938153143638</v>
      </c>
      <c r="R23" s="192">
        <f>Q23*(1+Assumptions!$P$30)</f>
        <v>672.93416916206513</v>
      </c>
      <c r="S23" s="192">
        <f>R23*(1+Assumptions!$P$30)</f>
        <v>686.39285254530648</v>
      </c>
      <c r="T23" s="192">
        <f>S23*(1+Assumptions!$P$30)</f>
        <v>700.12070959621258</v>
      </c>
      <c r="U23" s="192">
        <f>T23*(1+Assumptions!$P$30)</f>
        <v>714.12312378813681</v>
      </c>
      <c r="V23" s="192">
        <f>U23*(1+Assumptions!$P$30)</f>
        <v>728.40558626389952</v>
      </c>
      <c r="W23" s="192">
        <f>V23*(1+Assumptions!$P$30)</f>
        <v>742.97369798917748</v>
      </c>
      <c r="X23" s="192">
        <f>W23*(1+Assumptions!$P$30)</f>
        <v>757.83317194896108</v>
      </c>
      <c r="Y23" s="192">
        <f>X23*(1+Assumptions!$P$30)</f>
        <v>772.98983538794027</v>
      </c>
      <c r="Z23" s="192">
        <f>Y23*(1+Assumptions!$P$30)</f>
        <v>788.44963209569914</v>
      </c>
      <c r="AA23" s="192">
        <f>Z23*(1+Assumptions!$P$30)</f>
        <v>804.21862473761314</v>
      </c>
      <c r="AB23" s="192">
        <f>AA23*(1+Assumptions!$P$30)</f>
        <v>820.30299723236544</v>
      </c>
      <c r="AC23" s="192">
        <f>AB23*(1+Assumptions!$P$30)</f>
        <v>836.70905717701271</v>
      </c>
      <c r="AD23" s="192">
        <f>AC23*(1+Assumptions!$P$30)</f>
        <v>853.44323832055295</v>
      </c>
      <c r="AE23" s="192">
        <f>AD23*(1+Assumptions!$P$30)</f>
        <v>870.51210308696398</v>
      </c>
      <c r="AF23" s="192">
        <f>AE23*(1+Assumptions!$P$30)</f>
        <v>887.92234514870324</v>
      </c>
      <c r="AG23" s="192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21195.860385575645</v>
      </c>
      <c r="D30" s="65">
        <f t="shared" si="1"/>
        <v>21571.91317446106</v>
      </c>
      <c r="E30" s="65">
        <f t="shared" si="1"/>
        <v>21845.17020572651</v>
      </c>
      <c r="F30" s="65">
        <f t="shared" si="1"/>
        <v>22220.728651596866</v>
      </c>
      <c r="G30" s="65">
        <f t="shared" si="1"/>
        <v>22657.135287527908</v>
      </c>
      <c r="H30" s="65">
        <f t="shared" si="1"/>
        <v>23118.038713344169</v>
      </c>
      <c r="I30" s="65">
        <f t="shared" si="1"/>
        <v>23593.802356198976</v>
      </c>
      <c r="J30" s="65">
        <f t="shared" si="1"/>
        <v>24101.504535905784</v>
      </c>
      <c r="K30" s="65">
        <f t="shared" si="1"/>
        <v>24641.226969147254</v>
      </c>
      <c r="L30" s="65">
        <f t="shared" si="1"/>
        <v>25213.053779943246</v>
      </c>
      <c r="M30" s="65">
        <f t="shared" si="1"/>
        <v>25817.07157098778</v>
      </c>
      <c r="N30" s="65">
        <f t="shared" si="1"/>
        <v>26384.159522254329</v>
      </c>
      <c r="O30" s="65">
        <f t="shared" si="1"/>
        <v>26904.695735667447</v>
      </c>
      <c r="P30" s="65">
        <f t="shared" si="1"/>
        <v>27823.17559067464</v>
      </c>
      <c r="Q30" s="65">
        <f t="shared" si="1"/>
        <v>28556.875520569833</v>
      </c>
      <c r="R30" s="65">
        <f t="shared" si="1"/>
        <v>29323.239273255025</v>
      </c>
      <c r="S30" s="65">
        <f t="shared" si="1"/>
        <v>30122.369944939332</v>
      </c>
      <c r="T30" s="65">
        <f t="shared" si="1"/>
        <v>30954.373672973921</v>
      </c>
      <c r="U30" s="65">
        <f t="shared" si="1"/>
        <v>31819.359726051265</v>
      </c>
      <c r="V30" s="65">
        <f t="shared" si="1"/>
        <v>32717.440597089968</v>
      </c>
      <c r="W30" s="65">
        <f t="shared" si="1"/>
        <v>33648.732098884684</v>
      </c>
      <c r="X30" s="65">
        <f t="shared" si="1"/>
        <v>18277.128134895091</v>
      </c>
      <c r="Y30" s="65">
        <f t="shared" ref="Y30:AG30" si="2">SUM(Y16:Y29)</f>
        <v>18430.111892244957</v>
      </c>
      <c r="Z30" s="65">
        <f t="shared" si="2"/>
        <v>18587.533595680921</v>
      </c>
      <c r="AA30" s="65">
        <f t="shared" si="2"/>
        <v>18749.523352252887</v>
      </c>
      <c r="AB30" s="65">
        <f t="shared" si="2"/>
        <v>18916.215111595604</v>
      </c>
      <c r="AC30" s="65">
        <f t="shared" si="2"/>
        <v>19087.746779993649</v>
      </c>
      <c r="AD30" s="65">
        <f t="shared" si="2"/>
        <v>19264.260337844189</v>
      </c>
      <c r="AE30" s="65">
        <f t="shared" si="2"/>
        <v>19445.901960618809</v>
      </c>
      <c r="AF30" s="65">
        <f t="shared" si="2"/>
        <v>19632.822143429003</v>
      </c>
      <c r="AG30" s="65">
        <f t="shared" si="2"/>
        <v>19825.175829302887</v>
      </c>
    </row>
    <row r="31" spans="1:47">
      <c r="A31" s="4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  <c r="AF31" s="367"/>
      <c r="AG31" s="367"/>
    </row>
    <row r="32" spans="1:47">
      <c r="A32" s="1" t="s">
        <v>47</v>
      </c>
      <c r="C32" s="123">
        <f t="shared" ref="C32:X32" si="3">C13-C30</f>
        <v>6768.9999999999964</v>
      </c>
      <c r="D32" s="123">
        <f t="shared" si="3"/>
        <v>10416.430000000008</v>
      </c>
      <c r="E32" s="123">
        <f t="shared" si="3"/>
        <v>10368.562900000001</v>
      </c>
      <c r="F32" s="123">
        <f t="shared" si="3"/>
        <v>10319.361786999998</v>
      </c>
      <c r="G32" s="123">
        <f t="shared" si="3"/>
        <v>10268.788680610003</v>
      </c>
      <c r="H32" s="123">
        <f t="shared" si="3"/>
        <v>10216.804501828301</v>
      </c>
      <c r="I32" s="123">
        <f t="shared" si="3"/>
        <v>10163.369040899146</v>
      </c>
      <c r="J32" s="123">
        <f t="shared" si="3"/>
        <v>10108.44092422245</v>
      </c>
      <c r="K32" s="123">
        <f t="shared" si="3"/>
        <v>10051.977580287356</v>
      </c>
      <c r="L32" s="123">
        <f t="shared" si="3"/>
        <v>9993.935204600999</v>
      </c>
      <c r="M32" s="123">
        <f t="shared" si="3"/>
        <v>9934.2687235821395</v>
      </c>
      <c r="N32" s="123">
        <f t="shared" si="3"/>
        <v>9872.9317573895714</v>
      </c>
      <c r="O32" s="123">
        <f t="shared" si="3"/>
        <v>9809.8765816532323</v>
      </c>
      <c r="P32" s="123">
        <f t="shared" si="3"/>
        <v>9745.0540880756453</v>
      </c>
      <c r="Q32" s="123">
        <f t="shared" si="3"/>
        <v>9678.41374387018</v>
      </c>
      <c r="R32" s="123">
        <f t="shared" si="3"/>
        <v>9609.9035500015925</v>
      </c>
      <c r="S32" s="123">
        <f t="shared" si="3"/>
        <v>9539.469998193279</v>
      </c>
      <c r="T32" s="123">
        <f t="shared" si="3"/>
        <v>9467.0580266645229</v>
      </c>
      <c r="U32" s="123">
        <f t="shared" si="3"/>
        <v>9392.6109745604226</v>
      </c>
      <c r="V32" s="123">
        <f t="shared" si="3"/>
        <v>9316.07053503512</v>
      </c>
      <c r="W32" s="123">
        <f t="shared" si="3"/>
        <v>2643.5950831576629</v>
      </c>
      <c r="X32" s="123">
        <f t="shared" si="3"/>
        <v>-3128.5322548628374</v>
      </c>
      <c r="Y32" s="123">
        <f t="shared" ref="Y32:AG32" si="4">Y13-Y30</f>
        <v>-3211.719890789238</v>
      </c>
      <c r="Z32" s="123">
        <f t="shared" si="4"/>
        <v>-3297.2515891590319</v>
      </c>
      <c r="AA32" s="123">
        <f t="shared" si="4"/>
        <v>-3385.1946405128383</v>
      </c>
      <c r="AB32" s="123">
        <f t="shared" si="4"/>
        <v>-3475.618293480853</v>
      </c>
      <c r="AC32" s="123">
        <f t="shared" si="4"/>
        <v>-3568.5938123129545</v>
      </c>
      <c r="AD32" s="123">
        <f t="shared" si="4"/>
        <v>-3664.1945361105772</v>
      </c>
      <c r="AE32" s="123">
        <f t="shared" si="4"/>
        <v>-3762.4959398106876</v>
      </c>
      <c r="AF32" s="123">
        <f t="shared" si="4"/>
        <v>-3863.575696974136</v>
      </c>
      <c r="AG32" s="123">
        <f t="shared" si="4"/>
        <v>-3967.5137444318752</v>
      </c>
    </row>
    <row r="33" spans="1:33">
      <c r="A33" s="1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367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2054.1333333333296</v>
      </c>
      <c r="D36" s="123">
        <f t="shared" ref="D36:X36" si="5">D32-D34</f>
        <v>3344.1300000000083</v>
      </c>
      <c r="E36" s="123">
        <f t="shared" si="5"/>
        <v>3296.2629000000015</v>
      </c>
      <c r="F36" s="123">
        <f t="shared" si="5"/>
        <v>3247.0617869999987</v>
      </c>
      <c r="G36" s="123">
        <f t="shared" si="5"/>
        <v>3196.4886806100039</v>
      </c>
      <c r="H36" s="123">
        <f t="shared" si="5"/>
        <v>5965.9711684949671</v>
      </c>
      <c r="I36" s="123">
        <f t="shared" si="5"/>
        <v>7323.2690408991457</v>
      </c>
      <c r="J36" s="123">
        <f t="shared" si="5"/>
        <v>7268.3409242224498</v>
      </c>
      <c r="K36" s="123">
        <f t="shared" si="5"/>
        <v>7211.8775802873552</v>
      </c>
      <c r="L36" s="123">
        <f t="shared" si="5"/>
        <v>7153.8352046009986</v>
      </c>
      <c r="M36" s="123">
        <f t="shared" si="5"/>
        <v>7094.1687235821391</v>
      </c>
      <c r="N36" s="123">
        <f t="shared" si="5"/>
        <v>7032.8317573895711</v>
      </c>
      <c r="O36" s="123">
        <f t="shared" si="5"/>
        <v>6969.7765816532319</v>
      </c>
      <c r="P36" s="123">
        <f t="shared" si="5"/>
        <v>6904.9540880756449</v>
      </c>
      <c r="Q36" s="123">
        <f t="shared" si="5"/>
        <v>6838.3137438701797</v>
      </c>
      <c r="R36" s="123">
        <f t="shared" si="5"/>
        <v>6769.8035500015922</v>
      </c>
      <c r="S36" s="123">
        <f t="shared" si="5"/>
        <v>6699.3699981932787</v>
      </c>
      <c r="T36" s="123">
        <f t="shared" si="5"/>
        <v>6626.9580266645225</v>
      </c>
      <c r="U36" s="123">
        <f t="shared" si="5"/>
        <v>6552.5109745604223</v>
      </c>
      <c r="V36" s="123">
        <f t="shared" si="5"/>
        <v>6475.9705350351196</v>
      </c>
      <c r="W36" s="123">
        <f t="shared" si="5"/>
        <v>-196.50491684233702</v>
      </c>
      <c r="X36" s="123">
        <f t="shared" si="5"/>
        <v>-5968.6322548628377</v>
      </c>
      <c r="Y36" s="123">
        <f t="shared" ref="Y36:AG36" si="6">Y32-Y34</f>
        <v>-6051.8198907892383</v>
      </c>
      <c r="Z36" s="123">
        <f t="shared" si="6"/>
        <v>-6137.3515891590323</v>
      </c>
      <c r="AA36" s="123">
        <f t="shared" si="6"/>
        <v>-6225.2946405128387</v>
      </c>
      <c r="AB36" s="123">
        <f t="shared" si="6"/>
        <v>-6315.7182934808534</v>
      </c>
      <c r="AC36" s="123">
        <f t="shared" si="6"/>
        <v>-6408.6938123129548</v>
      </c>
      <c r="AD36" s="123">
        <f t="shared" si="6"/>
        <v>-6504.2945361105776</v>
      </c>
      <c r="AE36" s="123">
        <f t="shared" si="6"/>
        <v>-6602.5959398106879</v>
      </c>
      <c r="AF36" s="123">
        <f t="shared" si="6"/>
        <v>-6703.6756969741364</v>
      </c>
      <c r="AG36" s="123">
        <f t="shared" si="6"/>
        <v>-4914.2137444318751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3796.0142129485057</v>
      </c>
      <c r="D38" s="65">
        <f>Debt!C57</f>
        <v>5540.1064169214751</v>
      </c>
      <c r="E38" s="65">
        <f>Debt!D57</f>
        <v>5335.4173584513228</v>
      </c>
      <c r="F38" s="65">
        <f>Debt!E57</f>
        <v>5114.4985890596763</v>
      </c>
      <c r="G38" s="65">
        <f>Debt!F57</f>
        <v>4876.8032768172461</v>
      </c>
      <c r="H38" s="65">
        <f>Debt!G57</f>
        <v>4623.3194695010534</v>
      </c>
      <c r="I38" s="65">
        <f>Debt!H57</f>
        <v>4351.725366719561</v>
      </c>
      <c r="J38" s="65">
        <f>Debt!I57</f>
        <v>4061.3619719428052</v>
      </c>
      <c r="K38" s="65">
        <f>Debt!J57</f>
        <v>3748.7353399032495</v>
      </c>
      <c r="L38" s="65">
        <f>Debt!K57</f>
        <v>3414.4183637567498</v>
      </c>
      <c r="M38" s="65">
        <f>Debt!L57</f>
        <v>3055.5687964827944</v>
      </c>
      <c r="N38" s="65">
        <f>Debt!M57</f>
        <v>2671.013307054624</v>
      </c>
      <c r="O38" s="65">
        <f>Debt!N57</f>
        <v>2256.657837243516</v>
      </c>
      <c r="P38" s="65">
        <f>Debt!O57</f>
        <v>1812.5117739544139</v>
      </c>
      <c r="Q38" s="65">
        <f>Debt!P57</f>
        <v>1335.0118569951533</v>
      </c>
      <c r="R38" s="65">
        <f>Debt!Q57</f>
        <v>822.27894861021196</v>
      </c>
      <c r="S38" s="65">
        <f>Debt!R57</f>
        <v>274.25604569089398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54.160497826375725</v>
      </c>
      <c r="Y38" s="65">
        <f>Debt!X57</f>
        <v>216.28344815379486</v>
      </c>
      <c r="Z38" s="65">
        <f>Debt!Y57</f>
        <v>443.67642172909416</v>
      </c>
      <c r="AA38" s="65">
        <f>Debt!Z57</f>
        <v>696.32236907298807</v>
      </c>
      <c r="AB38" s="65">
        <f>Debt!AA57</f>
        <v>975.59140995126609</v>
      </c>
      <c r="AC38" s="65">
        <f>Debt!AB57</f>
        <v>1284.3550144912549</v>
      </c>
      <c r="AD38" s="65">
        <f>Debt!AC57</f>
        <v>1624.918039078244</v>
      </c>
      <c r="AE38" s="65">
        <f>Debt!AD57</f>
        <v>2001.027448049331</v>
      </c>
      <c r="AF38" s="65">
        <f>Debt!AE57</f>
        <v>2414.7383224370928</v>
      </c>
      <c r="AG38" s="65">
        <f>Debt!AF57</f>
        <v>2950.5255175395896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-1741.8808796151761</v>
      </c>
      <c r="D40" s="123">
        <f t="shared" ref="D40:X40" si="7">D36-D38</f>
        <v>-2195.9764169214668</v>
      </c>
      <c r="E40" s="123">
        <f t="shared" si="7"/>
        <v>-2039.1544584513213</v>
      </c>
      <c r="F40" s="123">
        <f t="shared" si="7"/>
        <v>-1867.4368020596776</v>
      </c>
      <c r="G40" s="123">
        <f t="shared" si="7"/>
        <v>-1680.3145962072422</v>
      </c>
      <c r="H40" s="123">
        <f t="shared" si="7"/>
        <v>1342.6516989939137</v>
      </c>
      <c r="I40" s="123">
        <f t="shared" si="7"/>
        <v>2971.5436741795847</v>
      </c>
      <c r="J40" s="123">
        <f t="shared" si="7"/>
        <v>3206.9789522796445</v>
      </c>
      <c r="K40" s="123">
        <f t="shared" si="7"/>
        <v>3463.1422403841057</v>
      </c>
      <c r="L40" s="123">
        <f t="shared" si="7"/>
        <v>3739.4168408442488</v>
      </c>
      <c r="M40" s="123">
        <f t="shared" si="7"/>
        <v>4038.5999270993448</v>
      </c>
      <c r="N40" s="123">
        <f t="shared" si="7"/>
        <v>4361.8184503349476</v>
      </c>
      <c r="O40" s="123">
        <f t="shared" si="7"/>
        <v>4713.1187444097159</v>
      </c>
      <c r="P40" s="123">
        <f t="shared" si="7"/>
        <v>5092.442314121231</v>
      </c>
      <c r="Q40" s="123">
        <f t="shared" si="7"/>
        <v>5503.301886875026</v>
      </c>
      <c r="R40" s="123">
        <f t="shared" si="7"/>
        <v>5947.5246013913802</v>
      </c>
      <c r="S40" s="123">
        <f t="shared" si="7"/>
        <v>6425.1139525023846</v>
      </c>
      <c r="T40" s="123">
        <f t="shared" si="7"/>
        <v>6626.9580266645225</v>
      </c>
      <c r="U40" s="123">
        <f t="shared" si="7"/>
        <v>6552.5109745604223</v>
      </c>
      <c r="V40" s="123">
        <f t="shared" si="7"/>
        <v>6475.9705350351196</v>
      </c>
      <c r="W40" s="123">
        <f t="shared" si="7"/>
        <v>-196.50491684233702</v>
      </c>
      <c r="X40" s="123">
        <f t="shared" si="7"/>
        <v>-6022.7927526892136</v>
      </c>
      <c r="Y40" s="123">
        <f t="shared" ref="Y40:AG40" si="8">Y36-Y38</f>
        <v>-6268.1033389430331</v>
      </c>
      <c r="Z40" s="123">
        <f t="shared" si="8"/>
        <v>-6581.0280108881261</v>
      </c>
      <c r="AA40" s="123">
        <f t="shared" si="8"/>
        <v>-6921.617009585827</v>
      </c>
      <c r="AB40" s="123">
        <f t="shared" si="8"/>
        <v>-7291.3097034321199</v>
      </c>
      <c r="AC40" s="123">
        <f t="shared" si="8"/>
        <v>-7693.04882680421</v>
      </c>
      <c r="AD40" s="123">
        <f t="shared" si="8"/>
        <v>-8129.2125751888216</v>
      </c>
      <c r="AE40" s="123">
        <f t="shared" si="8"/>
        <v>-8603.6233878600196</v>
      </c>
      <c r="AF40" s="123">
        <f t="shared" si="8"/>
        <v>-9118.4140194112297</v>
      </c>
      <c r="AG40" s="123">
        <f t="shared" si="8"/>
        <v>-7864.7392619714647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3">
        <f>Assumptions!N51</f>
        <v>7.0000000000000007E-2</v>
      </c>
      <c r="C42" s="74">
        <f>-C40*$B$42</f>
        <v>121.93166157306234</v>
      </c>
      <c r="D42" s="74">
        <f t="shared" ref="D42:AG42" si="9">-D40*$B$42</f>
        <v>153.7183491845027</v>
      </c>
      <c r="E42" s="74">
        <f t="shared" si="9"/>
        <v>142.74081209159249</v>
      </c>
      <c r="F42" s="74">
        <f t="shared" si="9"/>
        <v>130.72057614417744</v>
      </c>
      <c r="G42" s="74">
        <f t="shared" si="9"/>
        <v>117.62202173450696</v>
      </c>
      <c r="H42" s="74">
        <f t="shared" si="9"/>
        <v>-93.98561892957396</v>
      </c>
      <c r="I42" s="74">
        <f t="shared" si="9"/>
        <v>-208.00805719257096</v>
      </c>
      <c r="J42" s="74">
        <f t="shared" si="9"/>
        <v>-224.48852665957514</v>
      </c>
      <c r="K42" s="74">
        <f t="shared" si="9"/>
        <v>-242.41995682688741</v>
      </c>
      <c r="L42" s="74">
        <f t="shared" si="9"/>
        <v>-261.75917885909746</v>
      </c>
      <c r="M42" s="74">
        <f t="shared" si="9"/>
        <v>-282.70199489695415</v>
      </c>
      <c r="N42" s="74">
        <f t="shared" si="9"/>
        <v>-305.32729152344638</v>
      </c>
      <c r="O42" s="74">
        <f t="shared" si="9"/>
        <v>-329.91831210868014</v>
      </c>
      <c r="P42" s="74">
        <f t="shared" si="9"/>
        <v>-356.47096198848618</v>
      </c>
      <c r="Q42" s="74">
        <f t="shared" si="9"/>
        <v>-385.23113208125187</v>
      </c>
      <c r="R42" s="74">
        <f t="shared" si="9"/>
        <v>-416.32672209739667</v>
      </c>
      <c r="S42" s="74">
        <f t="shared" si="9"/>
        <v>-449.75797667516696</v>
      </c>
      <c r="T42" s="74">
        <f t="shared" si="9"/>
        <v>-463.8870618665166</v>
      </c>
      <c r="U42" s="74">
        <f t="shared" si="9"/>
        <v>-458.67576821922961</v>
      </c>
      <c r="V42" s="74">
        <f t="shared" si="9"/>
        <v>-453.31793745245841</v>
      </c>
      <c r="W42" s="74">
        <f t="shared" si="9"/>
        <v>13.755344178963593</v>
      </c>
      <c r="X42" s="74">
        <f t="shared" si="9"/>
        <v>421.59549268824497</v>
      </c>
      <c r="Y42" s="74">
        <f t="shared" si="9"/>
        <v>438.76723372601236</v>
      </c>
      <c r="Z42" s="74">
        <f t="shared" si="9"/>
        <v>460.67196076216885</v>
      </c>
      <c r="AA42" s="74">
        <f t="shared" si="9"/>
        <v>484.51319067100792</v>
      </c>
      <c r="AB42" s="74">
        <f t="shared" si="9"/>
        <v>510.39167924024844</v>
      </c>
      <c r="AC42" s="74">
        <f t="shared" si="9"/>
        <v>538.51341787629474</v>
      </c>
      <c r="AD42" s="74">
        <f t="shared" si="9"/>
        <v>569.04488026321758</v>
      </c>
      <c r="AE42" s="74">
        <f t="shared" si="9"/>
        <v>602.25363715020148</v>
      </c>
      <c r="AF42" s="74">
        <f t="shared" si="9"/>
        <v>638.28898135878615</v>
      </c>
      <c r="AG42" s="74">
        <f t="shared" si="9"/>
        <v>550.53174833800256</v>
      </c>
    </row>
    <row r="43" spans="1:33">
      <c r="A43" s="3" t="s">
        <v>51</v>
      </c>
      <c r="B43" s="343">
        <f>Assumptions!N50</f>
        <v>0.35</v>
      </c>
      <c r="C43" s="74">
        <f t="shared" ref="C43:AG43" si="10">(C40+C42)*-$B$43</f>
        <v>566.98222631473982</v>
      </c>
      <c r="D43" s="74">
        <f t="shared" si="10"/>
        <v>714.79032370793743</v>
      </c>
      <c r="E43" s="74">
        <f t="shared" si="10"/>
        <v>663.74477622590507</v>
      </c>
      <c r="F43" s="74">
        <f t="shared" si="10"/>
        <v>607.85067907042503</v>
      </c>
      <c r="G43" s="74">
        <f t="shared" si="10"/>
        <v>546.94240106545726</v>
      </c>
      <c r="H43" s="74">
        <f t="shared" si="10"/>
        <v>-437.03312802251884</v>
      </c>
      <c r="I43" s="74">
        <f t="shared" si="10"/>
        <v>-967.2374659454548</v>
      </c>
      <c r="J43" s="74">
        <f t="shared" si="10"/>
        <v>-1043.8716489670242</v>
      </c>
      <c r="K43" s="74">
        <f t="shared" si="10"/>
        <v>-1127.2527992450264</v>
      </c>
      <c r="L43" s="74">
        <f t="shared" si="10"/>
        <v>-1217.1801816948027</v>
      </c>
      <c r="M43" s="74">
        <f t="shared" si="10"/>
        <v>-1314.5642762708367</v>
      </c>
      <c r="N43" s="74">
        <f t="shared" si="10"/>
        <v>-1419.7719055840253</v>
      </c>
      <c r="O43" s="74">
        <f t="shared" si="10"/>
        <v>-1534.1201513053625</v>
      </c>
      <c r="P43" s="74">
        <f t="shared" si="10"/>
        <v>-1657.5899732464607</v>
      </c>
      <c r="Q43" s="74">
        <f t="shared" si="10"/>
        <v>-1791.324764177821</v>
      </c>
      <c r="R43" s="74">
        <f t="shared" si="10"/>
        <v>-1935.9192577528941</v>
      </c>
      <c r="S43" s="74">
        <f t="shared" si="10"/>
        <v>-2091.3745915395261</v>
      </c>
      <c r="T43" s="74">
        <f t="shared" si="10"/>
        <v>-2157.0748376793017</v>
      </c>
      <c r="U43" s="74">
        <f t="shared" si="10"/>
        <v>-2132.8423222194174</v>
      </c>
      <c r="V43" s="74">
        <f t="shared" si="10"/>
        <v>-2107.9284091539312</v>
      </c>
      <c r="W43" s="74">
        <f t="shared" si="10"/>
        <v>63.962350432180699</v>
      </c>
      <c r="X43" s="74">
        <f t="shared" si="10"/>
        <v>1960.4190410003389</v>
      </c>
      <c r="Y43" s="74">
        <f t="shared" si="10"/>
        <v>2040.267636825957</v>
      </c>
      <c r="Z43" s="74">
        <f t="shared" si="10"/>
        <v>2142.1246175440847</v>
      </c>
      <c r="AA43" s="74">
        <f t="shared" si="10"/>
        <v>2252.9863366201866</v>
      </c>
      <c r="AB43" s="74">
        <f t="shared" si="10"/>
        <v>2373.3213084671547</v>
      </c>
      <c r="AC43" s="74">
        <f t="shared" si="10"/>
        <v>2504.0873931247702</v>
      </c>
      <c r="AD43" s="74">
        <f t="shared" si="10"/>
        <v>2646.0586932239612</v>
      </c>
      <c r="AE43" s="74">
        <f t="shared" si="10"/>
        <v>2800.4794127484365</v>
      </c>
      <c r="AF43" s="74">
        <f t="shared" si="10"/>
        <v>2968.0437633183551</v>
      </c>
      <c r="AG43" s="74">
        <f t="shared" si="10"/>
        <v>2559.9726297717116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8">
        <f t="shared" ref="C45:AG45" si="11">C40+C42+C43</f>
        <v>-1052.9669917273741</v>
      </c>
      <c r="D45" s="368">
        <f t="shared" si="11"/>
        <v>-1327.4677440290268</v>
      </c>
      <c r="E45" s="368">
        <f t="shared" si="11"/>
        <v>-1232.6688701338237</v>
      </c>
      <c r="F45" s="368">
        <f t="shared" si="11"/>
        <v>-1128.8655468450752</v>
      </c>
      <c r="G45" s="368">
        <f t="shared" si="11"/>
        <v>-1015.750173407278</v>
      </c>
      <c r="H45" s="368">
        <f t="shared" si="11"/>
        <v>811.63295204182077</v>
      </c>
      <c r="I45" s="368">
        <f t="shared" si="11"/>
        <v>1796.2981510415589</v>
      </c>
      <c r="J45" s="368">
        <f t="shared" si="11"/>
        <v>1938.6187766530452</v>
      </c>
      <c r="K45" s="368">
        <f t="shared" si="11"/>
        <v>2093.469484312192</v>
      </c>
      <c r="L45" s="368">
        <f t="shared" si="11"/>
        <v>2260.4774802903485</v>
      </c>
      <c r="M45" s="368">
        <f t="shared" si="11"/>
        <v>2441.3336559315539</v>
      </c>
      <c r="N45" s="368">
        <f t="shared" si="11"/>
        <v>2636.7192532274757</v>
      </c>
      <c r="O45" s="368">
        <f t="shared" si="11"/>
        <v>2849.0802809956735</v>
      </c>
      <c r="P45" s="368">
        <f t="shared" si="11"/>
        <v>3078.3813788862844</v>
      </c>
      <c r="Q45" s="368">
        <f t="shared" si="11"/>
        <v>3326.7459906159538</v>
      </c>
      <c r="R45" s="368">
        <f t="shared" si="11"/>
        <v>3595.2786215410897</v>
      </c>
      <c r="S45" s="368">
        <f t="shared" si="11"/>
        <v>3883.9813842876915</v>
      </c>
      <c r="T45" s="368">
        <f t="shared" si="11"/>
        <v>4005.996127118704</v>
      </c>
      <c r="U45" s="368">
        <f t="shared" si="11"/>
        <v>3960.9928841217757</v>
      </c>
      <c r="V45" s="368">
        <f t="shared" si="11"/>
        <v>3914.7241884287296</v>
      </c>
      <c r="W45" s="368">
        <f t="shared" si="11"/>
        <v>-118.78722223119274</v>
      </c>
      <c r="X45" s="368">
        <f t="shared" si="11"/>
        <v>-3640.7782190006296</v>
      </c>
      <c r="Y45" s="368">
        <f t="shared" si="11"/>
        <v>-3789.0684683910631</v>
      </c>
      <c r="Z45" s="368">
        <f t="shared" si="11"/>
        <v>-3978.2314325818725</v>
      </c>
      <c r="AA45" s="368">
        <f t="shared" si="11"/>
        <v>-4184.1174822946323</v>
      </c>
      <c r="AB45" s="368">
        <f t="shared" si="11"/>
        <v>-4407.596715724716</v>
      </c>
      <c r="AC45" s="368">
        <f t="shared" si="11"/>
        <v>-4650.4480158031456</v>
      </c>
      <c r="AD45" s="368">
        <f t="shared" si="11"/>
        <v>-4914.1090017016431</v>
      </c>
      <c r="AE45" s="368">
        <f t="shared" si="11"/>
        <v>-5200.8903379613821</v>
      </c>
      <c r="AF45" s="368">
        <f t="shared" si="11"/>
        <v>-5512.0812747340879</v>
      </c>
      <c r="AG45" s="368">
        <f t="shared" si="11"/>
        <v>-4754.2348838617509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369"/>
      <c r="Z49" s="369"/>
      <c r="AA49" s="369"/>
      <c r="AB49" s="369"/>
      <c r="AC49" s="369"/>
      <c r="AD49" s="369"/>
      <c r="AE49" s="369"/>
      <c r="AF49" s="369"/>
      <c r="AG49" s="369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C51" s="369"/>
      <c r="D51" s="369"/>
      <c r="E51" s="369"/>
      <c r="F51" s="369"/>
      <c r="G51" s="369"/>
    </row>
    <row r="52" spans="1:33">
      <c r="C52" s="6"/>
      <c r="D52" s="6"/>
      <c r="E52" s="6"/>
      <c r="F52" s="6"/>
      <c r="G52" s="6"/>
    </row>
    <row r="53" spans="1:33">
      <c r="C53" s="369"/>
      <c r="D53" s="369"/>
      <c r="E53" s="369"/>
      <c r="F53" s="369"/>
      <c r="G53" s="369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0"/>
      <c r="D60" s="370"/>
      <c r="E60" s="370"/>
      <c r="F60" s="370"/>
      <c r="G60" s="6"/>
    </row>
    <row r="61" spans="1:33">
      <c r="C61" s="6"/>
      <c r="D61" s="6"/>
      <c r="E61" s="6"/>
      <c r="F61" s="6"/>
      <c r="G61" s="6"/>
    </row>
    <row r="62" spans="1:33">
      <c r="C62" s="370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RowHeight="12.75" outlineLevelCol="1"/>
  <cols>
    <col min="1" max="1" width="4.7109375" style="540" customWidth="1"/>
    <col min="2" max="2" width="41.42578125" style="540" customWidth="1"/>
    <col min="3" max="3" width="18.5703125" style="540" customWidth="1"/>
    <col min="4" max="4" width="11.85546875" style="540" customWidth="1"/>
    <col min="5" max="5" width="13.42578125" style="540" customWidth="1"/>
    <col min="6" max="6" width="12.140625" style="540" hidden="1" customWidth="1" outlineLevel="1"/>
    <col min="7" max="7" width="9.140625" style="540" hidden="1" customWidth="1" outlineLevel="1"/>
    <col min="8" max="8" width="13.7109375" style="540" customWidth="1" collapsed="1"/>
    <col min="9" max="11" width="9.140625" style="540"/>
    <col min="12" max="12" width="13.140625" style="540" customWidth="1"/>
    <col min="13" max="16384" width="9.14062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14" zoomScale="75" zoomScaleNormal="75" workbookViewId="0">
      <selection activeCell="B20" sqref="B2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6768.9999999999964</v>
      </c>
      <c r="D11" s="18">
        <f>IS!D32</f>
        <v>10416.430000000008</v>
      </c>
      <c r="E11" s="18">
        <f>IS!E32</f>
        <v>10368.562900000001</v>
      </c>
      <c r="F11" s="18">
        <f>IS!F32</f>
        <v>10319.361786999998</v>
      </c>
      <c r="G11" s="18">
        <f>IS!G32</f>
        <v>10268.788680610003</v>
      </c>
      <c r="H11" s="18">
        <f>IS!H32</f>
        <v>10216.804501828301</v>
      </c>
      <c r="I11" s="18">
        <f>IS!I32</f>
        <v>10163.369040899146</v>
      </c>
      <c r="J11" s="18">
        <f>IS!J32</f>
        <v>10108.44092422245</v>
      </c>
      <c r="K11" s="18">
        <f>IS!K32</f>
        <v>10051.977580287356</v>
      </c>
      <c r="L11" s="18">
        <f>IS!L32</f>
        <v>9993.935204600999</v>
      </c>
      <c r="M11" s="18">
        <f>IS!M32</f>
        <v>9934.2687235821395</v>
      </c>
      <c r="N11" s="18">
        <f>IS!N32</f>
        <v>9872.9317573895714</v>
      </c>
      <c r="O11" s="18">
        <f>IS!O32</f>
        <v>9809.8765816532323</v>
      </c>
      <c r="P11" s="18">
        <f>IS!P32</f>
        <v>9745.0540880756453</v>
      </c>
      <c r="Q11" s="18">
        <f>IS!Q32</f>
        <v>9678.41374387018</v>
      </c>
      <c r="R11" s="18">
        <f>IS!R32</f>
        <v>9609.9035500015925</v>
      </c>
      <c r="S11" s="18">
        <f>IS!S32</f>
        <v>9539.469998193279</v>
      </c>
      <c r="T11" s="18">
        <f>IS!T32</f>
        <v>9467.0580266645229</v>
      </c>
      <c r="U11" s="18">
        <f>IS!U32</f>
        <v>9392.6109745604226</v>
      </c>
      <c r="V11" s="18">
        <f>IS!V32</f>
        <v>9316.07053503512</v>
      </c>
      <c r="W11" s="18">
        <f>IS!W32</f>
        <v>2643.5950831576629</v>
      </c>
      <c r="X11" s="18">
        <f>IS!X32</f>
        <v>-3128.5322548628374</v>
      </c>
      <c r="Y11" s="18">
        <f>IS!Y32</f>
        <v>-3211.719890789238</v>
      </c>
      <c r="Z11" s="18">
        <f>IS!Z32</f>
        <v>-3297.2515891590319</v>
      </c>
      <c r="AA11" s="18">
        <f>IS!AA32</f>
        <v>-3385.1946405128383</v>
      </c>
      <c r="AB11" s="18">
        <f>IS!AB32</f>
        <v>-3475.618293480853</v>
      </c>
      <c r="AC11" s="18">
        <f>IS!AC32</f>
        <v>-3568.5938123129545</v>
      </c>
      <c r="AD11" s="18">
        <f>IS!AD32</f>
        <v>-3664.1945361105772</v>
      </c>
      <c r="AE11" s="18">
        <f>IS!AE32</f>
        <v>-3762.4959398106876</v>
      </c>
      <c r="AF11" s="18">
        <f>IS!AF32</f>
        <v>-3863.575696974136</v>
      </c>
      <c r="AG11" s="18">
        <f>IS!AG32</f>
        <v>-3967.5137444318752</v>
      </c>
    </row>
    <row r="12" spans="1:35">
      <c r="A12" s="45" t="s">
        <v>79</v>
      </c>
      <c r="B12" s="444">
        <v>0</v>
      </c>
      <c r="C12" s="444">
        <f>-(Debt!B36)</f>
        <v>-2391.5451949897729</v>
      </c>
      <c r="D12" s="444">
        <f>-(Debt!B44+Debt!C27+Debt!C36)</f>
        <v>-5587.8716549390556</v>
      </c>
      <c r="E12" s="444">
        <f>-(Debt!C44+Debt!D27+Debt!D36)</f>
        <v>-5388.8168838762367</v>
      </c>
      <c r="F12" s="444">
        <f>-(Debt!D44+Debt!E27+Debt!E36)</f>
        <v>-5175.0380826017772</v>
      </c>
      <c r="G12" s="444">
        <f>-(Debt!E44+Debt!F27+Debt!F36)</f>
        <v>-4934.464153916666</v>
      </c>
      <c r="H12" s="444">
        <f>-(Debt!F44+Debt!G27+Debt!G36)</f>
        <v>-4688.7337809351702</v>
      </c>
      <c r="I12" s="444">
        <f>-(Debt!G44+Debt!H27+Debt!H36)</f>
        <v>-4421.7905710561026</v>
      </c>
      <c r="J12" s="444">
        <f>-(Debt!H44+Debt!I27+Debt!I36)</f>
        <v>-4139.1490207773841</v>
      </c>
      <c r="K12" s="444">
        <f>-(Debt!I44+Debt!J27+Debt!J36)</f>
        <v>-3826.5223187311594</v>
      </c>
      <c r="L12" s="444">
        <f>-(Debt!J44+Debt!K27+Debt!K36)</f>
        <v>-3500.7650790178914</v>
      </c>
      <c r="M12" s="444">
        <f>-(Debt!K44+Debt!L27+Debt!L36)</f>
        <v>-3148.229015703947</v>
      </c>
      <c r="N12" s="444">
        <f>-(Debt!L44+Debt!M27+Debt!M36)</f>
        <v>-2772.2314708366548</v>
      </c>
      <c r="O12" s="444">
        <f>-(Debt!M44+Debt!N27+Debt!N36)</f>
        <v>-2361.7518313818018</v>
      </c>
      <c r="P12" s="444">
        <f>-(Debt!N44+Debt!O27+Debt!O36)</f>
        <v>-1927.3110364839881</v>
      </c>
      <c r="Q12" s="444">
        <f>-(Debt!O44+Debt!P27+Debt!P36)</f>
        <v>-1458.4085302350036</v>
      </c>
      <c r="R12" s="444">
        <f>-(Debt!P44+Debt!Q27+Debt!Q36)</f>
        <v>-955.42463850928061</v>
      </c>
      <c r="S12" s="444">
        <f>-(Debt!Q44+Debt!R27+Debt!R36)</f>
        <v>-411.64566806135906</v>
      </c>
      <c r="T12" s="444">
        <f>-(Debt!R44+Debt!S27+Debt!S36)</f>
        <v>0</v>
      </c>
      <c r="U12" s="444">
        <f>-(Debt!S44+Debt!T27+Debt!T36)</f>
        <v>0</v>
      </c>
      <c r="V12" s="444">
        <f>-(Debt!T44+Debt!U27+Debt!U36)</f>
        <v>0</v>
      </c>
      <c r="W12" s="444">
        <f>-(Debt!U44+Debt!V27+Debt!V36)</f>
        <v>0</v>
      </c>
      <c r="X12" s="444">
        <f>-(Debt!V44+Debt!W27+Debt!W36)</f>
        <v>-26.87727159313884</v>
      </c>
      <c r="Y12" s="444">
        <f>-(Debt!W44+Debt!X27+Debt!X36)</f>
        <v>-162.45457959695159</v>
      </c>
      <c r="Z12" s="444">
        <f>-(Debt!X44+Debt!Y27+Debt!Y36)</f>
        <v>-384.29009229772907</v>
      </c>
      <c r="AA12" s="444">
        <f>-(Debt!Y44+Debt!Z27+Debt!Z36)</f>
        <v>-629.80546191395911</v>
      </c>
      <c r="AB12" s="444">
        <f>-(Debt!Z44+Debt!AA27+Debt!AA36)</f>
        <v>-902.39622146515569</v>
      </c>
      <c r="AC12" s="444">
        <f>-(Debt!AA44+Debt!AB27+Debt!AB36)</f>
        <v>-1203.5054775159165</v>
      </c>
      <c r="AD12" s="444">
        <f>-(Debt!AB44+Debt!AC27+Debt!AC36)</f>
        <v>-1536.8997138364864</v>
      </c>
      <c r="AE12" s="444">
        <f>-(Debt!AC44+Debt!AD27+Debt!AD36)</f>
        <v>-1901.5817785463878</v>
      </c>
      <c r="AF12" s="444">
        <f>-(Debt!AD44+Debt!AE27+Debt!AE36)</f>
        <v>-2306.565296322934</v>
      </c>
      <c r="AG12" s="444">
        <f>-(Debt!AE44+Debt!AF27+Debt!AF36)</f>
        <v>-1551.6530566316924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4377.4548050102239</v>
      </c>
      <c r="D13" s="64">
        <f t="shared" si="0"/>
        <v>4828.558345060952</v>
      </c>
      <c r="E13" s="64">
        <f t="shared" si="0"/>
        <v>4979.7460161237641</v>
      </c>
      <c r="F13" s="64">
        <f t="shared" si="0"/>
        <v>5144.3237043982208</v>
      </c>
      <c r="G13" s="64">
        <f t="shared" si="0"/>
        <v>5334.3245266933372</v>
      </c>
      <c r="H13" s="64">
        <f t="shared" si="0"/>
        <v>5528.0707208931308</v>
      </c>
      <c r="I13" s="64">
        <f t="shared" si="0"/>
        <v>5741.5784698430434</v>
      </c>
      <c r="J13" s="64">
        <f t="shared" si="0"/>
        <v>5969.2919034450661</v>
      </c>
      <c r="K13" s="64">
        <f t="shared" si="0"/>
        <v>6225.4552615561961</v>
      </c>
      <c r="L13" s="64">
        <f t="shared" si="0"/>
        <v>6493.1701255831076</v>
      </c>
      <c r="M13" s="64">
        <f t="shared" si="0"/>
        <v>6786.0397078781925</v>
      </c>
      <c r="N13" s="64">
        <f t="shared" si="0"/>
        <v>7100.7002865529166</v>
      </c>
      <c r="O13" s="64">
        <f t="shared" si="0"/>
        <v>7448.1247502714305</v>
      </c>
      <c r="P13" s="64">
        <f t="shared" si="0"/>
        <v>7817.7430515916567</v>
      </c>
      <c r="Q13" s="64">
        <f t="shared" si="0"/>
        <v>8220.0052136351769</v>
      </c>
      <c r="R13" s="64">
        <f t="shared" si="0"/>
        <v>8654.4789114923115</v>
      </c>
      <c r="S13" s="64">
        <f t="shared" si="0"/>
        <v>9127.8243301319199</v>
      </c>
      <c r="T13" s="64">
        <f t="shared" si="0"/>
        <v>9467.0580266645229</v>
      </c>
      <c r="U13" s="64">
        <f t="shared" si="0"/>
        <v>9392.6109745604226</v>
      </c>
      <c r="V13" s="64">
        <f t="shared" si="0"/>
        <v>9316.07053503512</v>
      </c>
      <c r="W13" s="64">
        <f t="shared" si="0"/>
        <v>2643.5950831576629</v>
      </c>
      <c r="X13" s="64">
        <f t="shared" si="0"/>
        <v>-3155.409526455976</v>
      </c>
      <c r="Y13" s="64">
        <f t="shared" si="0"/>
        <v>-3374.1744703861896</v>
      </c>
      <c r="Z13" s="64">
        <f t="shared" si="0"/>
        <v>-3681.5416814567611</v>
      </c>
      <c r="AA13" s="64">
        <f t="shared" si="0"/>
        <v>-4015.0001024267976</v>
      </c>
      <c r="AB13" s="64">
        <f t="shared" si="0"/>
        <v>-4378.0145149460086</v>
      </c>
      <c r="AC13" s="64">
        <f t="shared" si="0"/>
        <v>-4772.0992898288714</v>
      </c>
      <c r="AD13" s="64">
        <f t="shared" si="0"/>
        <v>-5201.0942499470639</v>
      </c>
      <c r="AE13" s="64">
        <f t="shared" si="0"/>
        <v>-5664.0777183570754</v>
      </c>
      <c r="AF13" s="64">
        <f t="shared" si="0"/>
        <v>-6170.1409932970701</v>
      </c>
      <c r="AG13" s="64">
        <f t="shared" si="0"/>
        <v>-5519.1668010635676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-62.965607616714919</v>
      </c>
      <c r="T15" s="18">
        <f>-Taxes!S24-Taxes!S41</f>
        <v>-1603.2450324361898</v>
      </c>
      <c r="U15" s="18">
        <f>-Taxes!T24-Taxes!T41</f>
        <v>-3714.7776404386468</v>
      </c>
      <c r="V15" s="18">
        <f>-Taxes!U24-Taxes!U41</f>
        <v>-3684.5058966063898</v>
      </c>
      <c r="W15" s="18">
        <f>-Taxes!V24-Taxes!V41</f>
        <v>-1045.5418553888555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-873.45165242510848</v>
      </c>
      <c r="D16" s="23">
        <f>-Debt!C48</f>
        <v>-2369.021529258287</v>
      </c>
      <c r="E16" s="23">
        <f>-Debt!D48</f>
        <v>-2596.1807232892097</v>
      </c>
      <c r="F16" s="23">
        <f>-Debt!E48</f>
        <v>-2777.7756086436639</v>
      </c>
      <c r="G16" s="23">
        <f>-Debt!F48</f>
        <v>-2968.8957578771588</v>
      </c>
      <c r="H16" s="23">
        <f>-Debt!G48</f>
        <v>-3180.3161736200709</v>
      </c>
      <c r="I16" s="23">
        <f>-Debt!H48</f>
        <v>-3406.4335108674859</v>
      </c>
      <c r="J16" s="23">
        <f>-Debt!I48</f>
        <v>-3652.4056617185124</v>
      </c>
      <c r="K16" s="23">
        <f>-Debt!J48</f>
        <v>-3911.2999788820089</v>
      </c>
      <c r="L16" s="23">
        <f>-Debt!K48</f>
        <v>-4198.0088005749931</v>
      </c>
      <c r="M16" s="23">
        <f>-Debt!L48</f>
        <v>-4504.9590430530516</v>
      </c>
      <c r="N16" s="23">
        <f>-Debt!M48</f>
        <v>-4839.2680037647697</v>
      </c>
      <c r="O16" s="23">
        <f>-Debt!N48</f>
        <v>-5191.2265204997129</v>
      </c>
      <c r="P16" s="23">
        <f>-Debt!O48</f>
        <v>-5581.3161269789634</v>
      </c>
      <c r="Q16" s="23">
        <f>-Debt!P48</f>
        <v>-5999.3054588805098</v>
      </c>
      <c r="R16" s="23">
        <f>-Debt!Q48</f>
        <v>-6454.9833087964826</v>
      </c>
      <c r="S16" s="23">
        <f>-Debt!R48</f>
        <v>-6697.9156560226738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1326.4572194647303</v>
      </c>
      <c r="Y16" s="23">
        <f>-Debt!X48</f>
        <v>2617.0545485511548</v>
      </c>
      <c r="Z16" s="23">
        <f>-Debt!Y48</f>
        <v>2905.9618603622671</v>
      </c>
      <c r="AA16" s="23">
        <f>-Debt!Z48</f>
        <v>3215.2078173591881</v>
      </c>
      <c r="AB16" s="23">
        <f>-Debt!AA48</f>
        <v>3558.607232424949</v>
      </c>
      <c r="AC16" s="23">
        <f>-Debt!AB48</f>
        <v>3930.7467194137189</v>
      </c>
      <c r="AD16" s="23">
        <f>-Debt!AC48</f>
        <v>4339.0965161938366</v>
      </c>
      <c r="AE16" s="23">
        <f>-Debt!AD48</f>
        <v>4775.0370944376482</v>
      </c>
      <c r="AF16" s="23">
        <f>-Debt!AE48</f>
        <v>5259.1614427796012</v>
      </c>
      <c r="AG16" s="23">
        <f>-Debt!AF48</f>
        <v>5344.5464289020383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3504.0031525851155</v>
      </c>
      <c r="D18" s="64">
        <f t="shared" si="1"/>
        <v>2459.5368158026649</v>
      </c>
      <c r="E18" s="64">
        <f t="shared" si="1"/>
        <v>2383.5652928345544</v>
      </c>
      <c r="F18" s="64">
        <f t="shared" si="1"/>
        <v>2366.5480957545569</v>
      </c>
      <c r="G18" s="64">
        <f t="shared" si="1"/>
        <v>2365.4287688161785</v>
      </c>
      <c r="H18" s="64">
        <f t="shared" si="1"/>
        <v>2347.7545472730599</v>
      </c>
      <c r="I18" s="64">
        <f t="shared" si="1"/>
        <v>2335.1449589755575</v>
      </c>
      <c r="J18" s="64">
        <f t="shared" si="1"/>
        <v>2316.8862417265536</v>
      </c>
      <c r="K18" s="64">
        <f t="shared" si="1"/>
        <v>2314.1552826741872</v>
      </c>
      <c r="L18" s="64">
        <f t="shared" si="1"/>
        <v>2295.1613250081145</v>
      </c>
      <c r="M18" s="64">
        <f t="shared" si="1"/>
        <v>2281.080664825141</v>
      </c>
      <c r="N18" s="64">
        <f t="shared" si="1"/>
        <v>2261.4322827881469</v>
      </c>
      <c r="O18" s="64">
        <f t="shared" si="1"/>
        <v>2256.8982297717175</v>
      </c>
      <c r="P18" s="64">
        <f t="shared" si="1"/>
        <v>2236.4269246126933</v>
      </c>
      <c r="Q18" s="64">
        <f t="shared" si="1"/>
        <v>2220.6997547546671</v>
      </c>
      <c r="R18" s="64">
        <f t="shared" si="1"/>
        <v>2199.4956026958289</v>
      </c>
      <c r="S18" s="64">
        <f t="shared" si="1"/>
        <v>2366.9430664925312</v>
      </c>
      <c r="T18" s="64">
        <f t="shared" si="1"/>
        <v>7863.8129942283331</v>
      </c>
      <c r="U18" s="64">
        <f t="shared" si="1"/>
        <v>5677.8333341217758</v>
      </c>
      <c r="V18" s="64">
        <f t="shared" si="1"/>
        <v>5631.5646384287302</v>
      </c>
      <c r="W18" s="64">
        <f t="shared" si="1"/>
        <v>1598.0532277688073</v>
      </c>
      <c r="X18" s="64">
        <f t="shared" si="1"/>
        <v>-1828.9523069912457</v>
      </c>
      <c r="Y18" s="64">
        <f t="shared" si="1"/>
        <v>-757.1199218350348</v>
      </c>
      <c r="Z18" s="64">
        <f t="shared" si="1"/>
        <v>-775.57982109449404</v>
      </c>
      <c r="AA18" s="64">
        <f t="shared" si="1"/>
        <v>-799.79228506760955</v>
      </c>
      <c r="AB18" s="64">
        <f t="shared" si="1"/>
        <v>-819.40728252105964</v>
      </c>
      <c r="AC18" s="64">
        <f t="shared" si="1"/>
        <v>-841.35257041515251</v>
      </c>
      <c r="AD18" s="64">
        <f t="shared" si="1"/>
        <v>-861.99773375322729</v>
      </c>
      <c r="AE18" s="64">
        <f t="shared" si="1"/>
        <v>-889.04062391942716</v>
      </c>
      <c r="AF18" s="64">
        <f t="shared" si="1"/>
        <v>-910.97955051746885</v>
      </c>
      <c r="AG18" s="64">
        <f t="shared" si="1"/>
        <v>-174.6203721615293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3504.0031525851155</v>
      </c>
      <c r="D21" s="64">
        <f t="shared" si="2"/>
        <v>2459.5368158026649</v>
      </c>
      <c r="E21" s="64">
        <f t="shared" si="2"/>
        <v>2383.5652928345544</v>
      </c>
      <c r="F21" s="64">
        <f t="shared" si="2"/>
        <v>2366.5480957545569</v>
      </c>
      <c r="G21" s="64">
        <f t="shared" si="2"/>
        <v>2365.4287688161785</v>
      </c>
      <c r="H21" s="64">
        <f t="shared" si="2"/>
        <v>2347.7545472730599</v>
      </c>
      <c r="I21" s="64">
        <f t="shared" si="2"/>
        <v>2335.1449589755575</v>
      </c>
      <c r="J21" s="64">
        <f t="shared" si="2"/>
        <v>2316.8862417265536</v>
      </c>
      <c r="K21" s="64">
        <f t="shared" si="2"/>
        <v>2314.1552826741872</v>
      </c>
      <c r="L21" s="64">
        <f t="shared" si="2"/>
        <v>2295.1613250081145</v>
      </c>
      <c r="M21" s="64">
        <f t="shared" si="2"/>
        <v>2281.080664825141</v>
      </c>
      <c r="N21" s="64">
        <f t="shared" si="2"/>
        <v>2261.4322827881469</v>
      </c>
      <c r="O21" s="64">
        <f t="shared" si="2"/>
        <v>2256.8982297717175</v>
      </c>
      <c r="P21" s="64">
        <f t="shared" si="2"/>
        <v>2236.4269246126933</v>
      </c>
      <c r="Q21" s="64">
        <f t="shared" si="2"/>
        <v>2220.6997547546671</v>
      </c>
      <c r="R21" s="64">
        <f t="shared" si="2"/>
        <v>2199.4956026958289</v>
      </c>
      <c r="S21" s="64">
        <f t="shared" si="2"/>
        <v>2366.9430664925312</v>
      </c>
      <c r="T21" s="64">
        <f t="shared" si="2"/>
        <v>7863.8129942283331</v>
      </c>
      <c r="U21" s="64">
        <f t="shared" si="2"/>
        <v>5677.8333341217758</v>
      </c>
      <c r="V21" s="64">
        <f t="shared" si="2"/>
        <v>5631.5646384287302</v>
      </c>
      <c r="W21" s="64">
        <f t="shared" si="2"/>
        <v>1598.0532277688073</v>
      </c>
      <c r="X21" s="64">
        <f t="shared" si="2"/>
        <v>-1828.9523069912457</v>
      </c>
      <c r="Y21" s="64">
        <f t="shared" si="2"/>
        <v>-757.1199218350348</v>
      </c>
      <c r="Z21" s="64">
        <f t="shared" si="2"/>
        <v>-775.57982109449404</v>
      </c>
      <c r="AA21" s="64">
        <f t="shared" si="2"/>
        <v>-799.79228506760955</v>
      </c>
      <c r="AB21" s="64">
        <f t="shared" si="2"/>
        <v>-819.40728252105964</v>
      </c>
      <c r="AC21" s="64">
        <f t="shared" si="2"/>
        <v>-841.35257041515251</v>
      </c>
      <c r="AD21" s="64">
        <f t="shared" si="2"/>
        <v>-861.99773375322729</v>
      </c>
      <c r="AE21" s="64">
        <f t="shared" si="2"/>
        <v>-889.04062391942716</v>
      </c>
      <c r="AF21" s="64">
        <f t="shared" si="2"/>
        <v>-910.97955051746885</v>
      </c>
      <c r="AG21" s="64">
        <f t="shared" si="2"/>
        <v>-174.6203721615293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-46878.236484847337</v>
      </c>
      <c r="C25" s="18">
        <f t="shared" ref="C25:V25" si="3">+B29</f>
        <v>-46878.236484847337</v>
      </c>
      <c r="D25" s="18">
        <f t="shared" si="3"/>
        <v>-46878.236484847337</v>
      </c>
      <c r="E25" s="18">
        <f t="shared" si="3"/>
        <v>-46878.236484847337</v>
      </c>
      <c r="F25" s="18">
        <f t="shared" si="3"/>
        <v>-46878.236484847337</v>
      </c>
      <c r="G25" s="18">
        <f t="shared" si="3"/>
        <v>-46878.236484847337</v>
      </c>
      <c r="H25" s="18">
        <f t="shared" si="3"/>
        <v>-46878.236484847337</v>
      </c>
      <c r="I25" s="18">
        <f t="shared" si="3"/>
        <v>-46878.236484847337</v>
      </c>
      <c r="J25" s="18">
        <f t="shared" si="3"/>
        <v>-46878.236484847337</v>
      </c>
      <c r="K25" s="18">
        <f t="shared" si="3"/>
        <v>-46878.236484847337</v>
      </c>
      <c r="L25" s="18">
        <f t="shared" si="3"/>
        <v>-46878.236484847337</v>
      </c>
      <c r="M25" s="18">
        <f t="shared" si="3"/>
        <v>-46878.236484847337</v>
      </c>
      <c r="N25" s="18">
        <f t="shared" si="3"/>
        <v>-46878.236484847337</v>
      </c>
      <c r="O25" s="18">
        <f t="shared" si="3"/>
        <v>-46878.236484847337</v>
      </c>
      <c r="P25" s="18">
        <f t="shared" si="3"/>
        <v>-46878.236484847337</v>
      </c>
      <c r="Q25" s="18">
        <f t="shared" si="3"/>
        <v>-46878.236484847337</v>
      </c>
      <c r="R25" s="18">
        <f t="shared" si="3"/>
        <v>-46878.236484847337</v>
      </c>
      <c r="S25" s="18">
        <f t="shared" si="3"/>
        <v>-46878.236484847337</v>
      </c>
      <c r="T25" s="18">
        <f t="shared" si="3"/>
        <v>-46878.236484847337</v>
      </c>
      <c r="U25" s="18">
        <f t="shared" si="3"/>
        <v>-45577.376598497634</v>
      </c>
      <c r="V25" s="18">
        <f t="shared" si="3"/>
        <v>-45577.376598497634</v>
      </c>
      <c r="W25" s="18">
        <f t="shared" ref="W25:AG25" si="4">+V29</f>
        <v>-45577.376598497634</v>
      </c>
      <c r="X25" s="18">
        <f t="shared" si="4"/>
        <v>-45577.376598497634</v>
      </c>
      <c r="Y25" s="18">
        <f t="shared" si="4"/>
        <v>-45577.376598497634</v>
      </c>
      <c r="Z25" s="18">
        <f t="shared" si="4"/>
        <v>-45577.376598497634</v>
      </c>
      <c r="AA25" s="18">
        <f t="shared" si="4"/>
        <v>-45577.376598497634</v>
      </c>
      <c r="AB25" s="18">
        <f t="shared" si="4"/>
        <v>-45577.376598497634</v>
      </c>
      <c r="AC25" s="18">
        <f t="shared" si="4"/>
        <v>-45577.376598497634</v>
      </c>
      <c r="AD25" s="18">
        <f t="shared" si="4"/>
        <v>-45577.376598497634</v>
      </c>
      <c r="AE25" s="18">
        <f t="shared" si="4"/>
        <v>-45577.376598497634</v>
      </c>
      <c r="AF25" s="18">
        <f t="shared" si="4"/>
        <v>-45577.376598497634</v>
      </c>
      <c r="AG25" s="18">
        <f t="shared" si="4"/>
        <v>-45577.376598497634</v>
      </c>
    </row>
    <row r="26" spans="1:33" hidden="1">
      <c r="A26" s="45" t="s">
        <v>357</v>
      </c>
      <c r="B26" s="18">
        <v>0</v>
      </c>
      <c r="C26" s="18">
        <f>+-B25*$B$24</f>
        <v>6562.9531078786276</v>
      </c>
      <c r="D26" s="18">
        <f t="shared" ref="D26:V26" si="5">+-D25*$B$24</f>
        <v>6562.9531078786276</v>
      </c>
      <c r="E26" s="18">
        <f t="shared" si="5"/>
        <v>6562.9531078786276</v>
      </c>
      <c r="F26" s="18">
        <f t="shared" si="5"/>
        <v>6562.9531078786276</v>
      </c>
      <c r="G26" s="18">
        <f t="shared" si="5"/>
        <v>6562.9531078786276</v>
      </c>
      <c r="H26" s="18">
        <f t="shared" si="5"/>
        <v>6562.9531078786276</v>
      </c>
      <c r="I26" s="18">
        <f t="shared" si="5"/>
        <v>6562.9531078786276</v>
      </c>
      <c r="J26" s="18">
        <f t="shared" si="5"/>
        <v>6562.9531078786276</v>
      </c>
      <c r="K26" s="18">
        <f t="shared" si="5"/>
        <v>6562.9531078786276</v>
      </c>
      <c r="L26" s="18">
        <f t="shared" si="5"/>
        <v>6562.9531078786276</v>
      </c>
      <c r="M26" s="18">
        <f t="shared" si="5"/>
        <v>6562.9531078786276</v>
      </c>
      <c r="N26" s="18">
        <f t="shared" si="5"/>
        <v>6562.9531078786276</v>
      </c>
      <c r="O26" s="18">
        <f t="shared" si="5"/>
        <v>6562.9531078786276</v>
      </c>
      <c r="P26" s="18">
        <f t="shared" si="5"/>
        <v>6562.9531078786276</v>
      </c>
      <c r="Q26" s="18">
        <f t="shared" si="5"/>
        <v>6562.9531078786276</v>
      </c>
      <c r="R26" s="18">
        <f t="shared" si="5"/>
        <v>6562.9531078786276</v>
      </c>
      <c r="S26" s="18">
        <f t="shared" si="5"/>
        <v>6562.9531078786276</v>
      </c>
      <c r="T26" s="18">
        <f t="shared" si="5"/>
        <v>6562.9531078786276</v>
      </c>
      <c r="U26" s="18">
        <f t="shared" si="5"/>
        <v>6380.8327237896692</v>
      </c>
      <c r="V26" s="18">
        <f t="shared" si="5"/>
        <v>6380.8327237896692</v>
      </c>
      <c r="W26" s="18">
        <f t="shared" ref="W26:AG26" si="6">+-W25*$B$24</f>
        <v>6380.8327237896692</v>
      </c>
      <c r="X26" s="18">
        <f t="shared" si="6"/>
        <v>6380.8327237896692</v>
      </c>
      <c r="Y26" s="18">
        <f t="shared" si="6"/>
        <v>6380.8327237896692</v>
      </c>
      <c r="Z26" s="18">
        <f t="shared" si="6"/>
        <v>6380.8327237896692</v>
      </c>
      <c r="AA26" s="18">
        <f t="shared" si="6"/>
        <v>6380.8327237896692</v>
      </c>
      <c r="AB26" s="18">
        <f t="shared" si="6"/>
        <v>6380.8327237896692</v>
      </c>
      <c r="AC26" s="18">
        <f t="shared" si="6"/>
        <v>6380.8327237896692</v>
      </c>
      <c r="AD26" s="18">
        <f t="shared" si="6"/>
        <v>6380.8327237896692</v>
      </c>
      <c r="AE26" s="18">
        <f t="shared" si="6"/>
        <v>6380.8327237896692</v>
      </c>
      <c r="AF26" s="18">
        <f t="shared" si="6"/>
        <v>6380.8327237896692</v>
      </c>
      <c r="AG26" s="18">
        <f t="shared" si="6"/>
        <v>6380.8327237896692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3504.0031525851155</v>
      </c>
      <c r="D27" s="18">
        <f t="shared" si="7"/>
        <v>2459.5368158026649</v>
      </c>
      <c r="E27" s="18">
        <f t="shared" si="7"/>
        <v>2383.5652928345544</v>
      </c>
      <c r="F27" s="18">
        <f t="shared" si="7"/>
        <v>2366.5480957545569</v>
      </c>
      <c r="G27" s="18">
        <f t="shared" si="7"/>
        <v>2365.4287688161785</v>
      </c>
      <c r="H27" s="18">
        <f t="shared" si="7"/>
        <v>2347.7545472730599</v>
      </c>
      <c r="I27" s="18">
        <f t="shared" si="7"/>
        <v>2335.1449589755575</v>
      </c>
      <c r="J27" s="18">
        <f t="shared" si="7"/>
        <v>2316.8862417265536</v>
      </c>
      <c r="K27" s="18">
        <f t="shared" si="7"/>
        <v>2314.1552826741872</v>
      </c>
      <c r="L27" s="18">
        <f t="shared" si="7"/>
        <v>2295.1613250081145</v>
      </c>
      <c r="M27" s="18">
        <f t="shared" si="7"/>
        <v>2281.080664825141</v>
      </c>
      <c r="N27" s="18">
        <f t="shared" si="7"/>
        <v>2261.4322827881469</v>
      </c>
      <c r="O27" s="18">
        <f t="shared" si="7"/>
        <v>2256.8982297717175</v>
      </c>
      <c r="P27" s="18">
        <f t="shared" si="7"/>
        <v>2236.4269246126933</v>
      </c>
      <c r="Q27" s="18">
        <f t="shared" si="7"/>
        <v>2220.6997547546671</v>
      </c>
      <c r="R27" s="18">
        <f t="shared" si="7"/>
        <v>2199.4956026958289</v>
      </c>
      <c r="S27" s="18">
        <f t="shared" si="7"/>
        <v>2366.9430664925312</v>
      </c>
      <c r="T27" s="18">
        <f t="shared" si="7"/>
        <v>7863.8129942283331</v>
      </c>
      <c r="U27" s="18">
        <f t="shared" si="7"/>
        <v>5677.8333341217758</v>
      </c>
      <c r="V27" s="18">
        <f t="shared" si="7"/>
        <v>5631.5646384287302</v>
      </c>
      <c r="W27" s="18">
        <f t="shared" si="7"/>
        <v>1598.0532277688073</v>
      </c>
      <c r="X27" s="18">
        <f t="shared" si="7"/>
        <v>-1828.9523069912457</v>
      </c>
      <c r="Y27" s="18">
        <f t="shared" si="7"/>
        <v>-757.1199218350348</v>
      </c>
      <c r="Z27" s="18">
        <f t="shared" si="7"/>
        <v>-775.57982109449404</v>
      </c>
      <c r="AA27" s="18">
        <f t="shared" si="7"/>
        <v>-799.79228506760955</v>
      </c>
      <c r="AB27" s="18">
        <f t="shared" si="7"/>
        <v>-819.40728252105964</v>
      </c>
      <c r="AC27" s="18">
        <f t="shared" si="7"/>
        <v>-841.35257041515251</v>
      </c>
      <c r="AD27" s="18">
        <f t="shared" si="7"/>
        <v>-861.99773375322729</v>
      </c>
      <c r="AE27" s="18">
        <f t="shared" si="7"/>
        <v>-889.04062391942716</v>
      </c>
      <c r="AF27" s="18">
        <f t="shared" si="7"/>
        <v>-910.97955051746885</v>
      </c>
      <c r="AG27" s="18">
        <f t="shared" si="7"/>
        <v>-174.6203721615293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0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0</v>
      </c>
      <c r="K28" s="308">
        <f t="shared" si="8"/>
        <v>0</v>
      </c>
      <c r="L28" s="308">
        <f t="shared" si="8"/>
        <v>0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1300.8598863497054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 hidden="1">
      <c r="A29" s="45" t="s">
        <v>57</v>
      </c>
      <c r="B29" s="18">
        <f t="shared" ref="B29:V29" si="10">+B25+B28</f>
        <v>-46878.236484847337</v>
      </c>
      <c r="C29" s="18">
        <f t="shared" si="10"/>
        <v>-46878.236484847337</v>
      </c>
      <c r="D29" s="18">
        <f t="shared" si="10"/>
        <v>-46878.236484847337</v>
      </c>
      <c r="E29" s="18">
        <f t="shared" si="10"/>
        <v>-46878.236484847337</v>
      </c>
      <c r="F29" s="18">
        <f t="shared" si="10"/>
        <v>-46878.236484847337</v>
      </c>
      <c r="G29" s="18">
        <f t="shared" si="10"/>
        <v>-46878.236484847337</v>
      </c>
      <c r="H29" s="18">
        <f t="shared" si="10"/>
        <v>-46878.236484847337</v>
      </c>
      <c r="I29" s="18">
        <f t="shared" si="10"/>
        <v>-46878.236484847337</v>
      </c>
      <c r="J29" s="18">
        <f t="shared" si="10"/>
        <v>-46878.236484847337</v>
      </c>
      <c r="K29" s="18">
        <f t="shared" si="10"/>
        <v>-46878.236484847337</v>
      </c>
      <c r="L29" s="18">
        <f t="shared" si="10"/>
        <v>-46878.236484847337</v>
      </c>
      <c r="M29" s="18">
        <f t="shared" si="10"/>
        <v>-46878.236484847337</v>
      </c>
      <c r="N29" s="18">
        <f t="shared" si="10"/>
        <v>-46878.236484847337</v>
      </c>
      <c r="O29" s="18">
        <f t="shared" si="10"/>
        <v>-46878.236484847337</v>
      </c>
      <c r="P29" s="18">
        <f t="shared" si="10"/>
        <v>-46878.236484847337</v>
      </c>
      <c r="Q29" s="18">
        <f t="shared" si="10"/>
        <v>-46878.236484847337</v>
      </c>
      <c r="R29" s="18">
        <f t="shared" si="10"/>
        <v>-46878.236484847337</v>
      </c>
      <c r="S29" s="18">
        <f t="shared" si="10"/>
        <v>-46878.236484847337</v>
      </c>
      <c r="T29" s="18">
        <f t="shared" si="10"/>
        <v>-45577.376598497634</v>
      </c>
      <c r="U29" s="18">
        <f t="shared" si="10"/>
        <v>-45577.376598497634</v>
      </c>
      <c r="V29" s="18">
        <f t="shared" si="10"/>
        <v>-45577.376598497634</v>
      </c>
      <c r="W29" s="18">
        <f t="shared" ref="W29:AG29" si="11">+W25+W28</f>
        <v>-45577.376598497634</v>
      </c>
      <c r="X29" s="18">
        <f t="shared" si="11"/>
        <v>-45577.376598497634</v>
      </c>
      <c r="Y29" s="18">
        <f t="shared" si="11"/>
        <v>-45577.376598497634</v>
      </c>
      <c r="Z29" s="18">
        <f t="shared" si="11"/>
        <v>-45577.376598497634</v>
      </c>
      <c r="AA29" s="18">
        <f t="shared" si="11"/>
        <v>-45577.376598497634</v>
      </c>
      <c r="AB29" s="18">
        <f t="shared" si="11"/>
        <v>-45577.376598497634</v>
      </c>
      <c r="AC29" s="18">
        <f t="shared" si="11"/>
        <v>-45577.376598497634</v>
      </c>
      <c r="AD29" s="18">
        <f t="shared" si="11"/>
        <v>-45577.376598497634</v>
      </c>
      <c r="AE29" s="18">
        <f t="shared" si="11"/>
        <v>-45577.376598497634</v>
      </c>
      <c r="AF29" s="18">
        <f t="shared" si="11"/>
        <v>-45577.376598497634</v>
      </c>
      <c r="AG29" s="18">
        <f t="shared" si="11"/>
        <v>-45577.376598497634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-46878.236484847337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3504.0031525851155</v>
      </c>
      <c r="D37" s="308">
        <f>D21*Assumptions!$G$48</f>
        <v>2459.5368158026649</v>
      </c>
      <c r="E37" s="308">
        <f>E21*Assumptions!$G$48</f>
        <v>2383.5652928345544</v>
      </c>
      <c r="F37" s="308">
        <f>F21*Assumptions!$G$48</f>
        <v>2366.5480957545569</v>
      </c>
      <c r="G37" s="308">
        <f>G21*Assumptions!$G$48</f>
        <v>2365.4287688161785</v>
      </c>
      <c r="H37" s="308">
        <f>H21*Assumptions!$G$48</f>
        <v>2347.7545472730599</v>
      </c>
      <c r="I37" s="308">
        <f>I21*Assumptions!$G$48</f>
        <v>2335.1449589755575</v>
      </c>
      <c r="J37" s="308">
        <f>J21*Assumptions!$G$48</f>
        <v>2316.8862417265536</v>
      </c>
      <c r="K37" s="308">
        <f>K21*Assumptions!$G$48</f>
        <v>2314.1552826741872</v>
      </c>
      <c r="L37" s="308">
        <f>L21*Assumptions!$G$48</f>
        <v>2295.1613250081145</v>
      </c>
      <c r="M37" s="308">
        <f>M21*Assumptions!$G$48</f>
        <v>2281.080664825141</v>
      </c>
      <c r="N37" s="308">
        <f>N21*Assumptions!$G$48</f>
        <v>2261.4322827881469</v>
      </c>
      <c r="O37" s="308">
        <f>O21*Assumptions!$G$48</f>
        <v>2256.8982297717175</v>
      </c>
      <c r="P37" s="308">
        <f>P21*Assumptions!$G$48</f>
        <v>2236.4269246126933</v>
      </c>
      <c r="Q37" s="308">
        <f>Q21*Assumptions!$G$48</f>
        <v>2220.6997547546671</v>
      </c>
      <c r="R37" s="308">
        <f>R21*Assumptions!$G$48</f>
        <v>2199.4956026958289</v>
      </c>
      <c r="S37" s="308">
        <f>S21*Assumptions!$G$48</f>
        <v>2366.9430664925312</v>
      </c>
      <c r="T37" s="308">
        <f>T21*Assumptions!$G$48</f>
        <v>7863.8129942283331</v>
      </c>
      <c r="U37" s="308">
        <f>U21*Assumptions!$G$48</f>
        <v>5677.8333341217758</v>
      </c>
      <c r="V37" s="308">
        <f>V21*Assumptions!$G$48</f>
        <v>5631.5646384287302</v>
      </c>
      <c r="W37" s="308">
        <f>W21*Assumptions!$G$48</f>
        <v>1598.0532277688073</v>
      </c>
      <c r="X37" s="308">
        <f>X21*Assumptions!$G$48</f>
        <v>-1828.9523069912457</v>
      </c>
      <c r="Y37" s="308">
        <f>Y21*Assumptions!$G$48</f>
        <v>-757.1199218350348</v>
      </c>
      <c r="Z37" s="308">
        <f>Z21*Assumptions!$G$48</f>
        <v>-775.57982109449404</v>
      </c>
      <c r="AA37" s="308">
        <f>AA21*Assumptions!$G$48</f>
        <v>-799.79228506760955</v>
      </c>
      <c r="AB37" s="308">
        <f>AB21*Assumptions!$G$48</f>
        <v>-819.40728252105964</v>
      </c>
      <c r="AC37" s="308">
        <f>AC21*Assumptions!$G$48</f>
        <v>-841.35257041515251</v>
      </c>
      <c r="AD37" s="308">
        <f>AD21*Assumptions!$G$48</f>
        <v>-861.99773375322729</v>
      </c>
      <c r="AE37" s="308">
        <f>AE21*Assumptions!$G$48</f>
        <v>-889.04062391942716</v>
      </c>
      <c r="AF37" s="308">
        <f>AF21*Assumptions!$G$48</f>
        <v>-910.97955051746885</v>
      </c>
      <c r="AG37" s="308">
        <f>AG21*Assumptions!$G$48</f>
        <v>-174.6203721615293</v>
      </c>
    </row>
    <row r="38" spans="1:33" s="18" customFormat="1">
      <c r="A38" s="45" t="s">
        <v>352</v>
      </c>
      <c r="B38" s="18">
        <f t="shared" ref="B38:AG38" si="12">SUM(B36:B37)</f>
        <v>-46878.236484847337</v>
      </c>
      <c r="C38" s="18">
        <f t="shared" si="12"/>
        <v>3504.0031525851155</v>
      </c>
      <c r="D38" s="18">
        <f t="shared" si="12"/>
        <v>2459.5368158026649</v>
      </c>
      <c r="E38" s="18">
        <f t="shared" si="12"/>
        <v>2383.5652928345544</v>
      </c>
      <c r="F38" s="18">
        <f t="shared" si="12"/>
        <v>2366.5480957545569</v>
      </c>
      <c r="G38" s="18">
        <f t="shared" si="12"/>
        <v>2365.4287688161785</v>
      </c>
      <c r="H38" s="18">
        <f t="shared" si="12"/>
        <v>2347.7545472730599</v>
      </c>
      <c r="I38" s="18">
        <f t="shared" si="12"/>
        <v>2335.1449589755575</v>
      </c>
      <c r="J38" s="18">
        <f t="shared" si="12"/>
        <v>2316.8862417265536</v>
      </c>
      <c r="K38" s="18">
        <f t="shared" si="12"/>
        <v>2314.1552826741872</v>
      </c>
      <c r="L38" s="18">
        <f t="shared" si="12"/>
        <v>2295.1613250081145</v>
      </c>
      <c r="M38" s="18">
        <f t="shared" si="12"/>
        <v>2281.080664825141</v>
      </c>
      <c r="N38" s="18">
        <f t="shared" si="12"/>
        <v>2261.4322827881469</v>
      </c>
      <c r="O38" s="18">
        <f t="shared" si="12"/>
        <v>2256.8982297717175</v>
      </c>
      <c r="P38" s="18">
        <f t="shared" si="12"/>
        <v>2236.4269246126933</v>
      </c>
      <c r="Q38" s="18">
        <f t="shared" si="12"/>
        <v>2220.6997547546671</v>
      </c>
      <c r="R38" s="18">
        <f t="shared" si="12"/>
        <v>2199.4956026958289</v>
      </c>
      <c r="S38" s="18">
        <f t="shared" si="12"/>
        <v>2366.9430664925312</v>
      </c>
      <c r="T38" s="18">
        <f t="shared" si="12"/>
        <v>7863.8129942283331</v>
      </c>
      <c r="U38" s="18">
        <f t="shared" si="12"/>
        <v>5677.8333341217758</v>
      </c>
      <c r="V38" s="18">
        <f t="shared" si="12"/>
        <v>5631.5646384287302</v>
      </c>
      <c r="W38" s="18">
        <f t="shared" si="12"/>
        <v>1598.0532277688073</v>
      </c>
      <c r="X38" s="18">
        <f t="shared" si="12"/>
        <v>-1828.9523069912457</v>
      </c>
      <c r="Y38" s="18">
        <f t="shared" si="12"/>
        <v>-757.1199218350348</v>
      </c>
      <c r="Z38" s="18">
        <f t="shared" si="12"/>
        <v>-775.57982109449404</v>
      </c>
      <c r="AA38" s="18">
        <f t="shared" si="12"/>
        <v>-799.79228506760955</v>
      </c>
      <c r="AB38" s="18">
        <f t="shared" si="12"/>
        <v>-819.40728252105964</v>
      </c>
      <c r="AC38" s="18">
        <f t="shared" si="12"/>
        <v>-841.35257041515251</v>
      </c>
      <c r="AD38" s="18">
        <f t="shared" si="12"/>
        <v>-861.99773375322729</v>
      </c>
      <c r="AE38" s="18">
        <f t="shared" si="12"/>
        <v>-889.04062391942716</v>
      </c>
      <c r="AF38" s="18">
        <f t="shared" si="12"/>
        <v>-910.97955051746885</v>
      </c>
      <c r="AG38" s="18">
        <f t="shared" si="12"/>
        <v>-174.6203721615293</v>
      </c>
    </row>
    <row r="39" spans="1:33">
      <c r="B39" s="446" t="s">
        <v>1</v>
      </c>
      <c r="C39" s="452">
        <f>XIRR(B38:W38,B8:W8)</f>
        <v>2.1981081366539E-2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-46878.236484847337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3504.0031525851155</v>
      </c>
      <c r="D43" s="18">
        <f>D21*Assumptions!$G$48</f>
        <v>2459.5368158026649</v>
      </c>
      <c r="E43" s="18">
        <f>E21*Assumptions!$G$48</f>
        <v>2383.5652928345544</v>
      </c>
      <c r="F43" s="18">
        <f>F21*Assumptions!$G$48</f>
        <v>2366.5480957545569</v>
      </c>
      <c r="G43" s="18">
        <f>G21*Assumptions!$G$48</f>
        <v>2365.4287688161785</v>
      </c>
      <c r="H43" s="18">
        <f>H21*Assumptions!$G$48</f>
        <v>2347.7545472730599</v>
      </c>
      <c r="I43" s="18">
        <f>I21*Assumptions!$G$48</f>
        <v>2335.1449589755575</v>
      </c>
      <c r="J43" s="18">
        <f>J21*Assumptions!$G$48</f>
        <v>2316.8862417265536</v>
      </c>
      <c r="K43" s="18">
        <f>K21*Assumptions!$G$48</f>
        <v>2314.1552826741872</v>
      </c>
      <c r="L43" s="18">
        <f>L21*Assumptions!$G$48</f>
        <v>2295.1613250081145</v>
      </c>
      <c r="M43" s="18">
        <f>M21*Assumptions!$G$48</f>
        <v>2281.080664825141</v>
      </c>
      <c r="N43" s="18">
        <f>N21*Assumptions!$G$48</f>
        <v>2261.4322827881469</v>
      </c>
      <c r="O43" s="18">
        <f>O21*Assumptions!$G$48</f>
        <v>2256.8982297717175</v>
      </c>
      <c r="P43" s="18">
        <f>P21*Assumptions!$G$48</f>
        <v>2236.4269246126933</v>
      </c>
      <c r="Q43" s="18">
        <f>Q21*Assumptions!$G$48</f>
        <v>2220.6997547546671</v>
      </c>
      <c r="R43" s="18">
        <f>R21*Assumptions!$G$48</f>
        <v>2199.4956026958289</v>
      </c>
      <c r="S43" s="18">
        <f>S21*Assumptions!$G$48</f>
        <v>2366.9430664925312</v>
      </c>
      <c r="T43" s="18">
        <f>T21*Assumptions!$G$48</f>
        <v>7863.8129942283331</v>
      </c>
      <c r="U43" s="18">
        <f>U21*Assumptions!$G$48</f>
        <v>5677.8333341217758</v>
      </c>
      <c r="V43" s="18">
        <f>V21*Assumptions!$G$48</f>
        <v>5631.5646384287302</v>
      </c>
      <c r="W43" s="18">
        <f>W21*Assumptions!$G$48</f>
        <v>1598.0532277688073</v>
      </c>
      <c r="X43" s="18">
        <f>X21*Assumptions!$G$48</f>
        <v>-1828.9523069912457</v>
      </c>
      <c r="Y43" s="18">
        <f>Y21*Assumptions!$G$48</f>
        <v>-757.1199218350348</v>
      </c>
      <c r="Z43" s="18">
        <f>Z21*Assumptions!$G$48</f>
        <v>-775.57982109449404</v>
      </c>
      <c r="AA43" s="18">
        <f>AA21*Assumptions!$G$48</f>
        <v>-799.79228506760955</v>
      </c>
      <c r="AB43" s="18">
        <f>AB21*Assumptions!$G$48</f>
        <v>-819.40728252105964</v>
      </c>
      <c r="AC43" s="18">
        <f>AC21*Assumptions!$G$48</f>
        <v>-841.35257041515251</v>
      </c>
      <c r="AD43" s="18">
        <f>AD21*Assumptions!$G$48</f>
        <v>-861.99773375322729</v>
      </c>
      <c r="AE43" s="18">
        <f>AE21*Assumptions!$G$48</f>
        <v>-889.04062391942716</v>
      </c>
      <c r="AF43" s="18">
        <f>AF21*Assumptions!$G$48</f>
        <v>-910.97955051746885</v>
      </c>
      <c r="AG43" s="18">
        <f>AG21*Assumptions!$G$48</f>
        <v>-174.6203721615293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Assumptions!H23*IS!W32</f>
        <v>13217.975415788314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Assumptions!H23*IS!AF32*Assumptions!G48</f>
        <v>-19317.878484870678</v>
      </c>
    </row>
    <row r="45" spans="1:33">
      <c r="A45" s="56" t="s">
        <v>352</v>
      </c>
      <c r="B45" s="18">
        <f t="shared" ref="B45:AG45" si="13">SUM(B42:B44)</f>
        <v>-46878.236484847337</v>
      </c>
      <c r="C45" s="18">
        <f t="shared" si="13"/>
        <v>3504.0031525851155</v>
      </c>
      <c r="D45" s="18">
        <f t="shared" si="13"/>
        <v>2459.5368158026649</v>
      </c>
      <c r="E45" s="18">
        <f t="shared" si="13"/>
        <v>2383.5652928345544</v>
      </c>
      <c r="F45" s="18">
        <f t="shared" si="13"/>
        <v>2366.5480957545569</v>
      </c>
      <c r="G45" s="18">
        <f t="shared" si="13"/>
        <v>2365.4287688161785</v>
      </c>
      <c r="H45" s="18">
        <f t="shared" si="13"/>
        <v>2347.7545472730599</v>
      </c>
      <c r="I45" s="18">
        <f t="shared" si="13"/>
        <v>2335.1449589755575</v>
      </c>
      <c r="J45" s="18">
        <f t="shared" si="13"/>
        <v>2316.8862417265536</v>
      </c>
      <c r="K45" s="18">
        <f t="shared" si="13"/>
        <v>2314.1552826741872</v>
      </c>
      <c r="L45" s="18">
        <f t="shared" si="13"/>
        <v>2295.1613250081145</v>
      </c>
      <c r="M45" s="18">
        <f t="shared" si="13"/>
        <v>2281.080664825141</v>
      </c>
      <c r="N45" s="18">
        <f t="shared" si="13"/>
        <v>2261.4322827881469</v>
      </c>
      <c r="O45" s="18">
        <f t="shared" si="13"/>
        <v>2256.8982297717175</v>
      </c>
      <c r="P45" s="18">
        <f t="shared" si="13"/>
        <v>2236.4269246126933</v>
      </c>
      <c r="Q45" s="18">
        <f t="shared" si="13"/>
        <v>2220.6997547546671</v>
      </c>
      <c r="R45" s="18">
        <f t="shared" si="13"/>
        <v>2199.4956026958289</v>
      </c>
      <c r="S45" s="18">
        <f t="shared" si="13"/>
        <v>2366.9430664925312</v>
      </c>
      <c r="T45" s="18">
        <f t="shared" si="13"/>
        <v>7863.8129942283331</v>
      </c>
      <c r="U45" s="18">
        <f t="shared" si="13"/>
        <v>5677.8333341217758</v>
      </c>
      <c r="V45" s="18">
        <f t="shared" si="13"/>
        <v>5631.5646384287302</v>
      </c>
      <c r="W45" s="18">
        <f t="shared" si="13"/>
        <v>14816.028643557122</v>
      </c>
      <c r="X45" s="18">
        <f t="shared" si="13"/>
        <v>-1828.9523069912457</v>
      </c>
      <c r="Y45" s="18">
        <f t="shared" si="13"/>
        <v>-757.1199218350348</v>
      </c>
      <c r="Z45" s="18">
        <f t="shared" si="13"/>
        <v>-775.57982109449404</v>
      </c>
      <c r="AA45" s="18">
        <f t="shared" si="13"/>
        <v>-799.79228506760955</v>
      </c>
      <c r="AB45" s="18">
        <f t="shared" si="13"/>
        <v>-819.40728252105964</v>
      </c>
      <c r="AC45" s="18">
        <f t="shared" si="13"/>
        <v>-841.35257041515251</v>
      </c>
      <c r="AD45" s="18">
        <f t="shared" si="13"/>
        <v>-861.99773375322729</v>
      </c>
      <c r="AE45" s="18">
        <f t="shared" si="13"/>
        <v>-889.04062391942716</v>
      </c>
      <c r="AF45" s="18">
        <f t="shared" si="13"/>
        <v>-910.97955051746885</v>
      </c>
      <c r="AG45" s="18">
        <f t="shared" si="13"/>
        <v>-19492.498857032209</v>
      </c>
    </row>
    <row r="46" spans="1:33">
      <c r="A46" s="13"/>
      <c r="B46" s="446" t="s">
        <v>1</v>
      </c>
      <c r="C46" s="452">
        <f>XIRR(B45:W45,B8:W8)</f>
        <v>3.4805354475975034E-2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-46878.236484847337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3504.0031525851155</v>
      </c>
      <c r="D50" s="18">
        <f>+D21*Assumptions!$G$48</f>
        <v>2459.5368158026649</v>
      </c>
      <c r="E50" s="18">
        <f>+E21*Assumptions!$G$48</f>
        <v>2383.5652928345544</v>
      </c>
      <c r="F50" s="18">
        <f>+F21*Assumptions!$G$48</f>
        <v>2366.5480957545569</v>
      </c>
      <c r="G50" s="18">
        <f>+G21*Assumptions!$G$48</f>
        <v>2365.4287688161785</v>
      </c>
      <c r="H50" s="18">
        <f>+H21*Assumptions!$G$48</f>
        <v>2347.7545472730599</v>
      </c>
      <c r="I50" s="18">
        <f>+I21*Assumptions!$G$48</f>
        <v>2335.1449589755575</v>
      </c>
      <c r="J50" s="18">
        <f>+J21*Assumptions!$G$48</f>
        <v>2316.8862417265536</v>
      </c>
      <c r="K50" s="18">
        <f>+K21*Assumptions!$G$48</f>
        <v>2314.1552826741872</v>
      </c>
      <c r="L50" s="18">
        <f>+L21*Assumptions!$G$48</f>
        <v>2295.1613250081145</v>
      </c>
      <c r="M50" s="18">
        <f>+M21*Assumptions!$G$48</f>
        <v>2281.080664825141</v>
      </c>
      <c r="N50" s="18">
        <f>+N21*Assumptions!$G$48</f>
        <v>2261.4322827881469</v>
      </c>
      <c r="O50" s="18">
        <f>+O21*Assumptions!$G$48</f>
        <v>2256.8982297717175</v>
      </c>
      <c r="P50" s="18">
        <f>+P21*Assumptions!$G$48</f>
        <v>2236.4269246126933</v>
      </c>
      <c r="Q50" s="18">
        <f>+Q21*Assumptions!$G$48</f>
        <v>2220.6997547546671</v>
      </c>
      <c r="R50" s="18">
        <f>+R21*Assumptions!$G$48</f>
        <v>2199.4956026958289</v>
      </c>
      <c r="S50" s="18">
        <f>+S21*Assumptions!$G$48</f>
        <v>2366.9430664925312</v>
      </c>
      <c r="T50" s="18">
        <f>+T21*Assumptions!$G$48</f>
        <v>7863.8129942283331</v>
      </c>
      <c r="U50" s="18">
        <f>+U21*Assumptions!$G$48</f>
        <v>5677.8333341217758</v>
      </c>
      <c r="V50" s="18">
        <f>+V21*Assumptions!$G$48</f>
        <v>5631.5646384287302</v>
      </c>
      <c r="W50" s="18">
        <f>+W21*Assumptions!$G$48</f>
        <v>1598.0532277688073</v>
      </c>
      <c r="X50" s="18">
        <f>+X21*Assumptions!$G$48</f>
        <v>-1828.9523069912457</v>
      </c>
      <c r="Y50" s="18">
        <f>+Y21*Assumptions!$G$48</f>
        <v>-757.1199218350348</v>
      </c>
      <c r="Z50" s="18">
        <f>+Z21*Assumptions!$G$48</f>
        <v>-775.57982109449404</v>
      </c>
      <c r="AA50" s="18">
        <f>+AA21*Assumptions!$G$48</f>
        <v>-799.79228506760955</v>
      </c>
      <c r="AB50" s="18">
        <f>+AB21*Assumptions!$G$48</f>
        <v>-819.40728252105964</v>
      </c>
      <c r="AC50" s="18">
        <f>+AC21*Assumptions!$G$48</f>
        <v>-841.35257041515251</v>
      </c>
      <c r="AD50" s="18">
        <f>+AD21*Assumptions!$G$48</f>
        <v>-861.99773375322729</v>
      </c>
      <c r="AE50" s="18">
        <f>+AE21*Assumptions!$G$48</f>
        <v>-889.04062391942716</v>
      </c>
      <c r="AF50" s="18">
        <f>+AF21*Assumptions!$G$48</f>
        <v>-910.97955051746885</v>
      </c>
      <c r="AG50" s="18">
        <f>+AG21*Assumptions!$G$48</f>
        <v>-174.6203721615293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23216.2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-46878.236484847337</v>
      </c>
      <c r="C52" s="18">
        <f t="shared" ref="C52:AG52" si="14">SUM(C49:C51)</f>
        <v>3504.0031525851155</v>
      </c>
      <c r="D52" s="18">
        <f t="shared" si="14"/>
        <v>2459.5368158026649</v>
      </c>
      <c r="E52" s="18">
        <f t="shared" si="14"/>
        <v>2383.5652928345544</v>
      </c>
      <c r="F52" s="18">
        <f t="shared" si="14"/>
        <v>2366.5480957545569</v>
      </c>
      <c r="G52" s="18">
        <f t="shared" si="14"/>
        <v>2365.4287688161785</v>
      </c>
      <c r="H52" s="18">
        <f t="shared" si="14"/>
        <v>2347.7545472730599</v>
      </c>
      <c r="I52" s="18">
        <f t="shared" si="14"/>
        <v>2335.1449589755575</v>
      </c>
      <c r="J52" s="18">
        <f t="shared" si="14"/>
        <v>2316.8862417265536</v>
      </c>
      <c r="K52" s="18">
        <f t="shared" si="14"/>
        <v>2314.1552826741872</v>
      </c>
      <c r="L52" s="18">
        <f t="shared" si="14"/>
        <v>2295.1613250081145</v>
      </c>
      <c r="M52" s="18">
        <f t="shared" si="14"/>
        <v>2281.080664825141</v>
      </c>
      <c r="N52" s="18">
        <f t="shared" si="14"/>
        <v>2261.4322827881469</v>
      </c>
      <c r="O52" s="18">
        <f t="shared" si="14"/>
        <v>2256.8982297717175</v>
      </c>
      <c r="P52" s="18">
        <f t="shared" si="14"/>
        <v>2236.4269246126933</v>
      </c>
      <c r="Q52" s="18">
        <f t="shared" si="14"/>
        <v>2220.6997547546671</v>
      </c>
      <c r="R52" s="18">
        <f t="shared" si="14"/>
        <v>2199.4956026958289</v>
      </c>
      <c r="S52" s="18">
        <f t="shared" si="14"/>
        <v>2366.9430664925312</v>
      </c>
      <c r="T52" s="18">
        <f t="shared" si="14"/>
        <v>7863.8129942283331</v>
      </c>
      <c r="U52" s="18">
        <f t="shared" si="14"/>
        <v>5677.8333341217758</v>
      </c>
      <c r="V52" s="18">
        <f t="shared" si="14"/>
        <v>5631.5646384287302</v>
      </c>
      <c r="W52" s="18">
        <f t="shared" si="14"/>
        <v>24814.253227768808</v>
      </c>
      <c r="X52" s="18">
        <f t="shared" si="14"/>
        <v>-1828.9523069912457</v>
      </c>
      <c r="Y52" s="18">
        <f t="shared" si="14"/>
        <v>-757.1199218350348</v>
      </c>
      <c r="Z52" s="18">
        <f t="shared" si="14"/>
        <v>-775.57982109449404</v>
      </c>
      <c r="AA52" s="18">
        <f t="shared" si="14"/>
        <v>-799.79228506760955</v>
      </c>
      <c r="AB52" s="18">
        <f t="shared" si="14"/>
        <v>-819.40728252105964</v>
      </c>
      <c r="AC52" s="18">
        <f t="shared" si="14"/>
        <v>-841.35257041515251</v>
      </c>
      <c r="AD52" s="18">
        <f t="shared" si="14"/>
        <v>-861.99773375322729</v>
      </c>
      <c r="AE52" s="18">
        <f t="shared" si="14"/>
        <v>-889.04062391942716</v>
      </c>
      <c r="AF52" s="18">
        <f t="shared" si="14"/>
        <v>-910.97955051746885</v>
      </c>
      <c r="AG52" s="18">
        <f t="shared" si="14"/>
        <v>23041.579627838473</v>
      </c>
    </row>
    <row r="53" spans="1:33">
      <c r="A53" s="13"/>
      <c r="B53" s="446" t="s">
        <v>1</v>
      </c>
      <c r="C53" s="452">
        <f>XIRR(B52:W52,B8:W8)</f>
        <v>4.2352363467216492E-2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-46878.236484847337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3504.0031525851155</v>
      </c>
      <c r="D57" s="18">
        <f>D21*Assumptions!$G$48</f>
        <v>2459.5368158026649</v>
      </c>
      <c r="E57" s="18">
        <f>E21*Assumptions!$G$48</f>
        <v>2383.5652928345544</v>
      </c>
      <c r="F57" s="18">
        <f>F21*Assumptions!$G$48</f>
        <v>2366.5480957545569</v>
      </c>
      <c r="G57" s="18">
        <f>G21*Assumptions!$G$48</f>
        <v>2365.4287688161785</v>
      </c>
      <c r="H57" s="18">
        <f>H21*Assumptions!$G$48</f>
        <v>2347.7545472730599</v>
      </c>
      <c r="I57" s="18">
        <f>I21*Assumptions!$G$48</f>
        <v>2335.1449589755575</v>
      </c>
      <c r="J57" s="18">
        <f>J21*Assumptions!$G$48</f>
        <v>2316.8862417265536</v>
      </c>
      <c r="K57" s="18">
        <f>K21*Assumptions!$G$48</f>
        <v>2314.1552826741872</v>
      </c>
      <c r="L57" s="18">
        <f>L21*Assumptions!$G$48</f>
        <v>2295.1613250081145</v>
      </c>
      <c r="M57" s="18">
        <f>M21*Assumptions!$G$48</f>
        <v>2281.080664825141</v>
      </c>
      <c r="N57" s="18">
        <f>N21*Assumptions!$G$48</f>
        <v>2261.4322827881469</v>
      </c>
      <c r="O57" s="18">
        <f>O21*Assumptions!$G$48</f>
        <v>2256.8982297717175</v>
      </c>
      <c r="P57" s="18">
        <f>P21*Assumptions!$G$48</f>
        <v>2236.4269246126933</v>
      </c>
      <c r="Q57" s="18">
        <f>Q21*Assumptions!$G$48</f>
        <v>2220.6997547546671</v>
      </c>
      <c r="R57" s="18">
        <f>R21*Assumptions!$G$48</f>
        <v>2199.4956026958289</v>
      </c>
      <c r="S57" s="18">
        <f>S21*Assumptions!$G$48</f>
        <v>2366.9430664925312</v>
      </c>
      <c r="T57" s="18">
        <f>T21*Assumptions!$G$48</f>
        <v>7863.8129942283331</v>
      </c>
      <c r="U57" s="18">
        <f>U21*Assumptions!$G$48</f>
        <v>5677.8333341217758</v>
      </c>
      <c r="V57" s="18">
        <f>V21*Assumptions!$G$48</f>
        <v>5631.5646384287302</v>
      </c>
      <c r="W57" s="18">
        <f>W21*Assumptions!$G$48</f>
        <v>1598.0532277688073</v>
      </c>
      <c r="X57" s="18">
        <f>X21*Assumptions!$G$48</f>
        <v>-1828.9523069912457</v>
      </c>
      <c r="Y57" s="18">
        <f>Y21*Assumptions!$G$48</f>
        <v>-757.1199218350348</v>
      </c>
      <c r="Z57" s="18">
        <f>Z21*Assumptions!$G$48</f>
        <v>-775.57982109449404</v>
      </c>
      <c r="AA57" s="18">
        <f>AA21*Assumptions!$G$48</f>
        <v>-799.79228506760955</v>
      </c>
      <c r="AB57" s="18">
        <f>AB21*Assumptions!$G$48</f>
        <v>-819.40728252105964</v>
      </c>
      <c r="AC57" s="18">
        <f>AC21*Assumptions!$G$48</f>
        <v>-841.35257041515251</v>
      </c>
      <c r="AD57" s="18">
        <f>AD21*Assumptions!$G$48</f>
        <v>-861.99773375322729</v>
      </c>
      <c r="AE57" s="18">
        <f>AE21*Assumptions!$G$48</f>
        <v>-889.04062391942716</v>
      </c>
      <c r="AF57" s="18">
        <f>AF21*Assumptions!$G$48</f>
        <v>-910.97955051746885</v>
      </c>
      <c r="AG57" s="18">
        <f>AG21*Assumptions!$G$48</f>
        <v>-174.6203721615293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45500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45500</v>
      </c>
    </row>
    <row r="59" spans="1:33" s="18" customFormat="1" ht="12" customHeight="1">
      <c r="A59" s="56" t="s">
        <v>352</v>
      </c>
      <c r="B59" s="18">
        <f>SUM(B56:B58)</f>
        <v>-46878.236484847337</v>
      </c>
      <c r="C59" s="18">
        <f t="shared" ref="C59:AG59" si="15">SUM(C56:C58)</f>
        <v>3504.0031525851155</v>
      </c>
      <c r="D59" s="18">
        <f t="shared" si="15"/>
        <v>2459.5368158026649</v>
      </c>
      <c r="E59" s="18">
        <f t="shared" si="15"/>
        <v>2383.5652928345544</v>
      </c>
      <c r="F59" s="18">
        <f t="shared" si="15"/>
        <v>2366.5480957545569</v>
      </c>
      <c r="G59" s="18">
        <f t="shared" si="15"/>
        <v>2365.4287688161785</v>
      </c>
      <c r="H59" s="18">
        <f t="shared" si="15"/>
        <v>2347.7545472730599</v>
      </c>
      <c r="I59" s="18">
        <f t="shared" si="15"/>
        <v>2335.1449589755575</v>
      </c>
      <c r="J59" s="18">
        <f t="shared" si="15"/>
        <v>2316.8862417265536</v>
      </c>
      <c r="K59" s="18">
        <f t="shared" si="15"/>
        <v>2314.1552826741872</v>
      </c>
      <c r="L59" s="18">
        <f t="shared" si="15"/>
        <v>2295.1613250081145</v>
      </c>
      <c r="M59" s="18">
        <f t="shared" si="15"/>
        <v>2281.080664825141</v>
      </c>
      <c r="N59" s="18">
        <f t="shared" si="15"/>
        <v>2261.4322827881469</v>
      </c>
      <c r="O59" s="18">
        <f t="shared" si="15"/>
        <v>2256.8982297717175</v>
      </c>
      <c r="P59" s="18">
        <f t="shared" si="15"/>
        <v>2236.4269246126933</v>
      </c>
      <c r="Q59" s="18">
        <f t="shared" si="15"/>
        <v>2220.6997547546671</v>
      </c>
      <c r="R59" s="18">
        <f t="shared" si="15"/>
        <v>2199.4956026958289</v>
      </c>
      <c r="S59" s="18">
        <f t="shared" si="15"/>
        <v>2366.9430664925312</v>
      </c>
      <c r="T59" s="18">
        <f t="shared" si="15"/>
        <v>7863.8129942283331</v>
      </c>
      <c r="U59" s="18">
        <f t="shared" si="15"/>
        <v>5677.8333341217758</v>
      </c>
      <c r="V59" s="18">
        <f t="shared" si="15"/>
        <v>5631.5646384287302</v>
      </c>
      <c r="W59" s="18">
        <f t="shared" si="15"/>
        <v>47098.053227768811</v>
      </c>
      <c r="X59" s="18">
        <f t="shared" si="15"/>
        <v>-1828.9523069912457</v>
      </c>
      <c r="Y59" s="18">
        <f t="shared" si="15"/>
        <v>-757.1199218350348</v>
      </c>
      <c r="Z59" s="18">
        <f t="shared" si="15"/>
        <v>-775.57982109449404</v>
      </c>
      <c r="AA59" s="18">
        <f t="shared" si="15"/>
        <v>-799.79228506760955</v>
      </c>
      <c r="AB59" s="18">
        <f t="shared" si="15"/>
        <v>-819.40728252105964</v>
      </c>
      <c r="AC59" s="18">
        <f t="shared" si="15"/>
        <v>-841.35257041515251</v>
      </c>
      <c r="AD59" s="18">
        <f t="shared" si="15"/>
        <v>-861.99773375322729</v>
      </c>
      <c r="AE59" s="18">
        <f t="shared" si="15"/>
        <v>-889.04062391942716</v>
      </c>
      <c r="AF59" s="18">
        <f t="shared" si="15"/>
        <v>-910.97955051746885</v>
      </c>
      <c r="AG59" s="18">
        <f t="shared" si="15"/>
        <v>45325.379627838469</v>
      </c>
    </row>
    <row r="60" spans="1:33">
      <c r="A60" s="13"/>
      <c r="B60" s="446" t="s">
        <v>1</v>
      </c>
      <c r="C60" s="452">
        <f>XIRR(B59:W59,B8:W8)</f>
        <v>5.5458220839500416E-2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7" zoomScale="75" zoomScaleNormal="75" workbookViewId="0">
      <selection activeCell="D21" sqref="D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4.5</v>
      </c>
      <c r="E12" s="491">
        <f>Assumptions!$H$54</f>
        <v>4.5</v>
      </c>
      <c r="F12" s="491">
        <f>Assumptions!$H$54</f>
        <v>4.5</v>
      </c>
      <c r="G12" s="491">
        <f>Assumptions!$H$54</f>
        <v>4.5</v>
      </c>
      <c r="H12" s="491">
        <f>Assumptions!$H$54</f>
        <v>4.5</v>
      </c>
      <c r="I12" s="491">
        <f>Assumptions!$H$54</f>
        <v>4.5</v>
      </c>
      <c r="J12" s="491">
        <f>Assumptions!$H$54</f>
        <v>4.5</v>
      </c>
      <c r="K12" s="491">
        <f>Assumptions!$H$54</f>
        <v>4.5</v>
      </c>
      <c r="L12" s="491">
        <f>Assumptions!$H$54</f>
        <v>4.5</v>
      </c>
      <c r="M12" s="491">
        <f>Assumptions!$H$54</f>
        <v>4.5</v>
      </c>
      <c r="N12" s="491">
        <f>Assumptions!$H$54</f>
        <v>4.5</v>
      </c>
      <c r="O12" s="491">
        <f>Assumptions!$H$54</f>
        <v>4.5</v>
      </c>
      <c r="P12" s="491">
        <f>Assumptions!$H$54</f>
        <v>4.5</v>
      </c>
      <c r="Q12" s="491">
        <f>Assumptions!$H$54</f>
        <v>4.5</v>
      </c>
      <c r="R12" s="491">
        <f>Assumptions!$H$54</f>
        <v>4.5</v>
      </c>
      <c r="S12" s="491">
        <f>Assumptions!$H$54</f>
        <v>4.5</v>
      </c>
      <c r="T12" s="491">
        <f>Assumptions!$H$54</f>
        <v>4.5</v>
      </c>
      <c r="U12" s="491">
        <f>Assumptions!$H$54</f>
        <v>4.5</v>
      </c>
      <c r="V12" s="491">
        <f>Assumptions!$H$54</f>
        <v>4.5</v>
      </c>
      <c r="W12" s="491">
        <f>Assumptions!$H$54</f>
        <v>4.5</v>
      </c>
      <c r="X12" s="491">
        <f>Assumptions!$H$54</f>
        <v>4.5</v>
      </c>
      <c r="Y12" s="491">
        <f>Assumptions!$H$54</f>
        <v>4.5</v>
      </c>
      <c r="Z12" s="491">
        <f>Assumptions!$H$54</f>
        <v>4.5</v>
      </c>
      <c r="AA12" s="491">
        <f>Assumptions!$H$54</f>
        <v>4.5</v>
      </c>
      <c r="AB12" s="491">
        <f>Assumptions!$H$54</f>
        <v>4.5</v>
      </c>
      <c r="AC12" s="491">
        <f>Assumptions!$H$54</f>
        <v>4.5</v>
      </c>
      <c r="AD12" s="491">
        <f>Assumptions!$H$54</f>
        <v>4.5</v>
      </c>
      <c r="AE12" s="491">
        <f>Assumptions!$H$54</f>
        <v>4.5</v>
      </c>
      <c r="AF12" s="491">
        <f>Assumptions!$H$54</f>
        <v>4.5</v>
      </c>
      <c r="AG12" s="491">
        <f>Assumptions!$H$54</f>
        <v>4.5</v>
      </c>
      <c r="AH12" s="491">
        <f>Assumptions!$H$54</f>
        <v>4.5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4.5</v>
      </c>
      <c r="E21" s="503">
        <f>IF(AND(D7&lt;$D$7+Assumptions!$H$53,E7&lt;$D$7+Assumptions!$H$53),E12,IF(AND(D7&lt;$D$7+Assumptions!$H$53,E7&gt;=$D$7+Assumptions!$H$53),E12*(1-$D$7)+E19*$D$7,E19))</f>
        <v>4.5</v>
      </c>
      <c r="F21" s="503">
        <f>IF(AND(E7&lt;$D$7+Assumptions!$H$53,F7&lt;$D$7+Assumptions!$H$53),F12,IF(AND(E7&lt;$D$7+Assumptions!$H$53,F7&gt;=$D$7+Assumptions!$H$53),F12*(1-$D$7)+F19*$D$7,F19))</f>
        <v>4.5</v>
      </c>
      <c r="G21" s="503">
        <f>IF(AND(F7&lt;$D$7+Assumptions!$H$53,G7&lt;$D$7+Assumptions!$H$53),G12,IF(AND(F7&lt;$D$7+Assumptions!$H$53,G7&gt;=$D$7+Assumptions!$H$53),G12*(1-$D$7)+G19*$D$7,G19))</f>
        <v>4.5</v>
      </c>
      <c r="H21" s="503">
        <f>IF(AND(G7&lt;$D$7+Assumptions!$H$53,H7&lt;$D$7+Assumptions!$H$53),H12,IF(AND(G7&lt;$D$7+Assumptions!$H$53,H7&gt;=$D$7+Assumptions!$H$53),H12*(1-$D$7)+H19*$D$7,H19))</f>
        <v>4.5</v>
      </c>
      <c r="I21" s="503">
        <f>IF(AND(H7&lt;$D$7+Assumptions!$H$53,I7&lt;$D$7+Assumptions!$H$53),I12,IF(AND(H7&lt;$D$7+Assumptions!$H$53,I7&gt;=$D$7+Assumptions!$H$53),I12*(1-$D$7)+I19*$D$7,I19))</f>
        <v>4.5</v>
      </c>
      <c r="J21" s="503">
        <f>IF(AND(I7&lt;$D$7+Assumptions!$H$53,J7&lt;$D$7+Assumptions!$H$53),J12,IF(AND(I7&lt;$D$7+Assumptions!$H$53,J7&gt;=$D$7+Assumptions!$H$53),J12*(1-$D$7)+J19*$D$7,J19))</f>
        <v>4.5</v>
      </c>
      <c r="K21" s="503">
        <f>IF(AND(J7&lt;$D$7+Assumptions!$H$53,K7&lt;$D$7+Assumptions!$H$53),K12,IF(AND(J7&lt;$D$7+Assumptions!$H$53,K7&gt;=$D$7+Assumptions!$H$53),K12*(1-$D$7)+K19*$D$7,K19))</f>
        <v>4.5</v>
      </c>
      <c r="L21" s="503">
        <f>IF(AND(K7&lt;$D$7+Assumptions!$H$53,L7&lt;$D$7+Assumptions!$H$53),L12,IF(AND(K7&lt;$D$7+Assumptions!$H$53,L7&gt;=$D$7+Assumptions!$H$53),L12*(1-$D$7)+L19*$D$7,L19))</f>
        <v>4.5</v>
      </c>
      <c r="M21" s="503">
        <f>IF(AND(L7&lt;$D$7+Assumptions!$H$53,M7&lt;$D$7+Assumptions!$H$53),M12,IF(AND(L7&lt;$D$7+Assumptions!$H$53,M7&gt;=$D$7+Assumptions!$H$53),M12*(1-$D$7)+M19*$D$7,M19))</f>
        <v>4.5</v>
      </c>
      <c r="N21" s="503">
        <f>IF(AND(M7&lt;$D$7+Assumptions!$H$53,N7&lt;$D$7+Assumptions!$H$53),N12,IF(AND(M7&lt;$D$7+Assumptions!$H$53,N7&gt;=$D$7+Assumptions!$H$53),N12*(1-$D$7)+N19*$D$7,N19))</f>
        <v>4.5</v>
      </c>
      <c r="O21" s="503">
        <f>IF(AND(N7&lt;$D$7+Assumptions!$H$53,O7&lt;$D$7+Assumptions!$H$53),O12,IF(AND(N7&lt;$D$7+Assumptions!$H$53,O7&gt;=$D$7+Assumptions!$H$53),O12*(1-$D$7)+O19*$D$7,O19))</f>
        <v>4.5</v>
      </c>
      <c r="P21" s="503">
        <f>IF(AND(O7&lt;$D$7+Assumptions!$H$53,P7&lt;$D$7+Assumptions!$H$53),P12,IF(AND(O7&lt;$D$7+Assumptions!$H$53,P7&gt;=$D$7+Assumptions!$H$53),P12*(1-$D$7)+P19*$D$7,P19))</f>
        <v>4.5</v>
      </c>
      <c r="Q21" s="503">
        <f>IF(AND(P7&lt;$D$7+Assumptions!$H$53,Q7&lt;$D$7+Assumptions!$H$53),Q12,IF(AND(P7&lt;$D$7+Assumptions!$H$53,Q7&gt;=$D$7+Assumptions!$H$53),Q12*(1-$D$7)+Q19*$D$7,Q19))</f>
        <v>4.5</v>
      </c>
      <c r="R21" s="504">
        <f>IF(AND(Q7&lt;$D$7+Assumptions!$H$53,R7&lt;$D$7+Assumptions!$H$53),R12,IF(AND(Q7&lt;$D$7+Assumptions!$H$53,R7&gt;=$D$7+Assumptions!$H$53),R12*(1-$D$7)+R19*$D$7,R19))</f>
        <v>4.5</v>
      </c>
      <c r="S21" s="502">
        <f>IF(AND(R7&lt;$D$7+Assumptions!$H$53,S7&lt;$D$7+Assumptions!$H$53),S12,IF(AND(R7&lt;$D$7+Assumptions!$H$53,S7&gt;=$D$7+Assumptions!$H$53),S12*(1-$D$7)+S19*$D$7,S19))</f>
        <v>4.5</v>
      </c>
      <c r="T21" s="503">
        <f>IF(AND(S7&lt;$D$7+Assumptions!$H$53,T7&lt;$D$7+Assumptions!$H$53),T12,IF(AND(S7&lt;$D$7+Assumptions!$H$53,T7&gt;=$D$7+Assumptions!$H$53),T12*(1-$D$7)+T19*$D$7,T19))</f>
        <v>4.5</v>
      </c>
      <c r="U21" s="503">
        <f>IF(AND(T7&lt;$D$7+Assumptions!$H$53,U7&lt;$D$7+Assumptions!$H$53),U12,IF(AND(T7&lt;$D$7+Assumptions!$H$53,U7&gt;=$D$7+Assumptions!$H$53),U12*(1-$D$7)+U19*$D$7,U19))</f>
        <v>4.5</v>
      </c>
      <c r="V21" s="503">
        <f>IF(AND(U7&lt;$D$7+Assumptions!$H$53,V7&lt;$D$7+Assumptions!$H$53),V12,IF(AND(U7&lt;$D$7+Assumptions!$H$53,V7&gt;=$D$7+Assumptions!$H$53),V12*(1-$D$7)+V19*$D$7,V19))</f>
        <v>4.5</v>
      </c>
      <c r="W21" s="503">
        <f>IF(AND(V7&lt;$D$7+Assumptions!$H$53,W7&lt;$D$7+Assumptions!$H$53),W12,IF(AND(V7&lt;$D$7+Assumptions!$H$53,W7&gt;=$D$7+Assumptions!$H$53),W12*(1-$D$7)+W19*$D$7,W19))</f>
        <v>4.5</v>
      </c>
      <c r="X21" s="503">
        <f>IF(AND(W7&lt;$D$7+Assumptions!$H$53,X7&lt;$D$7+Assumptions!$H$53),X12,IF(AND(W7&lt;$D$7+Assumptions!$H$53,X7&gt;=$D$7+Assumptions!$H$53),X12*(1-$D$7)+X19*$D$7,X19))</f>
        <v>6.2540861277020436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2.2437828830049185</v>
      </c>
      <c r="E35" s="511">
        <f>Assumptions!$H$60*(1+Assumptions!$N$11)^(E7)</f>
        <v>2.3110963694950661</v>
      </c>
      <c r="F35" s="511">
        <f>Assumptions!$H$60*(1+Assumptions!$N$11)^(F7)</f>
        <v>2.3804292605799184</v>
      </c>
      <c r="G35" s="511">
        <f>Assumptions!$H$60*(1+Assumptions!$N$11)^(G7)</f>
        <v>2.4518421383973159</v>
      </c>
      <c r="H35" s="511">
        <f>Assumptions!$H$60*(1+Assumptions!$N$11)^(H7)</f>
        <v>2.5253974025492352</v>
      </c>
      <c r="I35" s="511">
        <f>Assumptions!$H$60*(1+Assumptions!$N$11)^(I7)</f>
        <v>2.6011593246257125</v>
      </c>
      <c r="J35" s="511">
        <f>Assumptions!$H$60*(1+Assumptions!$N$11)^(J7)</f>
        <v>2.679194104364484</v>
      </c>
      <c r="K35" s="511">
        <f>Assumptions!$H$60*(1+Assumptions!$N$11)^(K7)</f>
        <v>2.7595699274954186</v>
      </c>
      <c r="L35" s="511">
        <f>Assumptions!$H$60*(1+Assumptions!$N$11)^(L7)</f>
        <v>2.8423570253202812</v>
      </c>
      <c r="M35" s="511">
        <f>Assumptions!$H$60*(1+Assumptions!$N$11)^(M7)</f>
        <v>2.9276277360798897</v>
      </c>
      <c r="N35" s="511">
        <f>Assumptions!$H$60*(1+Assumptions!$N$11)^(N7)</f>
        <v>3.0154565681622865</v>
      </c>
      <c r="O35" s="511">
        <f>Assumptions!$H$60*(1+Assumptions!$N$11)^(O7)</f>
        <v>3.1059202652071551</v>
      </c>
      <c r="P35" s="511">
        <f>Assumptions!$H$60*(1+Assumptions!$N$11)^(P7)</f>
        <v>3.1990978731633701</v>
      </c>
      <c r="Q35" s="511">
        <f>Assumptions!$H$60*(1+Assumptions!$N$11)^(Q7)</f>
        <v>3.295070809358271</v>
      </c>
      <c r="R35" s="511">
        <f>Assumptions!$H$60*(1+Assumptions!$N$11)^(R7)</f>
        <v>3.3939229336390193</v>
      </c>
      <c r="S35" s="511">
        <f>Assumptions!$H$60*(1+Assumptions!$N$11)^(S7)</f>
        <v>3.4957406216481899</v>
      </c>
      <c r="T35" s="511">
        <f>Assumptions!$H$60*(1+Assumptions!$N$11)^(T7)</f>
        <v>3.6006128402976358</v>
      </c>
      <c r="U35" s="511">
        <f>Assumptions!$H$60*(1+Assumptions!$N$11)^(U7)</f>
        <v>3.7086312255065645</v>
      </c>
      <c r="V35" s="511">
        <f>Assumptions!$H$60*(1+Assumptions!$N$11)^(V7)</f>
        <v>3.8198901622717623</v>
      </c>
      <c r="W35" s="511">
        <f>Assumptions!$H$60*(1+Assumptions!$N$11)^(W7)</f>
        <v>3.9344868671399147</v>
      </c>
      <c r="X35" s="511">
        <f>Assumptions!$H$60*(1+Assumptions!$N$11)^(X7)</f>
        <v>4.0525214731541119</v>
      </c>
      <c r="Y35" s="511">
        <f>Assumptions!$H$60*(1+Assumptions!$N$11)^(Y7)</f>
        <v>4.1740971173487358</v>
      </c>
      <c r="Z35" s="511">
        <f>Assumptions!$H$60*(1+Assumptions!$N$11)^(Z7)</f>
        <v>4.2993200308691977</v>
      </c>
      <c r="AA35" s="511">
        <f>Assumptions!$H$60*(1+Assumptions!$N$11)^(AA7)</f>
        <v>4.4282996317952747</v>
      </c>
      <c r="AB35" s="511">
        <f>Assumptions!$H$60*(1+Assumptions!$N$11)^(AB7)</f>
        <v>4.5611486207491332</v>
      </c>
      <c r="AC35" s="511">
        <f>Assumptions!$H$60*(1+Assumptions!$N$11)^(AC7)</f>
        <v>4.6979830793716069</v>
      </c>
      <c r="AD35" s="511">
        <f>Assumptions!$H$60*(1+Assumptions!$N$11)^(AD7)</f>
        <v>4.8389225717527555</v>
      </c>
      <c r="AE35" s="511">
        <f>Assumptions!$H$60*(1+Assumptions!$N$11)^(AE7)</f>
        <v>4.9840902489053374</v>
      </c>
      <c r="AF35" s="511">
        <f>Assumptions!$H$60*(1+Assumptions!$N$11)^(AF7)</f>
        <v>5.133612956372497</v>
      </c>
      <c r="AG35" s="511">
        <f>Assumptions!$H$60*(1+Assumptions!$N$11)^(AG7)</f>
        <v>5.2876213450636733</v>
      </c>
      <c r="AH35" s="511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35.478556421754909</v>
      </c>
      <c r="E36" s="491">
        <f t="shared" ref="E36:AH36" si="5">SUM(E34:E35)</f>
        <v>35.350245659495073</v>
      </c>
      <c r="F36" s="491">
        <f t="shared" si="5"/>
        <v>35.754623199329913</v>
      </c>
      <c r="G36" s="491">
        <f t="shared" si="5"/>
        <v>36.340148802147318</v>
      </c>
      <c r="H36" s="491">
        <f t="shared" si="5"/>
        <v>37.03238209129924</v>
      </c>
      <c r="I36" s="491">
        <f t="shared" si="5"/>
        <v>37.766034025875705</v>
      </c>
      <c r="J36" s="491">
        <f t="shared" si="5"/>
        <v>38.523743255614484</v>
      </c>
      <c r="K36" s="491">
        <f t="shared" si="5"/>
        <v>39.336076178745422</v>
      </c>
      <c r="L36" s="491">
        <f t="shared" si="5"/>
        <v>40.203103026570282</v>
      </c>
      <c r="M36" s="491">
        <f t="shared" si="5"/>
        <v>41.124896137329884</v>
      </c>
      <c r="N36" s="491">
        <f t="shared" si="5"/>
        <v>42.10153001941228</v>
      </c>
      <c r="O36" s="491">
        <f t="shared" si="5"/>
        <v>43.008910122707157</v>
      </c>
      <c r="P36" s="491">
        <f t="shared" si="5"/>
        <v>43.829687943163364</v>
      </c>
      <c r="Q36" s="491">
        <f t="shared" si="5"/>
        <v>45.361255310608279</v>
      </c>
      <c r="R36" s="491">
        <f t="shared" si="5"/>
        <v>46.558043084889007</v>
      </c>
      <c r="S36" s="491">
        <f t="shared" si="5"/>
        <v>47.810079072898176</v>
      </c>
      <c r="T36" s="491">
        <f t="shared" si="5"/>
        <v>49.117452241547632</v>
      </c>
      <c r="U36" s="491">
        <f t="shared" si="5"/>
        <v>50.480254226756564</v>
      </c>
      <c r="V36" s="491">
        <f t="shared" si="5"/>
        <v>51.898579413521752</v>
      </c>
      <c r="W36" s="491">
        <f t="shared" si="5"/>
        <v>53.372525018389922</v>
      </c>
      <c r="X36" s="491">
        <f t="shared" si="5"/>
        <v>54.902191174404109</v>
      </c>
      <c r="Y36" s="491">
        <f t="shared" si="5"/>
        <v>27.178463117348738</v>
      </c>
      <c r="Z36" s="491">
        <f t="shared" si="5"/>
        <v>27.303686030869198</v>
      </c>
      <c r="AA36" s="491">
        <f t="shared" si="5"/>
        <v>27.432665631795274</v>
      </c>
      <c r="AB36" s="491">
        <f t="shared" si="5"/>
        <v>27.565514620749134</v>
      </c>
      <c r="AC36" s="491">
        <f t="shared" si="5"/>
        <v>27.702349079371608</v>
      </c>
      <c r="AD36" s="491">
        <f t="shared" si="5"/>
        <v>27.843288571752758</v>
      </c>
      <c r="AE36" s="491">
        <f t="shared" si="5"/>
        <v>27.988456248905337</v>
      </c>
      <c r="AF36" s="491">
        <f t="shared" si="5"/>
        <v>28.1379789563725</v>
      </c>
      <c r="AG36" s="491">
        <f t="shared" si="5"/>
        <v>28.291987345063674</v>
      </c>
      <c r="AH36" s="491">
        <f t="shared" si="5"/>
        <v>28.450615985415585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35.478556421754909</v>
      </c>
      <c r="E38" s="509">
        <f t="shared" ref="E38:AH38" si="6">IF($A$38="Pass-through",E36,E34)</f>
        <v>35.350245659495073</v>
      </c>
      <c r="F38" s="509">
        <f t="shared" si="6"/>
        <v>35.754623199329913</v>
      </c>
      <c r="G38" s="509">
        <f t="shared" si="6"/>
        <v>36.340148802147318</v>
      </c>
      <c r="H38" s="509">
        <f t="shared" si="6"/>
        <v>37.03238209129924</v>
      </c>
      <c r="I38" s="509">
        <f t="shared" si="6"/>
        <v>37.766034025875705</v>
      </c>
      <c r="J38" s="509">
        <f t="shared" si="6"/>
        <v>38.523743255614484</v>
      </c>
      <c r="K38" s="509">
        <f t="shared" si="6"/>
        <v>39.336076178745422</v>
      </c>
      <c r="L38" s="509">
        <f t="shared" si="6"/>
        <v>40.203103026570282</v>
      </c>
      <c r="M38" s="509">
        <f t="shared" si="6"/>
        <v>41.124896137329884</v>
      </c>
      <c r="N38" s="509">
        <f t="shared" si="6"/>
        <v>42.10153001941228</v>
      </c>
      <c r="O38" s="509">
        <f t="shared" si="6"/>
        <v>43.008910122707157</v>
      </c>
      <c r="P38" s="509">
        <f t="shared" si="6"/>
        <v>43.829687943163364</v>
      </c>
      <c r="Q38" s="509">
        <f t="shared" si="6"/>
        <v>45.361255310608279</v>
      </c>
      <c r="R38" s="510">
        <f t="shared" si="6"/>
        <v>46.558043084889007</v>
      </c>
      <c r="S38" s="508">
        <f t="shared" si="6"/>
        <v>47.810079072898176</v>
      </c>
      <c r="T38" s="509">
        <f t="shared" si="6"/>
        <v>49.117452241547632</v>
      </c>
      <c r="U38" s="509">
        <f t="shared" si="6"/>
        <v>50.480254226756564</v>
      </c>
      <c r="V38" s="509">
        <f t="shared" si="6"/>
        <v>51.898579413521752</v>
      </c>
      <c r="W38" s="509">
        <f t="shared" si="6"/>
        <v>53.372525018389922</v>
      </c>
      <c r="X38" s="509">
        <f t="shared" si="6"/>
        <v>54.902191174404109</v>
      </c>
      <c r="Y38" s="509">
        <f t="shared" si="6"/>
        <v>27.178463117348738</v>
      </c>
      <c r="Z38" s="509">
        <f t="shared" si="6"/>
        <v>27.303686030869198</v>
      </c>
      <c r="AA38" s="509">
        <f t="shared" si="6"/>
        <v>27.432665631795274</v>
      </c>
      <c r="AB38" s="509">
        <f t="shared" si="6"/>
        <v>27.565514620749134</v>
      </c>
      <c r="AC38" s="509">
        <f t="shared" si="6"/>
        <v>27.702349079371608</v>
      </c>
      <c r="AD38" s="509">
        <f t="shared" si="6"/>
        <v>27.843288571752758</v>
      </c>
      <c r="AE38" s="509">
        <f t="shared" si="6"/>
        <v>27.988456248905337</v>
      </c>
      <c r="AF38" s="509">
        <f t="shared" si="6"/>
        <v>28.1379789563725</v>
      </c>
      <c r="AG38" s="509">
        <f t="shared" si="6"/>
        <v>28.291987345063674</v>
      </c>
      <c r="AH38" s="510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21</vt:i4>
      </vt:variant>
    </vt:vector>
  </HeadingPairs>
  <TitlesOfParts>
    <vt:vector size="41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Amortization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Amortization!Print_Area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Summary!Print_Area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2000-04-19T15:01:20Z</cp:lastPrinted>
  <dcterms:created xsi:type="dcterms:W3CDTF">1999-04-02T01:38:38Z</dcterms:created>
  <dcterms:modified xsi:type="dcterms:W3CDTF">2023-09-13T22:56:08Z</dcterms:modified>
</cp:coreProperties>
</file>