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4863D2-EF65-4A13-90B0-7C217D7981BD}" xr6:coauthVersionLast="47" xr6:coauthVersionMax="47" xr10:uidLastSave="{00000000-0000-0000-0000-000000000000}"/>
  <bookViews>
    <workbookView xWindow="-120" yWindow="-120" windowWidth="38640" windowHeight="15720" tabRatio="368" firstSheet="2" activeTab="2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T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U16" i="9"/>
  <c r="V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V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S11" i="7"/>
  <c r="Y11" i="7"/>
  <c r="AA11" i="7"/>
  <c r="AB11" i="7"/>
  <c r="T12" i="7"/>
  <c r="U12" i="7"/>
  <c r="V12" i="7"/>
  <c r="W12" i="7"/>
  <c r="Y12" i="7"/>
  <c r="AA12" i="7"/>
  <c r="AB12" i="7"/>
  <c r="T13" i="7"/>
  <c r="U13" i="7"/>
  <c r="V13" i="7"/>
  <c r="W13" i="7"/>
  <c r="Y13" i="7"/>
  <c r="AA13" i="7"/>
  <c r="AB13" i="7"/>
  <c r="T14" i="7"/>
  <c r="U14" i="7"/>
  <c r="V14" i="7"/>
  <c r="W14" i="7"/>
  <c r="Y14" i="7"/>
  <c r="AA14" i="7"/>
  <c r="AB14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T23" i="7"/>
  <c r="Y23" i="7"/>
  <c r="Z23" i="7"/>
  <c r="AA23" i="7"/>
  <c r="AB23" i="7"/>
  <c r="L24" i="7"/>
  <c r="Y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Y16" i="5"/>
  <c r="Z16" i="5"/>
  <c r="AA16" i="5"/>
  <c r="AB16" i="5"/>
  <c r="Y17" i="5"/>
  <c r="Z17" i="5"/>
  <c r="AA17" i="5"/>
  <c r="AB17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Y21" i="5"/>
  <c r="AA21" i="5"/>
  <c r="S22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Y25" i="5"/>
  <c r="Z25" i="5"/>
  <c r="Y26" i="5"/>
  <c r="AA26" i="5"/>
  <c r="AB26" i="5"/>
  <c r="Y27" i="5"/>
  <c r="AA27" i="5"/>
  <c r="AB27" i="5"/>
  <c r="T28" i="5"/>
  <c r="Y28" i="5"/>
  <c r="AA28" i="5"/>
  <c r="AB28" i="5"/>
  <c r="Y29" i="5"/>
  <c r="Z29" i="5"/>
  <c r="AA29" i="5"/>
  <c r="AB29" i="5"/>
  <c r="Y30" i="5"/>
  <c r="AB30" i="5"/>
  <c r="S31" i="5"/>
  <c r="T31" i="5"/>
  <c r="U31" i="5"/>
  <c r="Y31" i="5"/>
  <c r="I32" i="5"/>
  <c r="J32" i="5"/>
  <c r="L32" i="5"/>
  <c r="T32" i="5"/>
  <c r="U32" i="5"/>
  <c r="Y32" i="5"/>
  <c r="O33" i="5"/>
  <c r="S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<sst xmlns="http://schemas.openxmlformats.org/spreadsheetml/2006/main" count="565" uniqueCount="125">
  <si>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</si>
  <si>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</si>
  <si>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</si>
  <si>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</si>
  <si>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</si>
  <si>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</si>
  <si>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</si>
  <si>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</si>
  <si>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</si>
  <si>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</si>
  <si>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</si>
  <si>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</si>
  <si>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</si>
  <si>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</si>
  <si>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</si>
  <si>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</si>
  <si>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</si>
  <si>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</si>
  <si>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</si>
  <si>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</si>
  <si>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</si>
  <si>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</si>
  <si>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</si>
  <si>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</si>
  <si>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</si>
  <si>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</si>
  <si>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</si>
  <si>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</si>
  <si>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</si>
  <si>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</si>
  <si>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</si>
  <si>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</si>
  <si>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</si>
  <si>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</si>
  <si>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</si>
  <si>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</si>
  <si>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</si>
  <si>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</si>
  <si>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</si>
  <si>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</si>
  <si>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</si>
  <si>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</si>
  <si>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</si>
  <si>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</si>
  <si>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</si>
  <si>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</si>
  <si>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</si>
  <si>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</si>
  <si>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</si>
  <si>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</si>
  <si>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</si>
  <si>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</si>
  <si>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</si>
  <si>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</si>
  <si>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</si>
  <si>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</si>
  <si>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</si>
  <si>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</si>
  <si>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</si>
  <si>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</si>
  <si>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</si>
  <si>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</si>
  <si>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</si>
  <si>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</si>
  <si>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</si>
  <si>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</si>
  <si>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</si>
  <si>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</si>
  <si>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</si>
  <si>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</si>
  <si>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</si>
  <si>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</si>
  <si>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</si>
  <si>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</si>
  <si>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</si>
  <si>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</si>
  <si>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</si>
  <si>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</si>
  <si>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</si>
  <si>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</si>
  <si>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</si>
  <si>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</si>
  <si>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</si>
  <si>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</si>
  <si>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</si>
  <si>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</si>
  <si>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</si>
  <si>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</si>
  <si>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</si>
  <si>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</si>
  <si>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</si>
  <si>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</si>
  <si>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</si>
  <si>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</si>
  <si>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</si>
  <si>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</si>
  <si>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</si>
  <si>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</si>
  <si>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</si>
  <si>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</si>
  <si>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</si>
  <si>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</si>
  <si>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</si>
  <si>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</si>
  <si>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</si>
  <si>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</si>
  <si>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</si>
  <si>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</si>
  <si>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</si>
  <si>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</si>
  <si>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</si>
  <si>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</si>
  <si>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</si>
  <si>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</si>
  <si>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</si>
  <si>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</si>
  <si>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</si>
  <si>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</si>
  <si>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</si>
  <si>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</si>
  <si>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</si>
  <si>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</si>
  <si>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</si>
  <si>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 xml:space="preserve">Sales Tax </t>
  </si>
  <si>
    <t>Last updated:  Actuals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</si>
</sst>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42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0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10900000</v>
          </cell>
        </row>
        <row r="146">
          <cell r="BR146">
            <v>1500000</v>
          </cell>
        </row>
        <row r="152">
          <cell r="BR152">
            <v>200000</v>
          </cell>
        </row>
        <row r="161">
          <cell r="BR161">
            <v>1126472.3199999998</v>
          </cell>
        </row>
        <row r="168">
          <cell r="BR168">
            <v>558423.13</v>
          </cell>
        </row>
        <row r="200">
          <cell r="BR200">
            <v>274379080.55563486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-0.44000000134110451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729789.02</v>
          </cell>
        </row>
        <row r="181">
          <cell r="BT181">
            <v>4669636.57</v>
          </cell>
        </row>
        <row r="183">
          <cell r="BT183">
            <v>1100000</v>
          </cell>
        </row>
        <row r="189">
          <cell r="BT189">
            <v>500000</v>
          </cell>
        </row>
        <row r="191">
          <cell r="BT191">
            <v>200935.25</v>
          </cell>
        </row>
        <row r="202">
          <cell r="BT202">
            <v>897105.05</v>
          </cell>
        </row>
        <row r="208">
          <cell r="BT208">
            <v>752208.46</v>
          </cell>
        </row>
        <row r="224">
          <cell r="BT224">
            <v>178701597.82715446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1899602.57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836646.91999999993</v>
          </cell>
        </row>
        <row r="167">
          <cell r="BR167">
            <v>701672.13</v>
          </cell>
        </row>
        <row r="200">
          <cell r="BR200">
            <v>162962753.66003972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Plants\Weekly Report\[2000 Weekly Report - 042500.xls]Summary</v>
      </c>
    </row>
    <row r="3" spans="1:23" s="2" customFormat="1" ht="15.75" x14ac:dyDescent="0.25">
      <c r="A3" s="1" t="s">
        <v>2</v>
      </c>
      <c r="F3" s="3"/>
      <c r="V3" s="24">
        <f ca="1">NOW()</f>
        <v>36641.604211921294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47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46"/>
    </row>
    <row r="2" spans="1:26" s="2" customFormat="1" ht="15.75" x14ac:dyDescent="0.25">
      <c r="A2" s="1" t="s">
        <v>1</v>
      </c>
      <c r="D2" s="1" t="str">
        <f>Wilton!D2</f>
        <v>Last updated:  Actuals through April 14, 2000</v>
      </c>
      <c r="L2" s="46"/>
      <c r="X2" s="25" t="str">
        <f ca="1">CELL("filename")</f>
        <v>O:\Fin_Ops\Engysvc\PowerPlants\2000 Plants\Weekly Report\[2000 Weekly Report - 042500.xls]Summary</v>
      </c>
    </row>
    <row r="3" spans="1:26" s="2" customFormat="1" ht="15.75" x14ac:dyDescent="0.25">
      <c r="A3" s="1" t="s">
        <v>2</v>
      </c>
      <c r="D3" s="26"/>
      <c r="F3" s="3"/>
      <c r="L3" s="46"/>
      <c r="X3" s="24">
        <f ca="1">NOW()</f>
        <v>36641.604211921294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2"/>
      <c r="X47" s="11"/>
    </row>
    <row r="48" spans="1:25" s="4" customFormat="1" x14ac:dyDescent="0.2">
      <c r="L48" s="52"/>
    </row>
    <row r="49" spans="1:27" s="4" customFormat="1" x14ac:dyDescent="0.2">
      <c r="L49" s="52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2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2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tabSelected="1" workbookViewId="0">
      <pane xSplit="2" ySplit="6" topLeftCell="R55" activePane="bottomRight" state="frozen"/>
      <selection pane="topRight"/>
      <selection pane="bottomLeft"/>
      <selection pane="bottomRight" activeCell="AB55" sqref="AB55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3" width="12.28515625" style="18" customWidth="1"/>
    <col min="14" max="14" width="12.85546875" style="18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hidden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124</v>
      </c>
      <c r="Y2" s="25" t="str">
        <f ca="1">CELL("filename")</f>
        <v>O:\Fin_Ops\Engysvc\PowerPlants\2000 Plants\Weekly Report\[2000 Weekly Report - 042500.xls]Summary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36641.604211921294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T16" s="18">
        <v>1746094</v>
      </c>
      <c r="U16" s="18">
        <v>11227031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T17" s="18">
        <v>231962</v>
      </c>
      <c r="U17" s="18">
        <v>2997991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T18" s="18">
        <v>3000000</v>
      </c>
      <c r="U18" s="18">
        <v>26498294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T19" s="18">
        <f>199984-63285</f>
        <v>136699</v>
      </c>
      <c r="U19" s="17">
        <v>1947413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S20" s="18">
        <v>19510321</v>
      </c>
      <c r="U20" s="18">
        <v>-37566984</v>
      </c>
      <c r="Y20" s="11">
        <f t="shared" si="0"/>
        <v>-1184629</v>
      </c>
      <c r="Z20" s="19" t="e">
        <f>#REF!</f>
        <v>#REF!</v>
      </c>
      <c r="AA20" s="18">
        <f>[1]Wilton!$BR$86</f>
        <v>0</v>
      </c>
      <c r="AB20" s="18">
        <f t="shared" si="1"/>
        <v>-1184629</v>
      </c>
    </row>
    <row r="21" spans="1:28" x14ac:dyDescent="0.2">
      <c r="A21" s="17" t="s">
        <v>123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f>125000+100000</f>
        <v>225000</v>
      </c>
      <c r="T22" s="18">
        <f>125000+113000</f>
        <v>238000</v>
      </c>
      <c r="U22" s="17">
        <f>908786-625000-16652</f>
        <v>267134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F23" s="8"/>
      <c r="S23" s="18">
        <v>500000</v>
      </c>
      <c r="T23" s="18">
        <v>500000</v>
      </c>
      <c r="U23" s="18">
        <f>1253881-1000000</f>
        <v>253881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T25" s="18">
        <v>73458</v>
      </c>
      <c r="U25" s="18">
        <v>48750</v>
      </c>
      <c r="Y25" s="11">
        <f t="shared" si="0"/>
        <v>349954.45999999996</v>
      </c>
      <c r="Z25" s="19" t="str">
        <f>Z24</f>
        <v>Scott Healy</v>
      </c>
    </row>
    <row r="26" spans="1:28" x14ac:dyDescent="0.2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220337</v>
      </c>
      <c r="T27" s="18">
        <v>200000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>2750000+3250000</f>
        <v>6000000</v>
      </c>
      <c r="U28" s="18">
        <v>4900000</v>
      </c>
      <c r="Y28" s="11">
        <f t="shared" si="0"/>
        <v>10900000</v>
      </c>
      <c r="Z28" s="19" t="s">
        <v>53</v>
      </c>
      <c r="AA28" s="18">
        <f>[1]Wilton!$BR$142</f>
        <v>10900000</v>
      </c>
      <c r="AB28" s="18">
        <f t="shared" si="1"/>
        <v>0</v>
      </c>
    </row>
    <row r="29" spans="1:28" x14ac:dyDescent="0.2">
      <c r="A29" s="17" t="s">
        <v>27</v>
      </c>
      <c r="C29" s="4">
        <v>0</v>
      </c>
      <c r="F29" s="8"/>
      <c r="S29" s="18">
        <v>0</v>
      </c>
      <c r="T29" s="18">
        <v>1000000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Y30" s="11">
        <f t="shared" si="0"/>
        <v>266248.5</v>
      </c>
      <c r="Z30" s="19" t="s">
        <v>52</v>
      </c>
      <c r="AA30" s="18">
        <v>266249</v>
      </c>
      <c r="AB30" s="18">
        <f t="shared" si="1"/>
        <v>-0.5</v>
      </c>
    </row>
    <row r="31" spans="1:28" x14ac:dyDescent="0.2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f>6712-438+13334-19124+13334</f>
        <v>13818</v>
      </c>
      <c r="T31" s="18">
        <f>5588+13333</f>
        <v>18921</v>
      </c>
      <c r="U31" s="17">
        <f>6742+33723+13333-9119.08</f>
        <v>44678.92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105000</v>
      </c>
      <c r="T32" s="17">
        <f>1786+68710-42019</f>
        <v>28477</v>
      </c>
      <c r="U32" s="18">
        <f>36960-8586+14604</f>
        <v>42978</v>
      </c>
      <c r="Y32" s="11">
        <f t="shared" si="0"/>
        <v>782479.98</v>
      </c>
      <c r="Z32" s="19" t="s">
        <v>52</v>
      </c>
    </row>
    <row r="33" spans="1:27" x14ac:dyDescent="0.2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f>153+18251+5000+50000</f>
        <v>73404</v>
      </c>
      <c r="T33" s="18">
        <f>54925-5848.5+50000</f>
        <v>99076.5</v>
      </c>
      <c r="U33" s="18">
        <f>15544+19571</f>
        <v>35115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21580464.333333332</v>
      </c>
      <c r="T34" s="21">
        <f t="shared" si="5"/>
        <v>14177625.833333334</v>
      </c>
      <c r="U34" s="21">
        <f t="shared" si="5"/>
        <v>15693213.253333336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261237305.54666665</v>
      </c>
    </row>
    <row r="35" spans="1:27" x14ac:dyDescent="0.2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231366466.45999998</v>
      </c>
      <c r="T35" s="21">
        <f t="shared" si="6"/>
        <v>245544092.29333332</v>
      </c>
      <c r="U35" s="21">
        <f t="shared" si="6"/>
        <v>261237305.54666665</v>
      </c>
      <c r="V35" s="21">
        <f>+U35+V34</f>
        <v>261237305.54666665</v>
      </c>
      <c r="W35" s="21">
        <f>+V35+W34</f>
        <v>261237305.54666665</v>
      </c>
      <c r="X35" s="21">
        <f>+W35+X34</f>
        <v>261237305.54666665</v>
      </c>
      <c r="Y35" s="13"/>
    </row>
    <row r="36" spans="1:27" x14ac:dyDescent="0.2">
      <c r="A36" s="17" t="s">
        <v>64</v>
      </c>
      <c r="F36" s="8"/>
      <c r="Y36" s="16">
        <f>+Y34/C51/1000</f>
        <v>429.66662096491223</v>
      </c>
      <c r="Z36" s="20"/>
    </row>
    <row r="37" spans="1:27" x14ac:dyDescent="0.2">
      <c r="F37" s="8"/>
      <c r="Y37" s="11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1298703.0029541606</v>
      </c>
      <c r="T39" s="30">
        <f>(T35+S44)*$C49/12</f>
        <v>1382533.1174840513</v>
      </c>
      <c r="U39" s="30">
        <f>(U35+T44)*$C49/12</f>
        <v>1475026.7436593121</v>
      </c>
      <c r="V39" s="30"/>
      <c r="W39" s="30"/>
      <c r="X39" s="30"/>
      <c r="Y39" s="11">
        <f>SUM(C39:X39)</f>
        <v>12555239.295634866</v>
      </c>
      <c r="Z39" s="19">
        <f>Z52</f>
        <v>0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1298703.0029541606</v>
      </c>
      <c r="T43" s="21">
        <f t="shared" si="7"/>
        <v>1382533.1174840513</v>
      </c>
      <c r="U43" s="21">
        <f t="shared" si="7"/>
        <v>1475026.7436593121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12550350.795634866</v>
      </c>
      <c r="Z43" s="20"/>
    </row>
    <row r="44" spans="1:27" x14ac:dyDescent="0.2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9692790.9344915021</v>
      </c>
      <c r="T44" s="21">
        <f t="shared" si="9"/>
        <v>11075324.051975554</v>
      </c>
      <c r="U44" s="21">
        <f t="shared" si="9"/>
        <v>12550350.795634866</v>
      </c>
      <c r="V44" s="21">
        <f>+V43+U44</f>
        <v>12550350.795634866</v>
      </c>
      <c r="W44" s="21">
        <f>+W43+V44</f>
        <v>12550350.795634866</v>
      </c>
      <c r="X44" s="21">
        <f>+X43+W44</f>
        <v>12550350.795634866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22879167.336287491</v>
      </c>
      <c r="T46" s="4">
        <f t="shared" si="10"/>
        <v>15560158.950817386</v>
      </c>
      <c r="U46" s="4">
        <f t="shared" si="10"/>
        <v>17168239.996992648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273787656.34230149</v>
      </c>
    </row>
    <row r="47" spans="1:27" s="4" customFormat="1" x14ac:dyDescent="0.2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241059257.39449149</v>
      </c>
      <c r="T47" s="4">
        <f t="shared" si="11"/>
        <v>256619416.34530887</v>
      </c>
      <c r="U47" s="4">
        <f t="shared" si="11"/>
        <v>273787656.34230149</v>
      </c>
      <c r="V47" s="4">
        <f>U47+V46</f>
        <v>273787656.34230149</v>
      </c>
      <c r="W47" s="4">
        <f>V47+W46</f>
        <v>273787656.34230149</v>
      </c>
      <c r="X47" s="4">
        <f>W47+X46</f>
        <v>273787656.34230149</v>
      </c>
      <c r="Y47" s="11"/>
    </row>
    <row r="48" spans="1:27" s="4" customFormat="1" x14ac:dyDescent="0.2">
      <c r="A48" s="17" t="s">
        <v>64</v>
      </c>
      <c r="Y48" s="16">
        <f>+Y46/C51/1000</f>
        <v>450.30864529983796</v>
      </c>
    </row>
    <row r="49" spans="1:30" s="4" customFormat="1" x14ac:dyDescent="0.2">
      <c r="A49" s="8" t="s">
        <v>96</v>
      </c>
      <c r="C49" s="12">
        <v>6.5000000000000002E-2</v>
      </c>
      <c r="Y49" s="11"/>
    </row>
    <row r="50" spans="1:30" s="4" customFormat="1" x14ac:dyDescent="0.2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">
      <c r="A51" s="8"/>
      <c r="C51" s="4">
        <v>608</v>
      </c>
      <c r="D51" s="4" t="s">
        <v>66</v>
      </c>
      <c r="Y51" s="11"/>
    </row>
    <row r="52" spans="1:30" x14ac:dyDescent="0.2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">
      <c r="A53" s="8"/>
      <c r="C53" s="12"/>
      <c r="Y53" s="11"/>
    </row>
    <row r="54" spans="1:30" x14ac:dyDescent="0.2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21580464.333333332</v>
      </c>
      <c r="T54" s="4">
        <f t="shared" si="12"/>
        <v>14177625.833333334</v>
      </c>
      <c r="U54" s="4">
        <f t="shared" si="12"/>
        <v>15693213.253333336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261232417.04666665</v>
      </c>
    </row>
    <row r="55" spans="1:30" ht="9.75" customHeight="1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">
      <c r="Y56" s="11"/>
    </row>
    <row r="57" spans="1:30" ht="20.25" x14ac:dyDescent="0.55000000000000004">
      <c r="A57" s="32" t="s">
        <v>81</v>
      </c>
      <c r="Y57" s="11"/>
      <c r="AB57" s="17" t="s">
        <v>107</v>
      </c>
    </row>
    <row r="58" spans="1:30" x14ac:dyDescent="0.2">
      <c r="A58" s="5" t="s">
        <v>43</v>
      </c>
      <c r="Y58" s="11"/>
      <c r="AB58" s="17" t="s">
        <v>108</v>
      </c>
    </row>
    <row r="59" spans="1:30" x14ac:dyDescent="0.2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1126472.3999999999</v>
      </c>
      <c r="AB60" s="18">
        <f>[1]Wilton!$BR$161</f>
        <v>1126472.3199999998</v>
      </c>
      <c r="AC60" s="18">
        <f>AB60-AA60</f>
        <v>-8.0000000074505806E-2</v>
      </c>
    </row>
    <row r="61" spans="1:30" x14ac:dyDescent="0.2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">
      <c r="A68" s="4" t="s">
        <v>73</v>
      </c>
      <c r="Y68" s="11"/>
    </row>
    <row r="69" spans="1:26" x14ac:dyDescent="0.2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">
      <c r="Y74" s="11"/>
    </row>
    <row r="75" spans="1:26" x14ac:dyDescent="0.2">
      <c r="Y75" s="11"/>
    </row>
    <row r="76" spans="1:26" ht="13.5" thickBot="1" x14ac:dyDescent="0.25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22879167.336287491</v>
      </c>
      <c r="T76" s="33">
        <f t="shared" si="17"/>
        <v>15560158.950817386</v>
      </c>
      <c r="U76" s="33">
        <f>+U46+U66+U73</f>
        <v>17168239.996992648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274379081.75230151</v>
      </c>
    </row>
    <row r="77" spans="1:26" x14ac:dyDescent="0.2">
      <c r="U77"/>
      <c r="V77"/>
      <c r="W77"/>
      <c r="X77"/>
      <c r="Y77" s="45">
        <f>Y76-[1]Wilton!$BR$200</f>
        <v>1.1966666579246521</v>
      </c>
    </row>
    <row r="78" spans="1:26" x14ac:dyDescent="0.2">
      <c r="U78"/>
      <c r="V78"/>
      <c r="W78"/>
      <c r="X78"/>
      <c r="Y78"/>
    </row>
    <row r="79" spans="1:26" x14ac:dyDescent="0.2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T61" activePane="bottomRight" state="frozen"/>
      <selection pane="topRight"/>
      <selection pane="bottomLeft"/>
      <selection pane="bottomRight" activeCell="T71" sqref="T71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customWidth="1"/>
    <col min="13" max="13" width="12.28515625" style="47" customWidth="1"/>
    <col min="14" max="14" width="12.28515625" style="18" customWidth="1"/>
    <col min="15" max="15" width="14" style="18" customWidth="1"/>
    <col min="16" max="16" width="12.28515625" style="18" customWidth="1"/>
    <col min="17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3" width="12.140625" style="18" customWidth="1"/>
    <col min="24" max="25" width="12.140625" style="18" hidden="1" customWidth="1"/>
    <col min="26" max="26" width="13.5703125" style="4" customWidth="1"/>
    <col min="27" max="27" width="28.28515625" style="18" hidden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46"/>
    </row>
    <row r="2" spans="1:29" s="2" customFormat="1" ht="15.75" x14ac:dyDescent="0.25">
      <c r="A2" s="1" t="s">
        <v>1</v>
      </c>
      <c r="D2" s="1" t="str">
        <f>Wilton!D2</f>
        <v>Last updated:  Actuals through April 14, 2000</v>
      </c>
      <c r="M2" s="46"/>
      <c r="Z2" s="25" t="str">
        <f ca="1">CELL("filename")</f>
        <v>O:\Fin_Ops\Engysvc\PowerPlants\2000 Plants\Weekly Report\[2000 Weekly Report - 042500.xls]Summary</v>
      </c>
    </row>
    <row r="3" spans="1:29" s="2" customFormat="1" ht="15.75" x14ac:dyDescent="0.25">
      <c r="A3" s="1" t="s">
        <v>2</v>
      </c>
      <c r="D3" s="26"/>
      <c r="F3" s="3"/>
      <c r="M3" s="46"/>
      <c r="Z3" s="24">
        <f ca="1">NOW()</f>
        <v>36641.604211921294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111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f>530081+382350</f>
        <v>912431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v>236722</v>
      </c>
      <c r="T14" s="18">
        <f t="shared" si="3"/>
        <v>236725</v>
      </c>
      <c r="U14" s="18">
        <f t="shared" si="3"/>
        <v>236725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v>0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v>4332119</v>
      </c>
      <c r="Z16" s="11">
        <f t="shared" si="0"/>
        <v>16939609.578000002</v>
      </c>
      <c r="AA16" s="15"/>
      <c r="AB16" s="18">
        <f>[1]Gleason!$BT$54</f>
        <v>16939610</v>
      </c>
      <c r="AC16" s="18">
        <f t="shared" si="1"/>
        <v>-0.42199999839067459</v>
      </c>
    </row>
    <row r="17" spans="1:29" x14ac:dyDescent="0.2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T17" s="18">
        <f>(0.7795-0.6457)*AB17</f>
        <v>596631.8615999996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f>4260931-3727117</f>
        <v>533814</v>
      </c>
      <c r="Z17" s="11">
        <f t="shared" si="0"/>
        <v>4459131.8352000006</v>
      </c>
      <c r="AA17" s="15"/>
      <c r="AB17" s="18">
        <f>[1]Gleason!$BT$63</f>
        <v>4459132</v>
      </c>
      <c r="AC17" s="18">
        <f t="shared" si="1"/>
        <v>-0.1647999994456768</v>
      </c>
    </row>
    <row r="18" spans="1:29" x14ac:dyDescent="0.2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T18" s="18">
        <f>(0.7795-0.6457)*AB18</f>
        <v>2215884.2783999988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f>15443748-13408993</f>
        <v>2034755</v>
      </c>
      <c r="Z18" s="11">
        <f t="shared" si="0"/>
        <v>16561168.244799998</v>
      </c>
      <c r="AA18" s="15"/>
      <c r="AB18" s="18">
        <f>[1]Gleason!$BT$86</f>
        <v>16561168</v>
      </c>
      <c r="AC18" s="18">
        <f t="shared" si="1"/>
        <v>0.24479999765753746</v>
      </c>
    </row>
    <row r="19" spans="1:29" x14ac:dyDescent="0.2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T19" s="18">
        <f>(0.7795-0.6457)*AB19</f>
        <v>1623898.2203999991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f>12136785-10376951</f>
        <v>1759834</v>
      </c>
      <c r="Z19" s="11">
        <f t="shared" si="0"/>
        <v>12136757.568799999</v>
      </c>
      <c r="AA19" s="15" t="s">
        <v>50</v>
      </c>
      <c r="AB19" s="18">
        <f>[1]Gleason!$BT$89</f>
        <v>12136758</v>
      </c>
      <c r="AC19" s="18">
        <f t="shared" si="1"/>
        <v>-0.43120000138878822</v>
      </c>
    </row>
    <row r="20" spans="1:29" x14ac:dyDescent="0.2">
      <c r="A20" s="17" t="s">
        <v>118</v>
      </c>
      <c r="S20" s="18">
        <v>0</v>
      </c>
      <c r="T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T21" s="18">
        <v>7581129</v>
      </c>
      <c r="V21" s="17">
        <f>7112622-3387761</f>
        <v>3724861</v>
      </c>
      <c r="W21" s="18">
        <v>-16564250</v>
      </c>
      <c r="Z21" s="11">
        <f>SUM(C21:Y21)</f>
        <v>-3387761</v>
      </c>
      <c r="AA21" s="15" t="s">
        <v>50</v>
      </c>
      <c r="AB21" s="18">
        <f>[1]Gleason!$BT$93+[1]Gleason!$BT$95</f>
        <v>-3387761.4400000013</v>
      </c>
      <c r="AC21" s="18">
        <f t="shared" si="1"/>
        <v>0.44000000134110451</v>
      </c>
    </row>
    <row r="22" spans="1:29" x14ac:dyDescent="0.2">
      <c r="A22" s="17" t="s">
        <v>122</v>
      </c>
      <c r="R22" s="18">
        <v>37000</v>
      </c>
      <c r="S22" s="18">
        <v>148482</v>
      </c>
      <c r="T22" s="18">
        <v>150000</v>
      </c>
      <c r="U22" s="18">
        <v>150000</v>
      </c>
      <c r="V22" s="18">
        <f>908786-750000+188000+76518</f>
        <v>423304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0</v>
      </c>
      <c r="Z26" s="11">
        <f t="shared" si="0"/>
        <v>729789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0</v>
      </c>
      <c r="T27" s="18">
        <v>350000</v>
      </c>
      <c r="U27" s="18">
        <v>375000</v>
      </c>
      <c r="V27" s="17">
        <f>104514+125000+125000</f>
        <v>354514</v>
      </c>
      <c r="Z27" s="11">
        <f t="shared" si="0"/>
        <v>1100000</v>
      </c>
      <c r="AA27" s="15" t="s">
        <v>53</v>
      </c>
      <c r="AB27" s="18">
        <f>[1]Gleason!$BT$183</f>
        <v>1100000</v>
      </c>
      <c r="AC27" s="18">
        <f>Z27-AB27</f>
        <v>0</v>
      </c>
    </row>
    <row r="28" spans="1:29" x14ac:dyDescent="0.2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2820534</v>
      </c>
      <c r="U28" s="18">
        <v>110183</v>
      </c>
      <c r="V28" s="18">
        <f>2148964+190117+25518-10602-484363-166834</f>
        <v>1702800</v>
      </c>
      <c r="Z28" s="11">
        <f t="shared" si="0"/>
        <v>4669637</v>
      </c>
      <c r="AA28" s="15"/>
      <c r="AB28" s="18">
        <f>[1]Gleason!$BT$181</f>
        <v>4669636.57</v>
      </c>
      <c r="AC28" s="18">
        <f>Z28-AB28</f>
        <v>0.42999999970197678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[1]Gleason!$BT$189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[1]Gleason!$BT$191</f>
        <v>200935.25</v>
      </c>
      <c r="AC31" s="18">
        <v>0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11111.111111111111</v>
      </c>
      <c r="U32" s="18">
        <v>31111</v>
      </c>
      <c r="V32" s="17">
        <f>32312+23870-28687.68+11111-12673.78</f>
        <v>25931.54</v>
      </c>
      <c r="W32" s="17">
        <f>20595-66</f>
        <v>20529</v>
      </c>
      <c r="X32" s="17"/>
      <c r="Y32" s="17"/>
      <c r="Z32" s="11">
        <f t="shared" si="0"/>
        <v>186820.16111111114</v>
      </c>
      <c r="AA32" s="15"/>
    </row>
    <row r="33" spans="1:27" x14ac:dyDescent="0.2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44082</v>
      </c>
      <c r="T33" s="18">
        <v>170000</v>
      </c>
      <c r="U33" s="18">
        <v>35000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0</v>
      </c>
      <c r="T34" s="18">
        <f>96092+7127</f>
        <v>103219</v>
      </c>
      <c r="U34" s="18">
        <v>121058</v>
      </c>
      <c r="V34" s="18">
        <f>253000+994+132585</f>
        <v>386579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10684267.113333331</v>
      </c>
      <c r="T35" s="21">
        <f t="shared" si="5"/>
        <v>17491836.804844443</v>
      </c>
      <c r="U35" s="21">
        <f t="shared" si="5"/>
        <v>7650233.4429333359</v>
      </c>
      <c r="V35" s="21">
        <f>SUM(V10:V34)</f>
        <v>25166748.630133331</v>
      </c>
      <c r="W35" s="21">
        <f>SUM(W10:W34)</f>
        <v>-7814901</v>
      </c>
      <c r="X35" s="21">
        <f>SUM(X10:X34)</f>
        <v>0</v>
      </c>
      <c r="Y35" s="21">
        <f>SUM(Y10:Y34)</f>
        <v>0</v>
      </c>
      <c r="Z35" s="22">
        <f>SUM(C35:Y35)</f>
        <v>167530501.98791111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125036584.10999998</v>
      </c>
      <c r="T36" s="21">
        <f t="shared" si="7"/>
        <v>142528420.91484442</v>
      </c>
      <c r="U36" s="21">
        <f t="shared" si="7"/>
        <v>150178654.35777777</v>
      </c>
      <c r="V36" s="21">
        <f t="shared" si="7"/>
        <v>175345402.98791111</v>
      </c>
      <c r="W36" s="21">
        <f>+V36+W35</f>
        <v>167530501.98791111</v>
      </c>
      <c r="X36" s="21">
        <f>+W36+X35</f>
        <v>167530501.98791111</v>
      </c>
      <c r="Y36" s="21">
        <f>+X36+Y35</f>
        <v>167530501.98791111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328.49118036845317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817907.37085245037</v>
      </c>
      <c r="U40" s="30">
        <f>(U36+T45)*$C52/12</f>
        <v>863776.46692712337</v>
      </c>
      <c r="V40" s="30">
        <f>(V36+U45)*$C52/12-5719</f>
        <v>999056.14453620079</v>
      </c>
      <c r="W40" s="30"/>
      <c r="X40" s="30"/>
      <c r="Y40" s="30"/>
      <c r="Z40" s="11">
        <f t="shared" si="8"/>
        <v>11156679.917154474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49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719263.90865433181</v>
      </c>
      <c r="T44" s="21">
        <f t="shared" si="10"/>
        <v>817907.37085245037</v>
      </c>
      <c r="U44" s="21">
        <f t="shared" si="10"/>
        <v>863776.46692712337</v>
      </c>
      <c r="V44" s="21">
        <f t="shared" si="10"/>
        <v>999056.14453620079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11150602.917154474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49">
        <f>L45+M44</f>
        <v>4826454.93</v>
      </c>
      <c r="N45" s="49">
        <f t="shared" ref="N45:V45" si="12">M45+N44</f>
        <v>5343902.8526763888</v>
      </c>
      <c r="O45" s="49">
        <f t="shared" si="12"/>
        <v>5901836.2759061633</v>
      </c>
      <c r="P45" s="49">
        <f t="shared" si="12"/>
        <v>6476174.2211798215</v>
      </c>
      <c r="Q45" s="49">
        <f>P45+Q44</f>
        <v>7092926.0181209343</v>
      </c>
      <c r="R45" s="49">
        <f t="shared" si="12"/>
        <v>7750599.026184367</v>
      </c>
      <c r="S45" s="49">
        <f t="shared" si="12"/>
        <v>8469862.9348386992</v>
      </c>
      <c r="T45" s="49">
        <f t="shared" si="12"/>
        <v>9287770.3056911491</v>
      </c>
      <c r="U45" s="49">
        <f t="shared" si="12"/>
        <v>10151546.772618273</v>
      </c>
      <c r="V45" s="49">
        <f t="shared" si="12"/>
        <v>11150602.917154474</v>
      </c>
      <c r="W45" s="49">
        <f>V45+W44</f>
        <v>11150602.917154474</v>
      </c>
      <c r="X45" s="49">
        <f>W45+X44</f>
        <v>11150602.917154474</v>
      </c>
      <c r="Y45" s="49">
        <f>X45+Y44</f>
        <v>11150602.917154474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2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11403531.021987664</v>
      </c>
      <c r="T47" s="4">
        <f t="shared" si="14"/>
        <v>18309744.175696895</v>
      </c>
      <c r="U47" s="4">
        <f t="shared" si="14"/>
        <v>8514009.9098604601</v>
      </c>
      <c r="V47" s="4">
        <f t="shared" si="14"/>
        <v>26165804.774669532</v>
      </c>
      <c r="W47" s="4">
        <f>+W35+W44</f>
        <v>-7814901</v>
      </c>
      <c r="X47" s="4">
        <f>+X35+X44</f>
        <v>0</v>
      </c>
      <c r="Y47" s="4">
        <f>+Y35+Y44</f>
        <v>0</v>
      </c>
      <c r="Z47" s="11">
        <f>SUM(C47:W47)</f>
        <v>178681104.9050656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2">
        <f>M47+L48</f>
        <v>93881031.980000004</v>
      </c>
      <c r="N48" s="52">
        <f t="shared" ref="N48:V48" si="16">N47+M48</f>
        <v>96059302.236009732</v>
      </c>
      <c r="O48" s="52">
        <f t="shared" si="16"/>
        <v>103580110.99257284</v>
      </c>
      <c r="P48" s="52">
        <f t="shared" si="16"/>
        <v>106200835.57117984</v>
      </c>
      <c r="Q48" s="52">
        <f>Q47+P48</f>
        <v>114478622.00145428</v>
      </c>
      <c r="R48" s="52">
        <f t="shared" si="16"/>
        <v>122102916.02285105</v>
      </c>
      <c r="S48" s="52">
        <f t="shared" si="16"/>
        <v>133506447.04483871</v>
      </c>
      <c r="T48" s="52">
        <f t="shared" si="16"/>
        <v>151816191.22053561</v>
      </c>
      <c r="U48" s="52">
        <f t="shared" si="16"/>
        <v>160330201.13039607</v>
      </c>
      <c r="V48" s="52">
        <f t="shared" si="16"/>
        <v>186496005.9050656</v>
      </c>
      <c r="W48" s="52">
        <f>W47+V48</f>
        <v>178681104.9050656</v>
      </c>
      <c r="X48" s="52">
        <f>X47+W48</f>
        <v>178681104.9050656</v>
      </c>
      <c r="Y48" s="52">
        <f>Y47+X48</f>
        <v>178681104.9050656</v>
      </c>
      <c r="Z48" s="11"/>
    </row>
    <row r="49" spans="1:31" s="4" customFormat="1" x14ac:dyDescent="0.2">
      <c r="M49" s="52"/>
      <c r="Z49" s="11"/>
    </row>
    <row r="50" spans="1:31" s="4" customFormat="1" x14ac:dyDescent="0.2">
      <c r="M50" s="52"/>
    </row>
    <row r="51" spans="1:31" s="4" customFormat="1" x14ac:dyDescent="0.2">
      <c r="M51" s="52"/>
      <c r="Z51" s="16">
        <f>+Z47/C54/1000</f>
        <v>350.35510765699132</v>
      </c>
    </row>
    <row r="52" spans="1:31" s="4" customFormat="1" x14ac:dyDescent="0.2">
      <c r="A52" s="8" t="s">
        <v>96</v>
      </c>
      <c r="C52" s="12">
        <v>6.5000000000000002E-2</v>
      </c>
      <c r="M52" s="52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2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2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10684267.113333331</v>
      </c>
      <c r="T57" s="4">
        <f t="shared" si="18"/>
        <v>17491836.804844443</v>
      </c>
      <c r="U57" s="4">
        <f t="shared" si="18"/>
        <v>7650233.4429333368</v>
      </c>
      <c r="V57" s="4">
        <f t="shared" si="18"/>
        <v>25166748.630133331</v>
      </c>
      <c r="W57" s="4">
        <f t="shared" si="18"/>
        <v>-7814901</v>
      </c>
      <c r="X57" s="4">
        <f t="shared" si="18"/>
        <v>0</v>
      </c>
      <c r="Y57" s="4">
        <f t="shared" si="18"/>
        <v>0</v>
      </c>
      <c r="Z57" s="11">
        <f>SUM(C57:Y57)</f>
        <v>78676715.937911108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729789</v>
      </c>
      <c r="AD62" s="18">
        <f>[1]Gleason!$BT$159</f>
        <v>729789.02</v>
      </c>
      <c r="AE62" s="18">
        <f>AC62-AD62</f>
        <v>-2.0000000018626451E-2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[1]Gleason!$BT$208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[1]Gleason!$BT$202</f>
        <v>897105.05</v>
      </c>
      <c r="AE65" s="18">
        <f>AC65-AD65</f>
        <v>-5.0000000046566129E-2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199999.97111111114</v>
      </c>
      <c r="AD66" s="18">
        <f>[1]Wheatland!$BR$151</f>
        <v>200000</v>
      </c>
      <c r="AE66" s="18">
        <f>AC66-AD66</f>
        <v>-2.8888888860819861E-2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49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11403531.021987664</v>
      </c>
      <c r="T73" s="9">
        <f t="shared" si="22"/>
        <v>18309744.175696895</v>
      </c>
      <c r="U73" s="9">
        <f t="shared" si="22"/>
        <v>8514009.9098604601</v>
      </c>
      <c r="V73" s="9">
        <f t="shared" si="22"/>
        <v>26165804.774669532</v>
      </c>
      <c r="W73" s="9">
        <f t="shared" si="22"/>
        <v>-7814901</v>
      </c>
      <c r="X73" s="9">
        <f t="shared" si="22"/>
        <v>0</v>
      </c>
      <c r="Y73" s="9">
        <f t="shared" si="22"/>
        <v>0</v>
      </c>
      <c r="Z73" s="9">
        <f>SUM(C73:Y73)</f>
        <v>178701596.7150656</v>
      </c>
    </row>
    <row r="74" spans="1:31" x14ac:dyDescent="0.2">
      <c r="Z74" s="4">
        <f>Z73-[1]Gleason!$BT$224</f>
        <v>-1.1120888590812683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3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V78" activePane="bottomRight" state="frozen"/>
      <selection pane="topRight"/>
      <selection pane="bottomLeft"/>
      <selection pane="bottomRight" activeCell="X87" sqref="X8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4" width="13.140625" style="18" customWidth="1"/>
    <col min="25" max="25" width="13.85546875" style="4" customWidth="1"/>
    <col min="26" max="26" width="20" style="18" hidden="1" customWidth="1"/>
    <col min="27" max="27" width="12.28515625" style="18" customWidth="1"/>
    <col min="28" max="28" width="12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April 14, 2000</v>
      </c>
      <c r="Y2" s="25" t="str">
        <f ca="1">CELL("filename")</f>
        <v>O:\Fin_Ops\Engysvc\PowerPlants\2000 Plants\Weekly Report\[2000 Weekly Report - 042500.xls]Summary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36641.604211921294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f>793671-612336+215500</f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X12" s="18">
        <v>1783657</v>
      </c>
      <c r="Y12" s="11">
        <f t="shared" si="0"/>
        <v>13410951.081699999</v>
      </c>
      <c r="Z12" s="15" t="s">
        <v>50</v>
      </c>
      <c r="AA12" s="18">
        <f>[1]Wheatland!$BR$48</f>
        <v>13410951</v>
      </c>
      <c r="AB12" s="18">
        <f t="shared" si="1"/>
        <v>8.1699999049305916E-2</v>
      </c>
    </row>
    <row r="13" spans="1:28" x14ac:dyDescent="0.2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X13" s="18">
        <v>658321</v>
      </c>
      <c r="Y13" s="11">
        <f t="shared" si="0"/>
        <v>4949776.4592000004</v>
      </c>
      <c r="Z13" s="15"/>
      <c r="AA13" s="18">
        <f>[1]Wheatland!$BR$55</f>
        <v>4949776</v>
      </c>
      <c r="AB13" s="18">
        <f t="shared" si="1"/>
        <v>0.45920000039041042</v>
      </c>
    </row>
    <row r="14" spans="1:28" x14ac:dyDescent="0.2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X14" s="18">
        <v>2144623</v>
      </c>
      <c r="Y14" s="11">
        <f t="shared" si="0"/>
        <v>16124986.6829</v>
      </c>
      <c r="Z14" s="15"/>
      <c r="AA14" s="18">
        <f>[1]Wheatland!$BR$80</f>
        <v>16124987</v>
      </c>
      <c r="AB14" s="18">
        <f t="shared" si="1"/>
        <v>-0.31709999963641167</v>
      </c>
    </row>
    <row r="15" spans="1:28" x14ac:dyDescent="0.2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X15" s="18">
        <v>1349408</v>
      </c>
      <c r="Y15" s="11">
        <f t="shared" si="0"/>
        <v>10145928.814300001</v>
      </c>
      <c r="Z15" s="15"/>
      <c r="AA15" s="18">
        <f>[1]Wheatland!$BR$85</f>
        <v>10145929</v>
      </c>
      <c r="AB15" s="18">
        <f t="shared" si="1"/>
        <v>-0.18569999933242798</v>
      </c>
    </row>
    <row r="16" spans="1:28" x14ac:dyDescent="0.2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S16" s="18">
        <v>6627015</v>
      </c>
      <c r="U16" s="18">
        <f>-1946726-3953393</f>
        <v>-5900119</v>
      </c>
      <c r="W16" s="18">
        <v>-4108675</v>
      </c>
      <c r="X16" s="18">
        <v>-10580408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[1]Wheatland!$BR96</f>
        <v>2386700</v>
      </c>
      <c r="AB19" s="18">
        <f t="shared" si="1"/>
        <v>3.3333334140479565E-3</v>
      </c>
    </row>
    <row r="20" spans="1:28" x14ac:dyDescent="0.2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">
      <c r="A21" s="17" t="s">
        <v>122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0</v>
      </c>
      <c r="T23" s="18">
        <f>500000+500000</f>
        <v>1000000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S24" s="18">
        <v>28974</v>
      </c>
      <c r="U24" s="18">
        <v>0</v>
      </c>
      <c r="Y24" s="11">
        <f t="shared" si="0"/>
        <v>1899602.26</v>
      </c>
      <c r="Z24" s="15" t="s">
        <v>57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11111.111111111111</v>
      </c>
      <c r="T31" s="18">
        <f>11111.1111111111+11112</f>
        <v>22223.111111111102</v>
      </c>
      <c r="U31" s="17">
        <f>27193+1111+10000-11209.91</f>
        <v>27094.09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70000</v>
      </c>
      <c r="T32" s="18">
        <f>80349-6410+2500</f>
        <v>76439</v>
      </c>
      <c r="U32" s="17">
        <f>2688+4280+17317</f>
        <v>24285</v>
      </c>
      <c r="Y32" s="11">
        <f t="shared" si="0"/>
        <v>686931.69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10000</v>
      </c>
      <c r="T33" s="18">
        <f>7559+199999</f>
        <v>207558</v>
      </c>
      <c r="U33" s="18">
        <f>2441+1962+197444+48543+70636</f>
        <v>321026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8535310.1111111119</v>
      </c>
      <c r="T34" s="21">
        <f t="shared" si="3"/>
        <v>7842008.0521111097</v>
      </c>
      <c r="U34" s="21">
        <f t="shared" si="3"/>
        <v>19508397.093900003</v>
      </c>
      <c r="V34" s="21">
        <f>SUM(V8:V33)</f>
        <v>2929813.0932</v>
      </c>
      <c r="W34" s="21">
        <f>SUM(W8:W33)</f>
        <v>2128053</v>
      </c>
      <c r="X34" s="21">
        <f>SUM(X8:X33)</f>
        <v>-4620274</v>
      </c>
      <c r="Y34" s="22">
        <f>SUM(C34:U34)</f>
        <v>152617935.67712224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125267530.53111112</v>
      </c>
      <c r="T35" s="21">
        <f t="shared" si="4"/>
        <v>133109538.58322223</v>
      </c>
      <c r="U35" s="21">
        <f t="shared" si="4"/>
        <v>152617935.67712224</v>
      </c>
      <c r="V35" s="21">
        <f>+U35+V34</f>
        <v>155547748.77032223</v>
      </c>
      <c r="W35" s="21">
        <f>+V35+W34</f>
        <v>157675801.77032223</v>
      </c>
      <c r="X35" s="21">
        <f>+W35+X34</f>
        <v>153055527.77032223</v>
      </c>
      <c r="Y35" s="11"/>
    </row>
    <row r="36" spans="1:27" x14ac:dyDescent="0.2">
      <c r="A36" s="17" t="s">
        <v>64</v>
      </c>
      <c r="F36" s="8"/>
      <c r="Y36" s="16">
        <f>+Y34/C51/1000</f>
        <v>324.7190120789835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718286.80976156332</v>
      </c>
      <c r="T39" s="30">
        <f t="shared" si="6"/>
        <v>764655.07359670696</v>
      </c>
      <c r="U39" s="30">
        <f t="shared" si="6"/>
        <v>874467.4395039808</v>
      </c>
      <c r="V39" s="30">
        <v>0</v>
      </c>
      <c r="W39" s="30">
        <v>0</v>
      </c>
      <c r="X39" s="30">
        <v>0</v>
      </c>
      <c r="Y39" s="11">
        <f t="shared" si="5"/>
        <v>9702751.940039739</v>
      </c>
      <c r="Z39" s="19" t="str">
        <f>Z52</f>
        <v>Rodney Malcolm</v>
      </c>
      <c r="AA39" s="18">
        <f>Y39</f>
        <v>9702751.940039739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718286.80976156332</v>
      </c>
      <c r="T43" s="21">
        <f t="shared" si="7"/>
        <v>764655.07359670696</v>
      </c>
      <c r="U43" s="21">
        <f t="shared" si="7"/>
        <v>874467.4395039808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9696674.440039739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8057551.9269390516</v>
      </c>
      <c r="T44" s="21">
        <f t="shared" si="8"/>
        <v>8822207.0005357582</v>
      </c>
      <c r="U44" s="21">
        <f t="shared" si="8"/>
        <v>9696674.440039739</v>
      </c>
      <c r="V44" s="21">
        <f>+V43+U44</f>
        <v>9696674.440039739</v>
      </c>
      <c r="W44" s="21">
        <f>+W43+V44</f>
        <v>9696674.440039739</v>
      </c>
      <c r="X44" s="21">
        <f>+X43+W44</f>
        <v>9696674.440039739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9253596.9208726753</v>
      </c>
      <c r="T46" s="4">
        <f t="shared" si="9"/>
        <v>8606663.1257078163</v>
      </c>
      <c r="U46" s="4">
        <f t="shared" si="9"/>
        <v>20382864.533403985</v>
      </c>
      <c r="V46" s="4">
        <f>+V34+V43</f>
        <v>2929813.0932</v>
      </c>
      <c r="W46" s="4">
        <f>+W34+W43</f>
        <v>2128053</v>
      </c>
      <c r="X46" s="4">
        <f>+X34+X43</f>
        <v>-4620274</v>
      </c>
      <c r="Y46" s="11">
        <f>SUM(C46:X46)</f>
        <v>162752202.21036199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133325082.45805018</v>
      </c>
      <c r="T47" s="4">
        <f t="shared" si="10"/>
        <v>141931745.583758</v>
      </c>
      <c r="U47" s="4">
        <f t="shared" si="10"/>
        <v>162314610.11716199</v>
      </c>
      <c r="V47" s="4">
        <f>U47+V46</f>
        <v>165244423.21036199</v>
      </c>
      <c r="W47" s="4">
        <f>V47+W46</f>
        <v>167372476.21036199</v>
      </c>
      <c r="X47" s="4">
        <f>W47+X46</f>
        <v>162752202.21036199</v>
      </c>
      <c r="Y47" s="11"/>
    </row>
    <row r="48" spans="1:27" s="4" customFormat="1" x14ac:dyDescent="0.2">
      <c r="Y48" s="16">
        <f>+Y46/C51/1000</f>
        <v>346.28128129864251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8535310.1111111119</v>
      </c>
      <c r="T54" s="4">
        <f t="shared" si="11"/>
        <v>7842008.0521111097</v>
      </c>
      <c r="U54" s="4">
        <f t="shared" si="11"/>
        <v>19508397.093900003</v>
      </c>
      <c r="V54" s="4">
        <f t="shared" si="11"/>
        <v>2929813.0932</v>
      </c>
      <c r="W54" s="4">
        <f t="shared" si="11"/>
        <v>2128053</v>
      </c>
      <c r="X54" s="4">
        <f t="shared" si="11"/>
        <v>-4620274</v>
      </c>
      <c r="Y54" s="23">
        <f>SUM(C54:X54)</f>
        <v>153049450.27032223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836646.8899999999</v>
      </c>
      <c r="AB60" s="18">
        <f>[1]Wheatland!$BR$160</f>
        <v>836646.91999999993</v>
      </c>
      <c r="AC60" s="18">
        <f>AB60-AA60</f>
        <v>3.0000000027939677E-2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1899602.26</v>
      </c>
      <c r="AB61" s="18">
        <f>[1]Wheatland!$BR$130</f>
        <v>1899602.57</v>
      </c>
      <c r="AC61" s="18">
        <f>AB61-AA61</f>
        <v>0.31000000005587935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[1]Wheatland!$BR$151</f>
        <v>200000</v>
      </c>
      <c r="AC62" s="18">
        <f>AB62-AA62</f>
        <v>0.437777777784504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9253596.9208726753</v>
      </c>
      <c r="T78" s="33">
        <f t="shared" si="15"/>
        <v>8606663.1257078163</v>
      </c>
      <c r="U78" s="33">
        <f t="shared" si="15"/>
        <v>20382864.533403985</v>
      </c>
      <c r="V78" s="33">
        <f t="shared" si="15"/>
        <v>2929813.0932</v>
      </c>
      <c r="W78" s="33">
        <f t="shared" si="15"/>
        <v>2128053</v>
      </c>
      <c r="X78" s="33">
        <f t="shared" si="15"/>
        <v>-4620274</v>
      </c>
      <c r="Y78" s="33">
        <f t="shared" si="15"/>
        <v>162962754.790362</v>
      </c>
      <c r="Z78" s="17"/>
    </row>
    <row r="79" spans="1:26" x14ac:dyDescent="0.2">
      <c r="U79"/>
      <c r="V79"/>
      <c r="W79"/>
      <c r="X79"/>
      <c r="Y79" s="44">
        <f>Y78-[1]Wheatland!$BR$200</f>
        <v>1.130322277545929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2000-04-17T17:31:53Z</cp:lastPrinted>
  <dcterms:created xsi:type="dcterms:W3CDTF">1999-02-09T14:03:00Z</dcterms:created>
  <dcterms:modified xsi:type="dcterms:W3CDTF">2023-09-13T22:57:09Z</dcterms:modified>
</cp:coreProperties>
</file>