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D0F7225-956E-4C78-9DDB-0C7599450EDB}" xr6:coauthVersionLast="47" xr6:coauthVersionMax="47" xr10:uidLastSave="{00000000-0000-0000-0000-000000000000}"/>
  <bookViews>
    <workbookView xWindow="-120" yWindow="-120" windowWidth="38640" windowHeight="15720"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Gleason!$A$1:$BV$235</definedName>
    <definedName name="_xlnm.Print_Area" localSheetId="4">Summary!$A$1:$O$108</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iterate="1" calcOnSave="0"/>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R180" i="15"/>
  <c r="BN180" i="15"/>
  <c r="BR180" i="15"/>
  <c r="BT180" i="15"/>
  <c r="BV180" i="15"/>
  <c r="M181" i="15"/>
  <c r="O181" i="15"/>
  <c r="Q181" i="15"/>
  <c r="R181" i="15"/>
  <c r="T181" i="15"/>
  <c r="V181" i="15"/>
  <c r="X181" i="15"/>
  <c r="Z181" i="15"/>
  <c r="AB181" i="15"/>
  <c r="AD181" i="15"/>
  <c r="AF181" i="15"/>
  <c r="AH181" i="15"/>
  <c r="AJ181" i="15"/>
  <c r="AL181" i="15"/>
  <c r="AN181" i="15"/>
  <c r="AP181" i="15"/>
  <c r="AR181" i="15"/>
  <c r="AT181" i="15"/>
  <c r="AU181" i="15"/>
  <c r="AV181" i="15"/>
  <c r="AW181" i="15"/>
  <c r="AX181" i="15"/>
  <c r="AY181" i="15"/>
  <c r="AZ181" i="15"/>
  <c r="BA181" i="15"/>
  <c r="BB181" i="15"/>
  <c r="BC181" i="15"/>
  <c r="BD181" i="15"/>
  <c r="BE181" i="15"/>
  <c r="BF181" i="15"/>
  <c r="BG181" i="15"/>
  <c r="BH181" i="15"/>
  <c r="BI181" i="15"/>
  <c r="BJ181" i="15"/>
  <c r="BK181" i="15"/>
  <c r="BL181" i="15"/>
  <c r="BM181" i="15"/>
  <c r="BN181" i="15"/>
  <c r="BO181" i="15"/>
  <c r="BP181" i="15"/>
  <c r="BQ181" i="15"/>
  <c r="BR181" i="15"/>
  <c r="BS181" i="15"/>
  <c r="BT181" i="15"/>
  <c r="BU181" i="15"/>
  <c r="BV181" i="15"/>
  <c r="BW181" i="15"/>
  <c r="BN183" i="15"/>
  <c r="BR183" i="15"/>
  <c r="BT183" i="15"/>
  <c r="BV183" i="15"/>
  <c r="R186" i="15"/>
  <c r="BN186" i="15"/>
  <c r="BR186" i="15"/>
  <c r="BT186" i="15"/>
  <c r="BV186" i="15"/>
  <c r="BN187" i="15"/>
  <c r="BR187" i="15"/>
  <c r="BT187" i="15"/>
  <c r="BV187" i="15"/>
  <c r="BN188" i="15"/>
  <c r="BR188" i="15"/>
  <c r="BT188" i="15"/>
  <c r="BV188" i="15"/>
  <c r="N189" i="15"/>
  <c r="P189" i="15"/>
  <c r="R189" i="15"/>
  <c r="T189" i="15"/>
  <c r="V189" i="15"/>
  <c r="X189" i="15"/>
  <c r="Z189" i="15"/>
  <c r="AB189" i="15"/>
  <c r="AD189" i="15"/>
  <c r="AF189" i="15"/>
  <c r="AH189" i="15"/>
  <c r="AJ189" i="15"/>
  <c r="AL189" i="15"/>
  <c r="AN189" i="15"/>
  <c r="AP189" i="15"/>
  <c r="AR189" i="15"/>
  <c r="AT189" i="15"/>
  <c r="AV189" i="15"/>
  <c r="AX189" i="15"/>
  <c r="AZ189" i="15"/>
  <c r="BB189" i="15"/>
  <c r="BD189" i="15"/>
  <c r="BF189" i="15"/>
  <c r="BH189" i="15"/>
  <c r="BJ189" i="15"/>
  <c r="BL189" i="15"/>
  <c r="BN189" i="15"/>
  <c r="BP189" i="15"/>
  <c r="BR189" i="15"/>
  <c r="BT189" i="15"/>
  <c r="BV189" i="15"/>
  <c r="BN191" i="15"/>
  <c r="BR191" i="15"/>
  <c r="BT191" i="15"/>
  <c r="BV191" i="15"/>
  <c r="AL193" i="15"/>
  <c r="BN193" i="15"/>
  <c r="BR193" i="15"/>
  <c r="BT193" i="15"/>
  <c r="BV193" i="15"/>
  <c r="AJ196" i="15"/>
  <c r="BN196" i="15"/>
  <c r="BR196" i="15"/>
  <c r="BT196" i="15"/>
  <c r="BV196" i="15"/>
  <c r="AT197" i="15"/>
  <c r="AV197" i="15"/>
  <c r="BN197" i="15"/>
  <c r="BR197" i="15"/>
  <c r="BT197" i="15"/>
  <c r="BV197" i="15"/>
  <c r="R198" i="15"/>
  <c r="BN198" i="15"/>
  <c r="BR198" i="15"/>
  <c r="BT198" i="15"/>
  <c r="BV198" i="15"/>
  <c r="P199" i="15"/>
  <c r="R199" i="15"/>
  <c r="AR199" i="15"/>
  <c r="AT199" i="15"/>
  <c r="AV199" i="15"/>
  <c r="BN199" i="15"/>
  <c r="BR199" i="15"/>
  <c r="BT199" i="15"/>
  <c r="BV199" i="15"/>
  <c r="AT200" i="15"/>
  <c r="BN200" i="15"/>
  <c r="BR200" i="15"/>
  <c r="BT200" i="15"/>
  <c r="BV200" i="15"/>
  <c r="BN201" i="15"/>
  <c r="BR201" i="15"/>
  <c r="BT201" i="15"/>
  <c r="BV201" i="15"/>
  <c r="N202" i="15"/>
  <c r="P202" i="15"/>
  <c r="R202" i="15"/>
  <c r="S202" i="15"/>
  <c r="T202" i="15"/>
  <c r="U202" i="15"/>
  <c r="V202" i="15"/>
  <c r="W202" i="15"/>
  <c r="X202" i="15"/>
  <c r="Y202" i="15"/>
  <c r="Z202" i="15"/>
  <c r="AA202" i="15"/>
  <c r="AB202" i="15"/>
  <c r="AC202" i="15"/>
  <c r="AD202" i="15"/>
  <c r="AE202" i="15"/>
  <c r="AF202" i="15"/>
  <c r="AG202" i="15"/>
  <c r="AH202" i="15"/>
  <c r="AJ202" i="15"/>
  <c r="AL202" i="15"/>
  <c r="AN202" i="15"/>
  <c r="AP202" i="15"/>
  <c r="AR202" i="15"/>
  <c r="AS202" i="15"/>
  <c r="AT202" i="15"/>
  <c r="AU202" i="15"/>
  <c r="AV202" i="15"/>
  <c r="AW202" i="15"/>
  <c r="AX202" i="15"/>
  <c r="AY202" i="15"/>
  <c r="AZ202" i="15"/>
  <c r="BA202" i="15"/>
  <c r="BB202" i="15"/>
  <c r="BC202" i="15"/>
  <c r="BD202" i="15"/>
  <c r="BE202" i="15"/>
  <c r="BF202" i="15"/>
  <c r="BG202" i="15"/>
  <c r="BH202" i="15"/>
  <c r="BI202" i="15"/>
  <c r="BJ202" i="15"/>
  <c r="BK202" i="15"/>
  <c r="BL202" i="15"/>
  <c r="BM202" i="15"/>
  <c r="BN202" i="15"/>
  <c r="BO202" i="15"/>
  <c r="BP202" i="15"/>
  <c r="BQ202" i="15"/>
  <c r="BR202" i="15"/>
  <c r="BS202" i="15"/>
  <c r="BT202" i="15"/>
  <c r="BU202" i="15"/>
  <c r="BV202" i="15"/>
  <c r="BW202" i="15"/>
  <c r="P205" i="15"/>
  <c r="AT205" i="15"/>
  <c r="BN205" i="15"/>
  <c r="BR205" i="15"/>
  <c r="BT205" i="15"/>
  <c r="BV205" i="15"/>
  <c r="P206" i="15"/>
  <c r="AT206" i="15"/>
  <c r="BN206" i="15"/>
  <c r="BR206" i="15"/>
  <c r="BT206" i="15"/>
  <c r="BV206" i="15"/>
  <c r="BN207" i="15"/>
  <c r="BR207" i="15"/>
  <c r="BT207" i="15"/>
  <c r="BV207" i="15"/>
  <c r="N208" i="15"/>
  <c r="O208" i="15"/>
  <c r="P208" i="15"/>
  <c r="Q208" i="15"/>
  <c r="R208" i="15"/>
  <c r="T208" i="15"/>
  <c r="V208" i="15"/>
  <c r="X208" i="15"/>
  <c r="Z208" i="15"/>
  <c r="AB208" i="15"/>
  <c r="AD208" i="15"/>
  <c r="AF208" i="15"/>
  <c r="AH208" i="15"/>
  <c r="AJ208" i="15"/>
  <c r="AL208" i="15"/>
  <c r="AN208" i="15"/>
  <c r="AP208" i="15"/>
  <c r="AR208" i="15"/>
  <c r="AT208" i="15"/>
  <c r="AV208" i="15"/>
  <c r="AX208" i="15"/>
  <c r="AZ208" i="15"/>
  <c r="BB208" i="15"/>
  <c r="BD208" i="15"/>
  <c r="BF208" i="15"/>
  <c r="BH208" i="15"/>
  <c r="BJ208" i="15"/>
  <c r="BL208" i="15"/>
  <c r="BN208" i="15"/>
  <c r="BP208" i="15"/>
  <c r="BR208" i="15"/>
  <c r="BT208" i="15"/>
  <c r="BV208" i="15"/>
  <c r="P210" i="15"/>
  <c r="AN210" i="15"/>
  <c r="AP210" i="15"/>
  <c r="AR210" i="15"/>
  <c r="AT210" i="15"/>
  <c r="AV210" i="15"/>
  <c r="AX210" i="15"/>
  <c r="AZ210" i="15"/>
  <c r="BN210" i="15"/>
  <c r="BR210" i="15"/>
  <c r="BT210" i="15"/>
  <c r="BV210" i="15"/>
  <c r="R212" i="15"/>
  <c r="S212" i="15"/>
  <c r="T212" i="15"/>
  <c r="U212" i="15"/>
  <c r="V212" i="15"/>
  <c r="W212" i="15"/>
  <c r="X212" i="15"/>
  <c r="Y212" i="15"/>
  <c r="Z212" i="15"/>
  <c r="AA212" i="15"/>
  <c r="AB212" i="15"/>
  <c r="AC212" i="15"/>
  <c r="AD212" i="15"/>
  <c r="AE212" i="15"/>
  <c r="AF212" i="15"/>
  <c r="AG212" i="15"/>
  <c r="AH212" i="15"/>
  <c r="AJ212" i="15"/>
  <c r="AL212" i="15"/>
  <c r="AN212" i="15"/>
  <c r="AP212" i="15"/>
  <c r="AR212" i="15"/>
  <c r="AS212" i="15"/>
  <c r="AT212" i="15"/>
  <c r="AU212" i="15"/>
  <c r="AV212" i="15"/>
  <c r="AW212" i="15"/>
  <c r="AX212" i="15"/>
  <c r="AY212" i="15"/>
  <c r="AZ212" i="15"/>
  <c r="BA212" i="15"/>
  <c r="BB212" i="15"/>
  <c r="BC212" i="15"/>
  <c r="BD212" i="15"/>
  <c r="BE212" i="15"/>
  <c r="BF212" i="15"/>
  <c r="BG212" i="15"/>
  <c r="BH212" i="15"/>
  <c r="BI212" i="15"/>
  <c r="BJ212" i="15"/>
  <c r="BK212" i="15"/>
  <c r="BL212" i="15"/>
  <c r="BM212" i="15"/>
  <c r="BN212" i="15"/>
  <c r="BO212" i="15"/>
  <c r="BP212" i="15"/>
  <c r="BQ212" i="15"/>
  <c r="BR212" i="15"/>
  <c r="BS212" i="15"/>
  <c r="BT212" i="15"/>
  <c r="BU212" i="15"/>
  <c r="BV212" i="15"/>
  <c r="BW212" i="15"/>
  <c r="P214" i="15"/>
  <c r="R214" i="15"/>
  <c r="BN214" i="15"/>
  <c r="BR214" i="15"/>
  <c r="BT214" i="15"/>
  <c r="BV214" i="15"/>
  <c r="BN216" i="15"/>
  <c r="BT216" i="15"/>
  <c r="BV216" i="15"/>
  <c r="R218" i="15"/>
  <c r="S218" i="15"/>
  <c r="T218" i="15"/>
  <c r="U218" i="15"/>
  <c r="V218" i="15"/>
  <c r="W218" i="15"/>
  <c r="X218" i="15"/>
  <c r="Y218" i="15"/>
  <c r="Z218" i="15"/>
  <c r="AA218" i="15"/>
  <c r="AB218" i="15"/>
  <c r="AC218" i="15"/>
  <c r="AD218" i="15"/>
  <c r="AE218" i="15"/>
  <c r="AF218" i="15"/>
  <c r="AG218" i="15"/>
  <c r="AH218" i="15"/>
  <c r="AJ218" i="15"/>
  <c r="AL218" i="15"/>
  <c r="AN218" i="15"/>
  <c r="AP218" i="15"/>
  <c r="AR218" i="15"/>
  <c r="AS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AR221" i="15"/>
  <c r="BN221" i="15"/>
  <c r="BT221" i="15"/>
  <c r="BV221" i="15"/>
  <c r="BN222" i="15"/>
  <c r="R224" i="15"/>
  <c r="S224" i="15"/>
  <c r="T224" i="15"/>
  <c r="U224" i="15"/>
  <c r="V224" i="15"/>
  <c r="W224" i="15"/>
  <c r="X224" i="15"/>
  <c r="Y224" i="15"/>
  <c r="Z224" i="15"/>
  <c r="AA224" i="15"/>
  <c r="AB224" i="15"/>
  <c r="AC224" i="15"/>
  <c r="AD224" i="15"/>
  <c r="AE224" i="15"/>
  <c r="AF224" i="15"/>
  <c r="AG224" i="15"/>
  <c r="AH224" i="15"/>
  <c r="AJ224" i="15"/>
  <c r="AL224" i="15"/>
  <c r="AN224" i="15"/>
  <c r="AP224" i="15"/>
  <c r="AR224" i="15"/>
  <c r="AS224" i="15"/>
  <c r="AT224" i="15"/>
  <c r="AU224" i="15"/>
  <c r="AV224" i="15"/>
  <c r="AW224" i="15"/>
  <c r="AX224" i="15"/>
  <c r="AY224" i="15"/>
  <c r="AZ224" i="15"/>
  <c r="BA224" i="15"/>
  <c r="BB224" i="15"/>
  <c r="BC224" i="15"/>
  <c r="BD224" i="15"/>
  <c r="BE224" i="15"/>
  <c r="BF224" i="15"/>
  <c r="BG224" i="15"/>
  <c r="BH224" i="15"/>
  <c r="BI224" i="15"/>
  <c r="BJ224" i="15"/>
  <c r="BK224" i="15"/>
  <c r="BL224" i="15"/>
  <c r="BM224" i="15"/>
  <c r="BN224" i="15"/>
  <c r="BO224" i="15"/>
  <c r="BP224" i="15"/>
  <c r="BQ224" i="15"/>
  <c r="BR224" i="15"/>
  <c r="BS224" i="15"/>
  <c r="BT224" i="15"/>
  <c r="BU224" i="15"/>
  <c r="BV224" i="15"/>
  <c r="BW224" i="15"/>
  <c r="BN229" i="15"/>
  <c r="BR229" i="15"/>
  <c r="BT229" i="15"/>
  <c r="BV229" i="15"/>
  <c r="BN230" i="15"/>
  <c r="BR230" i="15"/>
  <c r="BT230" i="15"/>
  <c r="BV230" i="15"/>
  <c r="BB231" i="15"/>
  <c r="BN231" i="15"/>
  <c r="BR231" i="15"/>
  <c r="BT231" i="15"/>
  <c r="BV231" i="15"/>
  <c r="R232" i="15"/>
  <c r="BB232" i="15"/>
  <c r="BD232" i="15"/>
  <c r="BN232" i="15"/>
  <c r="BP232" i="15"/>
  <c r="BR232" i="15"/>
  <c r="BT232" i="15"/>
  <c r="BV232" i="15"/>
  <c r="R235" i="15"/>
  <c r="S235" i="15"/>
  <c r="T235" i="15"/>
  <c r="U235" i="15"/>
  <c r="V235" i="15"/>
  <c r="W235" i="15"/>
  <c r="X235" i="15"/>
  <c r="Y235" i="15"/>
  <c r="Z235" i="15"/>
  <c r="AA235" i="15"/>
  <c r="AB235" i="15"/>
  <c r="AC235" i="15"/>
  <c r="AD235" i="15"/>
  <c r="AE235" i="15"/>
  <c r="AF235" i="15"/>
  <c r="AG235" i="15"/>
  <c r="AH235" i="15"/>
  <c r="AJ235" i="15"/>
  <c r="AL235" i="15"/>
  <c r="AN235" i="15"/>
  <c r="AP235" i="15"/>
  <c r="AR235" i="15"/>
  <c r="AS235" i="15"/>
  <c r="AT235" i="15"/>
  <c r="AU235" i="15"/>
  <c r="AV235" i="15"/>
  <c r="AW235" i="15"/>
  <c r="AX235" i="15"/>
  <c r="AY235" i="15"/>
  <c r="AZ235" i="15"/>
  <c r="BA235" i="15"/>
  <c r="BB235" i="15"/>
  <c r="BC235" i="15"/>
  <c r="BD235" i="15"/>
  <c r="BE235" i="15"/>
  <c r="BF235" i="15"/>
  <c r="BG235" i="15"/>
  <c r="BH235" i="15"/>
  <c r="BI235" i="15"/>
  <c r="BJ235" i="15"/>
  <c r="BK235" i="15"/>
  <c r="BL235" i="15"/>
  <c r="BM235" i="15"/>
  <c r="BN235" i="15"/>
  <c r="BO235" i="15"/>
  <c r="BP235" i="15"/>
  <c r="BQ235" i="15"/>
  <c r="BR235" i="15"/>
  <c r="BS235" i="15"/>
  <c r="BT235" i="15"/>
  <c r="BU235" i="15"/>
  <c r="BV235" i="15"/>
  <c r="BW235"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5" i="5"/>
  <c r="C76" i="5"/>
  <c r="C77" i="5"/>
  <c r="C78" i="5"/>
  <c r="C79" i="5"/>
  <c r="C80" i="5"/>
  <c r="C81" i="5"/>
  <c r="C82" i="5"/>
  <c r="C83" i="5"/>
  <c r="C84" i="5"/>
  <c r="C85" i="5"/>
  <c r="C86" i="5"/>
  <c r="C87" i="5"/>
  <c r="C89" i="5"/>
  <c r="C90" i="5"/>
  <c r="C92" i="5"/>
  <c r="C93" i="5"/>
  <c r="C94" i="5"/>
  <c r="C95" i="5"/>
  <c r="C96" i="5"/>
  <c r="C97" i="5"/>
  <c r="C98" i="5"/>
  <c r="C99" i="5"/>
  <c r="C100" i="5"/>
  <c r="C102" i="5"/>
  <c r="C104" i="5"/>
  <c r="C105" i="5"/>
  <c r="A108" i="5"/>
  <c r="A1" i="13"/>
  <c r="A2" i="13"/>
  <c r="BT2" i="13"/>
  <c r="BP3" i="13"/>
  <c r="BT3" i="13"/>
  <c r="BV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1"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18" i="12"/>
  <c r="BP118" i="12"/>
  <c r="BR118" i="12"/>
  <c r="BT118"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N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AZ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<sst xmlns="http://schemas.openxmlformats.org/spreadsheetml/2006/main" count="1958" uniqueCount="563">
  <si>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</si>
  <si>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</si>
  <si>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</si>
  <si>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</si>
  <si>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</si>
  <si>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</si>
  <si>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</si>
  <si>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</si>
  <si>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</si>
  <si>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</si>
  <si>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</si>
  <si>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</si>
  <si>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</si>
  <si>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</si>
  <si>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</si>
  <si>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</si>
  <si>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</si>
  <si>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</si>
  <si>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</si>
  <si>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</si>
  <si>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</si>
  <si>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</si>
  <si>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</si>
  <si>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</si>
  <si>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</si>
  <si>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</si>
  <si>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</si>
  <si>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</si>
  <si>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</si>
  <si>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</si>
  <si>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</si>
  <si>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</si>
  <si>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</si>
  <si>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</si>
  <si>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</si>
  <si>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</si>
  <si>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</si>
  <si>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</si>
  <si>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</si>
  <si>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</si>
  <si>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</si>
  <si>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</si>
  <si>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</si>
  <si>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</si>
  <si>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</si>
  <si>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</si>
  <si>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</si>
  <si>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</si>
  <si>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</si>
  <si>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</si>
  <si>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</si>
  <si>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</si>
  <si>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</si>
  <si>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</si>
  <si>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</si>
  <si>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</si>
  <si>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</si>
  <si>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</si>
  <si>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</si>
  <si>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</si>
  <si>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</si>
  <si>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</si>
  <si>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</si>
  <si>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</si>
  <si>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</si>
  <si>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</si>
  <si>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</si>
  <si>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</si>
  <si>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</si>
  <si>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</si>
  <si>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</si>
  <si>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</si>
  <si>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</si>
  <si>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</si>
  <si>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</si>
  <si>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</si>
  <si>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</si>
  <si>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</si>
  <si>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</si>
  <si>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</si>
  <si>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</si>
  <si>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</si>
  <si>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</si>
  <si>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</si>
  <si>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</si>
  <si>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</si>
  <si>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</si>
  <si>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</si>
  <si>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</si>
  <si>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</si>
  <si>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</si>
  <si>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</si>
  <si>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</si>
  <si>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</si>
  <si>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</si>
  <si>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</si>
  <si>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</si>
  <si>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</si>
  <si>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</si>
  <si>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</si>
  <si>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</si>
  <si>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</si>
  <si>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</si>
  <si>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</si>
  <si>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</si>
  <si>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</si>
  <si>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</si>
  <si>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</si>
  <si>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</si>
  <si>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</si>
  <si>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</si>
  <si>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</si>
  <si>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</si>
  <si>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</si>
  <si>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</si>
  <si>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</si>
  <si>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</si>
  <si>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</si>
  <si>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</si>
  <si>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</si>
  <si>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</si>
  <si>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</si>
  <si>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</si>
  <si>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</si>
  <si>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</si>
  <si>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</si>
  <si>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</si>
  <si>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</si>
  <si>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</si>
  <si>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</si>
  <si>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</si>
  <si>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</si>
  <si>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</si>
  <si>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</si>
  <si>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</si>
  <si>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</si>
  <si>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</si>
  <si>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</si>
  <si>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</si>
  <si>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</si>
  <si>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</si>
  <si>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</si>
  <si>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</si>
  <si>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</si>
  <si>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</si>
  <si>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</si>
  <si>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</si>
  <si>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</si>
  <si>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</si>
  <si>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</si>
  <si>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</si>
  <si>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</si>
  <si>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</si>
  <si>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</si>
  <si>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</si>
  <si>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</si>
  <si>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</si>
  <si>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</si>
  <si>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</si>
  <si>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</si>
  <si>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</si>
  <si>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</si>
  <si>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</si>
  <si>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</si>
  <si>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</si>
  <si>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</si>
  <si>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</si>
  <si>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</si>
  <si>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</si>
  <si>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</si>
  <si>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</si>
  <si>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</si>
  <si>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</si>
  <si>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</si>
  <si>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</si>
  <si>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</si>
  <si>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</si>
  <si>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</si>
  <si>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</si>
  <si>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</si>
  <si>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</si>
  <si>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</si>
  <si>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</si>
  <si>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</si>
  <si>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</si>
  <si>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</si>
  <si>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</si>
  <si>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</si>
  <si>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</si>
  <si>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</si>
  <si>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</si>
  <si>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</si>
  <si>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</si>
  <si>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</si>
  <si>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</si>
  <si>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</si>
  <si>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</si>
  <si>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</si>
  <si>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</si>
  <si>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</si>
  <si>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</si>
  <si>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</si>
  <si>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</si>
  <si>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</si>
  <si>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</si>
  <si>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</si>
  <si>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</si>
  <si>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</si>
  <si>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</si>
  <si>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</si>
  <si>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</si>
  <si>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</si>
  <si>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</si>
  <si>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</si>
  <si>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</si>
  <si>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</si>
  <si>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</si>
  <si>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</si>
  <si>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</si>
  <si>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</si>
  <si>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</si>
  <si>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</si>
  <si>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</si>
  <si>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</si>
  <si>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</si>
  <si>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</si>
  <si>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</si>
  <si>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</si>
  <si>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</si>
  <si>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</si>
  <si>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</si>
  <si>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</si>
  <si>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</si>
  <si>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</si>
  <si>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</si>
  <si>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</si>
  <si>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</si>
  <si>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</si>
  <si>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</si>
  <si>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</si>
  <si>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</si>
  <si>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</si>
  <si>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</si>
  <si>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</si>
  <si>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</si>
  <si>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</si>
  <si>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</si>
  <si>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</si>
  <si>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</si>
  <si>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</si>
  <si>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</si>
  <si>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</si>
  <si>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</si>
  <si>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</si>
  <si>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</si>
  <si>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</si>
  <si>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</si>
  <si>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</si>
  <si>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</si>
  <si>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</si>
  <si>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</si>
  <si>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</si>
  <si>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</si>
  <si>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</si>
  <si>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</si>
  <si>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</si>
  <si>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</si>
  <si>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</si>
  <si>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</si>
  <si>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</si>
  <si>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</si>
  <si>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</si>
  <si>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</si>
  <si>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</si>
  <si>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</si>
  <si>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</si>
  <si>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</si>
  <si>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</si>
  <si>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</si>
  <si>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</si>
  <si>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</si>
  <si>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</si>
  <si>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</si>
  <si>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</si>
  <si>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</si>
  <si>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</si>
  <si>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</si>
  <si>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</si>
  <si>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</si>
  <si>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</si>
  <si>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</si>
  <si>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</si>
  <si>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</si>
  <si>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</si>
  <si>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</si>
  <si>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</si>
  <si>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</si>
  <si>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</si>
  <si>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</si>
  <si>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</si>
  <si>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</si>
  <si>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</si>
  <si>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</si>
  <si>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</si>
  <si>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</si>
  <si>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</si>
  <si>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</si>
  <si>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</si>
  <si>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</si>
  <si>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</si>
  <si>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</si>
  <si>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</si>
  <si>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</si>
  <si>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</si>
  <si>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</si>
  <si>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</si>
  <si>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</si>
  <si>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</si>
  <si>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</si>
  <si>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</si>
  <si>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</si>
  <si>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</si>
  <si>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</si>
  <si>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</si>
  <si>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</si>
  <si>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</si>
  <si>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</si>
  <si>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</si>
  <si>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</si>
  <si>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</si>
  <si>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</si>
  <si>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</si>
  <si>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</si>
  <si>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</si>
  <si>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</si>
  <si>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</si>
  <si>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</si>
  <si>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</si>
  <si>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</si>
  <si>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</si>
  <si>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</si>
  <si>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</si>
  <si>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</si>
  <si>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</si>
  <si>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</si>
  <si>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</si>
  <si>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</si>
  <si>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</si>
  <si>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</si>
  <si>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</si>
  <si>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</si>
  <si>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</si>
  <si>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</si>
  <si>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</si>
  <si>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</si>
  <si>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</si>
  <si>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</si>
  <si>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</si>
  <si>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</si>
  <si>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</si>
  <si>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</si>
  <si>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</si>
  <si>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</si>
  <si>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</si>
  <si>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</si>
  <si>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</si>
  <si>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</si>
  <si>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</si>
  <si>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</si>
  <si>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</si>
  <si>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</si>
  <si>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</si>
  <si>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</si>
  <si>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</si>
  <si>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</si>
  <si>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</si>
  <si>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</si>
  <si>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</si>
  <si>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</si>
  <si>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</si>
  <si>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</si>
  <si>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</si>
  <si>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</si>
  <si>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</si>
  <si>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</si>
  <si>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</si>
  <si>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</si>
  <si>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</si>
  <si>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</si>
  <si>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</si>
  <si>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</si>
  <si>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</si>
  <si>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</si>
  <si>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</si>
  <si>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</si>
  <si>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</si>
  <si>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</si>
  <si>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</si>
  <si>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</si>
  <si>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</si>
  <si>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</si>
  <si>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</si>
  <si>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</si>
  <si>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</si>
  <si>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</si>
  <si>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</si>
  <si>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</si>
  <si>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</si>
  <si>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</si>
  <si>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</si>
  <si>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</si>
  <si>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</si>
  <si>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</si>
  <si>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</si>
  <si>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</si>
  <si>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</si>
  <si>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</si>
  <si>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</si>
  <si>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</si>
  <si>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</si>
  <si>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</si>
  <si>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</si>
  <si>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</si>
  <si>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</si>
  <si>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</si>
  <si>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</si>
  <si>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</si>
  <si>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</si>
  <si>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</si>
  <si>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</si>
  <si>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</si>
  <si>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</si>
  <si>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</si>
  <si>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</si>
  <si>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</si>
  <si>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</si>
  <si>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</si>
  <si>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</si>
  <si>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</si>
  <si>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</si>
  <si>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</si>
  <si>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</si>
  <si>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</si>
  <si>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</si>
  <si>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</si>
  <si>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</si>
  <si>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</si>
  <si>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</si>
  <si>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</si>
  <si>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</si>
  <si>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</si>
  <si>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</si>
  <si>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</si>
  <si>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</si>
  <si>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</si>
  <si>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</si>
  <si>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</si>
  <si>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</si>
  <si>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</si>
  <si>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</si>
  <si>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</si>
  <si>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</si>
  <si>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</si>
  <si>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</si>
  <si>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</si>
  <si>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</si>
  <si>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</si>
  <si>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</si>
  <si>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</si>
  <si>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</si>
  <si>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</si>
  <si>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</si>
  <si>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</si>
  <si>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</si>
  <si>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</si>
  <si>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</si>
  <si>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</si>
  <si>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</si>
  <si>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</si>
  <si>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</si>
  <si>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</si>
  <si>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</si>
  <si>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</si>
  <si>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</si>
  <si>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</si>
  <si>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</si>
  <si>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</si>
  <si>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</si>
  <si>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</si>
  <si>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</si>
  <si>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</si>
  <si>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</si>
  <si>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</si>
  <si>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</si>
  <si>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</si>
  <si>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</si>
  <si>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</si>
  <si>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</si>
  <si>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</si>
  <si>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</si>
  <si>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</si>
  <si>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</si>
  <si>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</si>
  <si>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</si>
  <si>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</si>
  <si>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</si>
  <si>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</si>
  <si>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</si>
  <si>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</si>
  <si>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</si>
  <si>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</si>
  <si>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</si>
  <si>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</si>
  <si>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</si>
  <si>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</si>
  <si>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</si>
  <si>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</si>
  <si>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</si>
  <si>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</si>
  <si>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</si>
  <si>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</si>
  <si>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</si>
  <si>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</si>
  <si>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</si>
  <si>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</si>
  <si>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</si>
  <si>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</si>
  <si>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</si>
  <si>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</si>
  <si>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</si>
  <si>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</si>
  <si>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</si>
  <si>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</si>
  <si>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</si>
  <si>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</si>
  <si>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</si>
  <si>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</si>
  <si>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</si>
  <si>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</si>
  <si>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</si>
  <si>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</si>
  <si>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</si>
  <si>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</si>
  <si>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</si>
  <si>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</si>
  <si>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</si>
  <si>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</si>
  <si>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</si>
  <si>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</si>
  <si>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</si>
  <si>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</si>
  <si>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</si>
  <si>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</si>
  <si>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</si>
  <si>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</si>
  <si>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</si>
  <si>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</si>
  <si>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</si>
  <si>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</si>
  <si>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</si>
  <si>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Revision # 54</t>
  </si>
  <si>
    <t xml:space="preserve"> As of 4/14/00</t>
  </si>
  <si>
    <t>Revision #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</si>
</sst>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4">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5505FB6A-71AD-93C2-2A7C-E45BEEF94A9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10A3D9D3-ECC1-AEE5-96EA-7BBD99032E76}"/>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C949CAA7-F7C5-D265-42A8-58A78E0CF360}"/>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vli/source/repos/enron_xls/edrm/2000%20Weekly%20Report%20-%20032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425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9">
          <cell r="E9" t="str">
            <v>as of 7/22/99</v>
          </cell>
        </row>
      </sheetData>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Calvert City"/>
      <sheetName val="Wilton"/>
      <sheetName val="Gleason"/>
      <sheetName val="Wheatland"/>
    </sheetNames>
    <sheetDataSet>
      <sheetData sheetId="0"/>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Y39">
            <v>12555239.295634866</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11156679.917154474</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Y39">
            <v>9702751.940039739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23" activePane="bottomRight" state="frozen"/>
      <selection activeCell="A9" sqref="A9"/>
      <selection pane="topRight" activeCell="A9" sqref="A9"/>
      <selection pane="bottomLeft" activeCell="A9" sqref="A9"/>
      <selection pane="bottomRight" activeCell="K27" sqref="K27"/>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7" customWidth="1"/>
    <col min="14" max="14" width="15.28515625" style="377" hidden="1" customWidth="1"/>
    <col min="15" max="15" width="9.85546875" customWidth="1"/>
    <col min="16" max="16" width="41.140625" bestFit="1" customWidth="1"/>
    <col min="17" max="17" width="1.28515625" customWidth="1"/>
    <col min="18" max="19" width="30.7109375" customWidth="1"/>
  </cols>
  <sheetData>
    <row r="1" spans="1:17" ht="2.25" customHeight="1">
      <c r="C1" s="49"/>
      <c r="H1" s="254"/>
      <c r="I1" s="254"/>
      <c r="J1" s="254"/>
      <c r="K1" s="254"/>
      <c r="L1" s="378"/>
      <c r="M1" s="378"/>
      <c r="N1" s="378"/>
      <c r="O1" s="49"/>
      <c r="P1" s="49"/>
    </row>
    <row r="2" spans="1:17" ht="11.25" customHeight="1">
      <c r="Q2" s="255"/>
    </row>
    <row r="3" spans="1:17" ht="40.5" customHeight="1">
      <c r="A3" s="256"/>
      <c r="B3" s="256" t="s">
        <v>337</v>
      </c>
      <c r="G3" s="348" t="s">
        <v>426</v>
      </c>
      <c r="Q3" s="255"/>
    </row>
    <row r="4" spans="1:17" ht="26.25">
      <c r="A4" s="257"/>
      <c r="B4" s="257" t="s">
        <v>338</v>
      </c>
      <c r="C4" s="255"/>
      <c r="D4" s="255"/>
      <c r="E4" s="255"/>
      <c r="F4" s="255"/>
      <c r="G4" s="255"/>
      <c r="H4" s="258"/>
      <c r="I4" s="258"/>
      <c r="J4" s="258"/>
      <c r="K4" s="258"/>
      <c r="L4" s="379"/>
      <c r="M4" s="379"/>
      <c r="N4" s="379"/>
      <c r="O4" s="255"/>
      <c r="P4" s="255"/>
      <c r="Q4" s="255"/>
    </row>
    <row r="5" spans="1:17" ht="20.25">
      <c r="A5" s="259"/>
      <c r="B5" s="259" t="s">
        <v>339</v>
      </c>
      <c r="C5" s="255"/>
      <c r="D5" s="255"/>
      <c r="E5" s="255"/>
      <c r="F5" s="255"/>
      <c r="G5" s="255"/>
      <c r="H5" s="258"/>
      <c r="I5" s="258"/>
      <c r="J5" s="258"/>
      <c r="K5" s="258"/>
      <c r="L5" s="379"/>
      <c r="M5" s="379"/>
      <c r="N5" s="379"/>
      <c r="O5" s="255"/>
      <c r="P5" s="255"/>
      <c r="Q5" s="255"/>
    </row>
    <row r="6" spans="1:17" ht="6.75" customHeight="1" thickBot="1">
      <c r="C6" s="49"/>
      <c r="H6" s="254"/>
      <c r="I6" s="254"/>
      <c r="J6" s="254"/>
      <c r="K6" s="254"/>
      <c r="L6" s="378"/>
      <c r="M6" s="378"/>
      <c r="N6" s="378"/>
      <c r="O6" s="49"/>
      <c r="P6" s="49"/>
    </row>
    <row r="7" spans="1:17" ht="25.5" customHeight="1">
      <c r="A7" s="488" t="s">
        <v>340</v>
      </c>
      <c r="B7" s="491" t="s">
        <v>341</v>
      </c>
      <c r="C7" s="491" t="s">
        <v>342</v>
      </c>
      <c r="D7" s="491" t="s">
        <v>343</v>
      </c>
      <c r="E7" s="491" t="s">
        <v>344</v>
      </c>
      <c r="F7" s="491" t="s">
        <v>345</v>
      </c>
      <c r="G7" s="485" t="s">
        <v>346</v>
      </c>
      <c r="H7" s="485" t="s">
        <v>347</v>
      </c>
      <c r="I7" s="485" t="s">
        <v>348</v>
      </c>
      <c r="J7" s="485" t="s">
        <v>349</v>
      </c>
      <c r="K7" s="485" t="s">
        <v>350</v>
      </c>
      <c r="L7" s="380" t="s">
        <v>374</v>
      </c>
      <c r="M7" s="380"/>
      <c r="N7" s="380"/>
      <c r="O7" s="491" t="s">
        <v>351</v>
      </c>
      <c r="P7" s="482" t="s">
        <v>352</v>
      </c>
      <c r="Q7" s="260"/>
    </row>
    <row r="8" spans="1:17">
      <c r="A8" s="489"/>
      <c r="B8" s="492"/>
      <c r="C8" s="492"/>
      <c r="D8" s="492"/>
      <c r="E8" s="492"/>
      <c r="F8" s="492"/>
      <c r="G8" s="486"/>
      <c r="H8" s="486"/>
      <c r="I8" s="486"/>
      <c r="J8" s="486"/>
      <c r="K8" s="486"/>
      <c r="L8" s="381" t="s">
        <v>355</v>
      </c>
      <c r="M8" s="381" t="s">
        <v>502</v>
      </c>
      <c r="N8" s="381" t="s">
        <v>506</v>
      </c>
      <c r="O8" s="492"/>
      <c r="P8" s="483"/>
      <c r="Q8" s="261"/>
    </row>
    <row r="9" spans="1:17" ht="32.25" thickBot="1">
      <c r="A9" s="490"/>
      <c r="B9" s="493"/>
      <c r="C9" s="493"/>
      <c r="D9" s="493"/>
      <c r="E9" s="493"/>
      <c r="F9" s="493"/>
      <c r="G9" s="487"/>
      <c r="H9" s="487"/>
      <c r="I9" s="487"/>
      <c r="J9" s="487"/>
      <c r="K9" s="487"/>
      <c r="L9" s="382"/>
      <c r="M9" s="382" t="s">
        <v>505</v>
      </c>
      <c r="N9" s="382" t="s">
        <v>507</v>
      </c>
      <c r="O9" s="493"/>
      <c r="P9" s="484"/>
      <c r="Q9" s="262"/>
    </row>
    <row r="10" spans="1:17" ht="16.5" thickBot="1">
      <c r="A10" s="263"/>
      <c r="B10" s="264"/>
      <c r="C10" s="264"/>
      <c r="D10" s="264"/>
      <c r="E10" s="264"/>
      <c r="F10" s="264"/>
      <c r="G10" s="264"/>
      <c r="H10" s="263"/>
      <c r="I10" s="263"/>
      <c r="J10" s="263"/>
      <c r="K10" s="263"/>
      <c r="L10" s="383"/>
      <c r="M10" s="383"/>
      <c r="N10" s="383"/>
      <c r="O10" s="264"/>
      <c r="P10" s="264"/>
      <c r="Q10" s="265"/>
    </row>
    <row r="11" spans="1:17" s="30" customFormat="1" ht="18.75" customHeight="1" thickBot="1">
      <c r="A11" s="266" t="s">
        <v>353</v>
      </c>
      <c r="B11" s="267"/>
      <c r="C11" s="268"/>
      <c r="D11" s="268"/>
      <c r="E11" s="268"/>
      <c r="F11" s="268"/>
      <c r="G11" s="268"/>
      <c r="H11" s="269"/>
      <c r="I11" s="269"/>
      <c r="J11" s="269"/>
      <c r="K11" s="269"/>
      <c r="L11" s="384"/>
      <c r="M11" s="384"/>
      <c r="N11" s="384"/>
      <c r="O11" s="268"/>
      <c r="P11" s="265"/>
      <c r="Q11" s="265"/>
    </row>
    <row r="12" spans="1:17" ht="6" customHeight="1">
      <c r="A12" s="270"/>
      <c r="B12" s="271"/>
      <c r="C12" s="272"/>
      <c r="D12" s="272"/>
      <c r="E12" s="272"/>
      <c r="F12" s="272"/>
      <c r="G12" s="272"/>
      <c r="H12" s="273"/>
      <c r="I12" s="274"/>
      <c r="J12" s="274"/>
      <c r="K12" s="274"/>
      <c r="L12" s="385"/>
      <c r="M12" s="385"/>
      <c r="N12" s="385"/>
      <c r="O12" s="272"/>
      <c r="P12" s="275"/>
      <c r="Q12" s="276"/>
    </row>
    <row r="13" spans="1:17" s="330" customFormat="1" ht="134.25" customHeight="1">
      <c r="A13" s="350" t="s">
        <v>354</v>
      </c>
      <c r="B13" s="353" t="s">
        <v>421</v>
      </c>
      <c r="C13" s="333" t="s">
        <v>230</v>
      </c>
      <c r="D13" s="334">
        <v>36383</v>
      </c>
      <c r="E13" s="334">
        <v>36383</v>
      </c>
      <c r="F13" s="333" t="s">
        <v>436</v>
      </c>
      <c r="G13" s="335"/>
      <c r="H13" s="335">
        <v>1225177</v>
      </c>
      <c r="I13" s="336">
        <v>0</v>
      </c>
      <c r="J13" s="336">
        <v>0</v>
      </c>
      <c r="K13" s="336">
        <f>SUM(G13:J13)</f>
        <v>1225177</v>
      </c>
      <c r="L13" s="372">
        <f>-1161792+K13</f>
        <v>63385</v>
      </c>
      <c r="M13" s="372"/>
      <c r="N13" s="372"/>
      <c r="O13" s="333">
        <v>0</v>
      </c>
      <c r="P13" s="387" t="s">
        <v>461</v>
      </c>
      <c r="Q13" s="329"/>
    </row>
    <row r="14" spans="1:17" s="330" customFormat="1" ht="48" customHeight="1">
      <c r="A14" s="350" t="s">
        <v>452</v>
      </c>
      <c r="B14" s="353" t="s">
        <v>453</v>
      </c>
      <c r="C14" s="333" t="s">
        <v>230</v>
      </c>
      <c r="D14" s="334"/>
      <c r="E14" s="334"/>
      <c r="F14" s="333"/>
      <c r="G14" s="335"/>
      <c r="H14" s="335">
        <v>1865140</v>
      </c>
      <c r="I14" s="336"/>
      <c r="J14" s="336"/>
      <c r="K14" s="336">
        <f>SUM(G14:J14)</f>
        <v>1865140</v>
      </c>
      <c r="L14" s="372">
        <v>1707436</v>
      </c>
      <c r="M14" s="372">
        <v>1865140</v>
      </c>
      <c r="N14" s="372"/>
      <c r="O14" s="333"/>
      <c r="P14" s="387" t="s">
        <v>454</v>
      </c>
      <c r="Q14" s="329"/>
    </row>
    <row r="15" spans="1:17" s="330" customFormat="1" ht="91.5" customHeight="1">
      <c r="A15" s="350" t="s">
        <v>456</v>
      </c>
      <c r="B15" s="353" t="s">
        <v>457</v>
      </c>
      <c r="C15" s="333" t="s">
        <v>230</v>
      </c>
      <c r="D15" s="334"/>
      <c r="E15" s="334"/>
      <c r="F15" s="333"/>
      <c r="G15" s="335"/>
      <c r="H15" s="335">
        <v>2415377</v>
      </c>
      <c r="I15" s="336"/>
      <c r="J15" s="336"/>
      <c r="K15" s="336">
        <f>SUM(G15:J15)</f>
        <v>2415377</v>
      </c>
      <c r="L15" s="372">
        <v>0</v>
      </c>
      <c r="M15" s="372">
        <v>2169159</v>
      </c>
      <c r="N15" s="372"/>
      <c r="O15" s="333"/>
      <c r="P15" s="387" t="s">
        <v>458</v>
      </c>
      <c r="Q15" s="329"/>
    </row>
    <row r="16" spans="1:17" s="330" customFormat="1" ht="44.25" customHeight="1">
      <c r="A16" s="350" t="s">
        <v>455</v>
      </c>
      <c r="B16" s="353" t="s">
        <v>459</v>
      </c>
      <c r="C16" s="333" t="s">
        <v>230</v>
      </c>
      <c r="D16" s="334"/>
      <c r="E16" s="334"/>
      <c r="F16" s="333"/>
      <c r="G16" s="335"/>
      <c r="H16" s="335">
        <v>1992155</v>
      </c>
      <c r="I16" s="336"/>
      <c r="J16" s="336"/>
      <c r="K16" s="336">
        <f>SUM(G16:J16)</f>
        <v>1992155</v>
      </c>
      <c r="L16" s="372">
        <v>1258397</v>
      </c>
      <c r="M16" s="372">
        <v>1992155</v>
      </c>
      <c r="N16" s="372"/>
      <c r="O16" s="333"/>
      <c r="P16" s="387" t="s">
        <v>460</v>
      </c>
      <c r="Q16" s="329"/>
    </row>
    <row r="17" spans="1:17" s="330" customFormat="1" ht="44.25" customHeight="1">
      <c r="A17" s="350" t="s">
        <v>503</v>
      </c>
      <c r="B17" s="353" t="s">
        <v>504</v>
      </c>
      <c r="C17" s="333"/>
      <c r="D17" s="334"/>
      <c r="E17" s="334"/>
      <c r="F17" s="333"/>
      <c r="G17" s="335"/>
      <c r="H17" s="335"/>
      <c r="I17" s="336"/>
      <c r="J17" s="336"/>
      <c r="K17" s="336"/>
      <c r="L17" s="372"/>
      <c r="M17" s="372">
        <v>292550</v>
      </c>
      <c r="N17" s="372"/>
      <c r="O17" s="333"/>
      <c r="P17" s="387"/>
      <c r="Q17" s="329"/>
    </row>
    <row r="18" spans="1:17" s="330" customFormat="1">
      <c r="A18" s="350" t="s">
        <v>356</v>
      </c>
      <c r="B18" s="353" t="s">
        <v>357</v>
      </c>
      <c r="C18" s="324" t="s">
        <v>230</v>
      </c>
      <c r="D18" s="325">
        <v>36383</v>
      </c>
      <c r="E18" s="325">
        <v>36383</v>
      </c>
      <c r="F18" s="324" t="s">
        <v>358</v>
      </c>
      <c r="G18" s="326"/>
      <c r="H18" s="326">
        <v>0</v>
      </c>
      <c r="I18" s="327">
        <v>0</v>
      </c>
      <c r="J18" s="327">
        <v>0</v>
      </c>
      <c r="K18" s="327">
        <f t="shared" ref="K18:K41" si="0">SUM(G18:J18)</f>
        <v>0</v>
      </c>
      <c r="L18" s="371"/>
      <c r="M18" s="371"/>
      <c r="N18" s="371"/>
      <c r="O18" s="324">
        <v>0</v>
      </c>
      <c r="P18" s="328" t="s">
        <v>359</v>
      </c>
      <c r="Q18" s="329"/>
    </row>
    <row r="19" spans="1:17" s="330" customFormat="1" ht="51.75" customHeight="1">
      <c r="A19" s="350" t="s">
        <v>360</v>
      </c>
      <c r="B19" s="353" t="s">
        <v>428</v>
      </c>
      <c r="C19" s="333" t="s">
        <v>230</v>
      </c>
      <c r="D19" s="334">
        <v>36383</v>
      </c>
      <c r="E19" s="334"/>
      <c r="F19" s="333" t="s">
        <v>361</v>
      </c>
      <c r="G19" s="335"/>
      <c r="H19" s="335">
        <v>714015</v>
      </c>
      <c r="I19" s="336">
        <v>0</v>
      </c>
      <c r="J19" s="336">
        <v>0</v>
      </c>
      <c r="K19" s="336">
        <f t="shared" si="0"/>
        <v>714015</v>
      </c>
      <c r="L19" s="372">
        <v>381799</v>
      </c>
      <c r="M19" s="372">
        <v>443820</v>
      </c>
      <c r="N19" s="372">
        <f>-256057+698977</f>
        <v>442920</v>
      </c>
      <c r="O19" s="333">
        <v>0</v>
      </c>
      <c r="P19" s="337" t="s">
        <v>362</v>
      </c>
      <c r="Q19" s="329"/>
    </row>
    <row r="20" spans="1:17" s="398" customFormat="1" ht="102.75" customHeight="1">
      <c r="A20" s="388" t="s">
        <v>427</v>
      </c>
      <c r="B20" s="389" t="s">
        <v>429</v>
      </c>
      <c r="C20" s="390" t="s">
        <v>230</v>
      </c>
      <c r="D20" s="391">
        <v>36383</v>
      </c>
      <c r="E20" s="391"/>
      <c r="F20" s="392" t="s">
        <v>361</v>
      </c>
      <c r="G20" s="393"/>
      <c r="H20" s="393">
        <v>3249323</v>
      </c>
      <c r="I20" s="394">
        <v>0</v>
      </c>
      <c r="J20" s="394">
        <v>0</v>
      </c>
      <c r="K20" s="394">
        <f t="shared" si="0"/>
        <v>3249323</v>
      </c>
      <c r="L20" s="395">
        <v>2125513</v>
      </c>
      <c r="M20" s="395">
        <v>2474029</v>
      </c>
      <c r="N20" s="395">
        <f>3184986-1260263</f>
        <v>1924723</v>
      </c>
      <c r="O20" s="392">
        <v>0</v>
      </c>
      <c r="P20" s="396" t="s">
        <v>363</v>
      </c>
      <c r="Q20" s="397"/>
    </row>
    <row r="21" spans="1:17" s="409" customFormat="1" ht="31.5" customHeight="1">
      <c r="A21" s="399"/>
      <c r="B21" s="400" t="s">
        <v>419</v>
      </c>
      <c r="C21" s="401" t="s">
        <v>230</v>
      </c>
      <c r="D21" s="402">
        <v>36383</v>
      </c>
      <c r="E21" s="402"/>
      <c r="F21" s="403" t="s">
        <v>361</v>
      </c>
      <c r="G21" s="404"/>
      <c r="H21" s="404">
        <v>560292</v>
      </c>
      <c r="I21" s="405">
        <v>0</v>
      </c>
      <c r="J21" s="405">
        <v>0</v>
      </c>
      <c r="K21" s="405">
        <f t="shared" si="0"/>
        <v>560292</v>
      </c>
      <c r="L21" s="406">
        <v>0</v>
      </c>
      <c r="M21" s="406"/>
      <c r="N21" s="406"/>
      <c r="O21" s="403">
        <v>0</v>
      </c>
      <c r="P21" s="407" t="s">
        <v>363</v>
      </c>
      <c r="Q21" s="408"/>
    </row>
    <row r="22" spans="1:17" s="330" customFormat="1" ht="110.25">
      <c r="A22" s="350" t="s">
        <v>364</v>
      </c>
      <c r="B22" s="353" t="s">
        <v>420</v>
      </c>
      <c r="C22" s="343" t="s">
        <v>230</v>
      </c>
      <c r="D22" s="344">
        <v>36383</v>
      </c>
      <c r="E22" s="344">
        <v>36454</v>
      </c>
      <c r="F22" s="343" t="s">
        <v>358</v>
      </c>
      <c r="G22" s="345"/>
      <c r="H22" s="345">
        <v>796634</v>
      </c>
      <c r="I22" s="346">
        <v>0</v>
      </c>
      <c r="J22" s="346">
        <v>0</v>
      </c>
      <c r="K22" s="346">
        <f t="shared" si="0"/>
        <v>796634</v>
      </c>
      <c r="L22" s="386">
        <f>K22-28680-15617</f>
        <v>752337</v>
      </c>
      <c r="M22" s="386">
        <v>687700</v>
      </c>
      <c r="N22" s="386"/>
      <c r="O22" s="343">
        <v>0</v>
      </c>
      <c r="P22" s="347"/>
      <c r="Q22" s="329"/>
    </row>
    <row r="23" spans="1:17" s="330" customFormat="1" ht="78.75">
      <c r="A23" s="350" t="s">
        <v>365</v>
      </c>
      <c r="B23" s="353" t="s">
        <v>434</v>
      </c>
      <c r="C23" s="333" t="s">
        <v>230</v>
      </c>
      <c r="D23" s="334">
        <v>36383</v>
      </c>
      <c r="E23" s="334">
        <v>36454</v>
      </c>
      <c r="F23" s="333" t="s">
        <v>358</v>
      </c>
      <c r="G23" s="335"/>
      <c r="H23" s="335">
        <v>156452</v>
      </c>
      <c r="I23" s="336">
        <v>0</v>
      </c>
      <c r="J23" s="336">
        <v>0</v>
      </c>
      <c r="K23" s="336">
        <f t="shared" si="0"/>
        <v>156452</v>
      </c>
      <c r="L23" s="372">
        <v>156452</v>
      </c>
      <c r="M23" s="372">
        <v>156675</v>
      </c>
      <c r="N23" s="372"/>
      <c r="O23" s="333">
        <v>0</v>
      </c>
      <c r="P23" s="337"/>
      <c r="Q23" s="329"/>
    </row>
    <row r="24" spans="1:17" s="330" customFormat="1">
      <c r="A24" s="351" t="s">
        <v>366</v>
      </c>
      <c r="B24" s="353" t="s">
        <v>367</v>
      </c>
      <c r="C24" s="324" t="s">
        <v>230</v>
      </c>
      <c r="D24" s="325">
        <v>36383</v>
      </c>
      <c r="E24" s="325">
        <v>36383</v>
      </c>
      <c r="F24" s="324" t="s">
        <v>358</v>
      </c>
      <c r="G24" s="326"/>
      <c r="H24" s="326">
        <v>0</v>
      </c>
      <c r="I24" s="327">
        <v>0</v>
      </c>
      <c r="J24" s="327">
        <v>0</v>
      </c>
      <c r="K24" s="360">
        <f t="shared" si="0"/>
        <v>0</v>
      </c>
      <c r="L24" s="371"/>
      <c r="M24" s="371">
        <v>0</v>
      </c>
      <c r="N24" s="371"/>
      <c r="O24" s="324">
        <v>0</v>
      </c>
      <c r="P24" s="328" t="s">
        <v>359</v>
      </c>
      <c r="Q24" s="329"/>
    </row>
    <row r="25" spans="1:17" s="330" customFormat="1" ht="94.5">
      <c r="A25" s="350" t="s">
        <v>368</v>
      </c>
      <c r="B25" s="353" t="s">
        <v>430</v>
      </c>
      <c r="C25" s="333" t="s">
        <v>230</v>
      </c>
      <c r="D25" s="334">
        <v>36383</v>
      </c>
      <c r="E25" s="334">
        <v>36454</v>
      </c>
      <c r="F25" s="333" t="s">
        <v>358</v>
      </c>
      <c r="G25" s="335"/>
      <c r="H25" s="335">
        <v>496034</v>
      </c>
      <c r="I25" s="336">
        <v>0</v>
      </c>
      <c r="J25" s="336">
        <v>0</v>
      </c>
      <c r="K25" s="361">
        <f t="shared" si="0"/>
        <v>496034</v>
      </c>
      <c r="L25" s="372">
        <v>486308</v>
      </c>
      <c r="M25" s="372">
        <v>486424</v>
      </c>
      <c r="N25" s="372"/>
      <c r="O25" s="333">
        <v>0</v>
      </c>
      <c r="P25" s="337"/>
      <c r="Q25" s="329"/>
    </row>
    <row r="26" spans="1:17" s="330" customFormat="1" ht="47.25">
      <c r="A26" s="350" t="s">
        <v>369</v>
      </c>
      <c r="B26" s="353" t="s">
        <v>422</v>
      </c>
      <c r="C26" s="333" t="s">
        <v>230</v>
      </c>
      <c r="D26" s="334">
        <v>36383</v>
      </c>
      <c r="E26" s="334">
        <v>36454</v>
      </c>
      <c r="F26" s="333" t="s">
        <v>358</v>
      </c>
      <c r="G26" s="335"/>
      <c r="H26" s="335">
        <v>38207</v>
      </c>
      <c r="I26" s="336">
        <v>0</v>
      </c>
      <c r="J26" s="336">
        <v>0</v>
      </c>
      <c r="K26" s="361">
        <f t="shared" si="0"/>
        <v>38207</v>
      </c>
      <c r="L26" s="372">
        <f>K26-78-525-749</f>
        <v>36855</v>
      </c>
      <c r="M26" s="372">
        <v>37261</v>
      </c>
      <c r="N26" s="372"/>
      <c r="O26" s="333">
        <v>0</v>
      </c>
      <c r="P26" s="337"/>
      <c r="Q26" s="329"/>
    </row>
    <row r="27" spans="1:17" s="330" customFormat="1" ht="78.75">
      <c r="A27" s="350" t="s">
        <v>370</v>
      </c>
      <c r="B27" s="353" t="s">
        <v>423</v>
      </c>
      <c r="C27" s="333" t="s">
        <v>230</v>
      </c>
      <c r="D27" s="334">
        <v>36383</v>
      </c>
      <c r="E27" s="334">
        <v>36454</v>
      </c>
      <c r="F27" s="333" t="s">
        <v>358</v>
      </c>
      <c r="G27" s="335"/>
      <c r="H27" s="335">
        <v>67746</v>
      </c>
      <c r="I27" s="336">
        <v>0</v>
      </c>
      <c r="J27" s="336">
        <v>0</v>
      </c>
      <c r="K27" s="361">
        <f t="shared" si="0"/>
        <v>67746</v>
      </c>
      <c r="L27" s="372">
        <f>K27-650-4125-1328</f>
        <v>61643</v>
      </c>
      <c r="M27" s="372">
        <v>64450</v>
      </c>
      <c r="N27" s="372"/>
      <c r="O27" s="333">
        <v>0</v>
      </c>
      <c r="P27" s="337"/>
      <c r="Q27" s="329"/>
    </row>
    <row r="28" spans="1:17">
      <c r="A28" s="352"/>
      <c r="B28" s="354"/>
      <c r="C28" s="278"/>
      <c r="D28" s="279"/>
      <c r="E28" s="279"/>
      <c r="F28" s="278"/>
      <c r="G28" s="280"/>
      <c r="H28" s="280"/>
      <c r="I28" s="281"/>
      <c r="J28" s="281"/>
      <c r="K28" s="362"/>
      <c r="L28" s="373"/>
      <c r="M28" s="373"/>
      <c r="N28" s="373"/>
      <c r="O28" s="278"/>
      <c r="P28" s="282"/>
      <c r="Q28" s="283"/>
    </row>
    <row r="29" spans="1:17" s="330" customFormat="1" ht="31.5">
      <c r="A29" s="351" t="s">
        <v>371</v>
      </c>
      <c r="B29" s="353" t="s">
        <v>424</v>
      </c>
      <c r="C29" s="324" t="s">
        <v>236</v>
      </c>
      <c r="D29" s="325">
        <v>36458</v>
      </c>
      <c r="E29" s="325">
        <v>36458</v>
      </c>
      <c r="F29" s="324" t="s">
        <v>355</v>
      </c>
      <c r="G29" s="326"/>
      <c r="H29" s="326">
        <v>0</v>
      </c>
      <c r="I29" s="327">
        <v>5000</v>
      </c>
      <c r="J29" s="327">
        <v>0</v>
      </c>
      <c r="K29" s="360">
        <f t="shared" si="0"/>
        <v>5000</v>
      </c>
      <c r="L29" s="371">
        <v>5000</v>
      </c>
      <c r="M29" s="371">
        <v>5000</v>
      </c>
      <c r="N29" s="371"/>
      <c r="O29" s="324">
        <v>0</v>
      </c>
      <c r="P29" s="328"/>
      <c r="Q29" s="329"/>
    </row>
    <row r="30" spans="1:17" ht="18">
      <c r="A30" s="277"/>
      <c r="B30" s="293" t="s">
        <v>378</v>
      </c>
      <c r="C30" s="278"/>
      <c r="D30" s="278"/>
      <c r="E30" s="278"/>
      <c r="F30" s="278" t="s">
        <v>355</v>
      </c>
      <c r="G30" s="294"/>
      <c r="H30" s="358">
        <f t="shared" ref="H30:M30" si="1">SUM(H13:H29)</f>
        <v>13576552</v>
      </c>
      <c r="I30" s="358">
        <f t="shared" si="1"/>
        <v>5000</v>
      </c>
      <c r="J30" s="358">
        <f t="shared" si="1"/>
        <v>0</v>
      </c>
      <c r="K30" s="358">
        <f t="shared" si="1"/>
        <v>13581552</v>
      </c>
      <c r="L30" s="420">
        <f t="shared" si="1"/>
        <v>7035125</v>
      </c>
      <c r="M30" s="420">
        <f t="shared" si="1"/>
        <v>10674363</v>
      </c>
      <c r="N30" s="420"/>
      <c r="O30" s="278"/>
      <c r="P30" s="282"/>
      <c r="Q30" s="283"/>
    </row>
    <row r="31" spans="1:17">
      <c r="A31" s="277"/>
      <c r="B31" s="293" t="s">
        <v>379</v>
      </c>
      <c r="C31" s="278"/>
      <c r="D31" s="278"/>
      <c r="E31" s="278"/>
      <c r="F31" s="278" t="s">
        <v>358</v>
      </c>
      <c r="G31" s="294"/>
      <c r="H31" s="294">
        <v>0</v>
      </c>
      <c r="I31" s="294">
        <v>0</v>
      </c>
      <c r="J31" s="294">
        <v>0</v>
      </c>
      <c r="K31" s="358">
        <v>0</v>
      </c>
      <c r="L31" s="375"/>
      <c r="M31" s="375"/>
      <c r="N31" s="375"/>
      <c r="O31" s="278"/>
      <c r="P31" s="282"/>
      <c r="Q31" s="283"/>
    </row>
    <row r="32" spans="1:17">
      <c r="A32" s="277"/>
      <c r="B32" s="293" t="s">
        <v>380</v>
      </c>
      <c r="C32" s="278"/>
      <c r="D32" s="278"/>
      <c r="E32" s="278"/>
      <c r="F32" s="278" t="s">
        <v>361</v>
      </c>
      <c r="G32" s="294"/>
      <c r="H32" s="294">
        <v>0</v>
      </c>
      <c r="I32" s="294">
        <v>0</v>
      </c>
      <c r="J32" s="294">
        <v>0</v>
      </c>
      <c r="K32" s="358">
        <v>0</v>
      </c>
      <c r="L32" s="375"/>
      <c r="M32" s="375"/>
      <c r="N32" s="375"/>
      <c r="O32" s="278"/>
      <c r="P32" s="282"/>
      <c r="Q32" s="283"/>
    </row>
    <row r="33" spans="1:17">
      <c r="A33" s="277"/>
      <c r="B33" s="293" t="s">
        <v>381</v>
      </c>
      <c r="C33" s="278"/>
      <c r="D33" s="278"/>
      <c r="E33" s="278"/>
      <c r="F33" s="278" t="s">
        <v>382</v>
      </c>
      <c r="G33" s="294"/>
      <c r="H33" s="294">
        <v>0</v>
      </c>
      <c r="I33" s="294">
        <v>0</v>
      </c>
      <c r="J33" s="294">
        <v>0</v>
      </c>
      <c r="K33" s="358">
        <v>0</v>
      </c>
      <c r="L33" s="375"/>
      <c r="M33" s="375"/>
      <c r="N33" s="375"/>
      <c r="O33" s="278"/>
      <c r="P33" s="282"/>
      <c r="Q33" s="283"/>
    </row>
    <row r="34" spans="1:17" ht="16.5" thickBot="1">
      <c r="A34" s="295"/>
      <c r="B34" s="296"/>
      <c r="C34" s="297"/>
      <c r="D34" s="297"/>
      <c r="E34" s="297"/>
      <c r="F34" s="298"/>
      <c r="G34" s="299"/>
      <c r="H34" s="299"/>
      <c r="I34" s="299"/>
      <c r="J34" s="299"/>
      <c r="K34" s="359"/>
      <c r="L34" s="376"/>
      <c r="M34" s="376"/>
      <c r="N34" s="376"/>
      <c r="O34" s="297"/>
      <c r="P34" s="300"/>
      <c r="Q34" s="301"/>
    </row>
    <row r="35" spans="1:17">
      <c r="A35" s="277"/>
      <c r="B35" s="293"/>
      <c r="C35" s="278"/>
      <c r="D35" s="278"/>
      <c r="E35" s="278"/>
      <c r="F35" s="419"/>
      <c r="G35" s="294"/>
      <c r="H35" s="294"/>
      <c r="I35" s="294"/>
      <c r="J35" s="294"/>
      <c r="K35" s="358"/>
      <c r="L35" s="375"/>
      <c r="M35" s="375"/>
      <c r="N35" s="375"/>
      <c r="O35" s="278"/>
      <c r="P35" s="282"/>
      <c r="Q35" s="283"/>
    </row>
    <row r="36" spans="1:17">
      <c r="A36" s="277"/>
      <c r="B36" s="293"/>
      <c r="C36" s="278"/>
      <c r="D36" s="278"/>
      <c r="E36" s="278"/>
      <c r="F36" s="419"/>
      <c r="G36" s="294"/>
      <c r="H36" s="294"/>
      <c r="I36" s="294"/>
      <c r="J36" s="294"/>
      <c r="K36" s="358"/>
      <c r="L36" s="375"/>
      <c r="M36" s="375"/>
      <c r="N36" s="375"/>
      <c r="O36" s="278"/>
      <c r="P36" s="282"/>
      <c r="Q36" s="283"/>
    </row>
    <row r="37" spans="1:17" s="33" customFormat="1">
      <c r="A37" s="352"/>
      <c r="B37" s="418" t="s">
        <v>462</v>
      </c>
      <c r="C37" s="410"/>
      <c r="D37" s="411"/>
      <c r="E37" s="411"/>
      <c r="F37" s="410"/>
      <c r="G37" s="412"/>
      <c r="H37" s="412"/>
      <c r="I37" s="413"/>
      <c r="J37" s="413"/>
      <c r="K37" s="414"/>
      <c r="L37" s="415"/>
      <c r="M37" s="415"/>
      <c r="N37" s="415"/>
      <c r="O37" s="410"/>
      <c r="P37" s="416"/>
      <c r="Q37" s="417"/>
    </row>
    <row r="38" spans="1:17" s="330" customFormat="1">
      <c r="A38" s="351" t="s">
        <v>372</v>
      </c>
      <c r="B38" s="353" t="s">
        <v>373</v>
      </c>
      <c r="C38" s="324" t="s">
        <v>374</v>
      </c>
      <c r="D38" s="325">
        <v>36210</v>
      </c>
      <c r="E38" s="325">
        <v>36210</v>
      </c>
      <c r="F38" s="324" t="s">
        <v>355</v>
      </c>
      <c r="G38" s="326">
        <v>480000</v>
      </c>
      <c r="H38" s="326">
        <v>0</v>
      </c>
      <c r="I38" s="327">
        <v>0</v>
      </c>
      <c r="J38" s="327">
        <v>0</v>
      </c>
      <c r="K38" s="360">
        <f t="shared" si="0"/>
        <v>480000</v>
      </c>
      <c r="L38" s="371">
        <v>480000</v>
      </c>
      <c r="M38" s="371"/>
      <c r="N38" s="371"/>
      <c r="O38" s="324">
        <v>0</v>
      </c>
      <c r="P38" s="328"/>
      <c r="Q38" s="329"/>
    </row>
    <row r="39" spans="1:17" s="330" customFormat="1" ht="47.25">
      <c r="A39" s="350" t="s">
        <v>375</v>
      </c>
      <c r="B39" s="353" t="s">
        <v>425</v>
      </c>
      <c r="C39" s="333" t="s">
        <v>374</v>
      </c>
      <c r="D39" s="334">
        <v>36416</v>
      </c>
      <c r="E39" s="334">
        <v>36416</v>
      </c>
      <c r="F39" s="333" t="s">
        <v>355</v>
      </c>
      <c r="G39" s="335">
        <v>1832000</v>
      </c>
      <c r="H39" s="335">
        <v>0</v>
      </c>
      <c r="I39" s="336">
        <v>0</v>
      </c>
      <c r="J39" s="336">
        <v>0</v>
      </c>
      <c r="K39" s="361">
        <f t="shared" si="0"/>
        <v>1832000</v>
      </c>
      <c r="L39" s="372">
        <v>1832000</v>
      </c>
      <c r="M39" s="372"/>
      <c r="N39" s="372"/>
      <c r="O39" s="333">
        <v>0</v>
      </c>
      <c r="P39" s="337"/>
      <c r="Q39" s="329"/>
    </row>
    <row r="40" spans="1:17">
      <c r="A40" s="352"/>
      <c r="B40" s="354"/>
      <c r="C40" s="278"/>
      <c r="D40" s="279"/>
      <c r="E40" s="279"/>
      <c r="F40" s="278"/>
      <c r="G40" s="280"/>
      <c r="H40" s="280"/>
      <c r="I40" s="281"/>
      <c r="J40" s="281"/>
      <c r="K40" s="362"/>
      <c r="L40" s="373"/>
      <c r="M40" s="373"/>
      <c r="N40" s="373"/>
      <c r="O40" s="278"/>
      <c r="P40" s="282"/>
      <c r="Q40" s="283"/>
    </row>
    <row r="41" spans="1:17" s="330" customFormat="1">
      <c r="A41" s="351" t="s">
        <v>376</v>
      </c>
      <c r="B41" s="353" t="s">
        <v>377</v>
      </c>
      <c r="C41" s="324" t="s">
        <v>374</v>
      </c>
      <c r="D41" s="325">
        <v>36413</v>
      </c>
      <c r="E41" s="325">
        <v>36413</v>
      </c>
      <c r="F41" s="324" t="s">
        <v>355</v>
      </c>
      <c r="G41" s="326">
        <v>9479079</v>
      </c>
      <c r="H41" s="326">
        <v>0</v>
      </c>
      <c r="I41" s="327">
        <v>0</v>
      </c>
      <c r="J41" s="327">
        <v>0</v>
      </c>
      <c r="K41" s="360">
        <f t="shared" si="0"/>
        <v>9479079</v>
      </c>
      <c r="L41" s="371">
        <v>9479079</v>
      </c>
      <c r="M41" s="371"/>
      <c r="N41" s="371"/>
      <c r="O41" s="324">
        <v>0</v>
      </c>
      <c r="P41" s="328"/>
      <c r="Q41" s="329"/>
    </row>
    <row r="42" spans="1:17">
      <c r="A42" s="284"/>
      <c r="B42" s="323"/>
      <c r="C42" s="278"/>
      <c r="D42" s="279"/>
      <c r="E42" s="279"/>
      <c r="F42" s="278"/>
      <c r="G42" s="280"/>
      <c r="H42" s="280"/>
      <c r="I42" s="281"/>
      <c r="J42" s="281"/>
      <c r="K42" s="362"/>
      <c r="L42" s="373"/>
      <c r="M42" s="373"/>
      <c r="N42" s="373"/>
      <c r="O42" s="278"/>
      <c r="P42" s="282"/>
      <c r="Q42" s="283"/>
    </row>
    <row r="43" spans="1:17" ht="4.5" customHeight="1">
      <c r="A43" s="286"/>
      <c r="B43" s="322"/>
      <c r="C43" s="288"/>
      <c r="D43" s="288"/>
      <c r="E43" s="288"/>
      <c r="F43" s="288"/>
      <c r="G43" s="289"/>
      <c r="H43" s="289"/>
      <c r="I43" s="290"/>
      <c r="J43" s="290"/>
      <c r="K43" s="363"/>
      <c r="L43" s="374"/>
      <c r="M43" s="374"/>
      <c r="N43" s="374"/>
      <c r="O43" s="288"/>
      <c r="P43" s="291"/>
      <c r="Q43" s="292"/>
    </row>
    <row r="44" spans="1:17" ht="4.5" customHeight="1">
      <c r="A44" s="277"/>
      <c r="B44" s="293"/>
      <c r="C44" s="278"/>
      <c r="D44" s="278"/>
      <c r="E44" s="278"/>
      <c r="F44" s="278"/>
      <c r="G44" s="278"/>
      <c r="H44" s="294"/>
      <c r="I44" s="294"/>
      <c r="J44" s="294"/>
      <c r="K44" s="358"/>
      <c r="L44" s="375"/>
      <c r="M44" s="375"/>
      <c r="N44" s="375"/>
      <c r="O44" s="278"/>
      <c r="P44" s="282"/>
      <c r="Q44" s="283"/>
    </row>
    <row r="45" spans="1:17" ht="12.75">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1">
        <f t="shared" si="2"/>
        <v>11791079</v>
      </c>
      <c r="M45" s="421"/>
      <c r="N45" s="421"/>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8">
        <v>0</v>
      </c>
      <c r="L46" s="375"/>
      <c r="M46" s="375"/>
      <c r="N46" s="375"/>
      <c r="O46" s="278"/>
      <c r="P46" s="282"/>
      <c r="Q46" s="283"/>
    </row>
    <row r="47" spans="1:17">
      <c r="A47" s="277"/>
      <c r="B47" s="293" t="s">
        <v>380</v>
      </c>
      <c r="C47" s="278"/>
      <c r="D47" s="278"/>
      <c r="E47" s="278"/>
      <c r="F47" s="278" t="s">
        <v>361</v>
      </c>
      <c r="G47" s="294">
        <f t="shared" si="3"/>
        <v>0</v>
      </c>
      <c r="H47" s="294">
        <v>0</v>
      </c>
      <c r="I47" s="294">
        <f t="shared" si="3"/>
        <v>0</v>
      </c>
      <c r="J47" s="294">
        <f t="shared" si="3"/>
        <v>0</v>
      </c>
      <c r="K47" s="358">
        <v>0</v>
      </c>
      <c r="L47" s="375"/>
      <c r="M47" s="375"/>
      <c r="N47" s="375"/>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8">
        <f t="shared" si="3"/>
        <v>0</v>
      </c>
      <c r="L48" s="375"/>
      <c r="M48" s="375"/>
      <c r="N48" s="375"/>
      <c r="O48" s="278"/>
      <c r="P48" s="282"/>
      <c r="Q48" s="283"/>
    </row>
    <row r="49" spans="1:14" ht="12.75">
      <c r="L49"/>
      <c r="M49"/>
      <c r="N49"/>
    </row>
    <row r="50" spans="1:14">
      <c r="K50" s="364"/>
    </row>
    <row r="51" spans="1:14">
      <c r="B51" s="24" t="s">
        <v>463</v>
      </c>
      <c r="K51" s="364"/>
    </row>
    <row r="52" spans="1:14">
      <c r="K52" s="423"/>
      <c r="L52" s="422"/>
      <c r="M52" s="422"/>
      <c r="N52" s="422"/>
    </row>
    <row r="55" spans="1:14" ht="15">
      <c r="A55" s="427" t="s">
        <v>490</v>
      </c>
      <c r="B55" s="428"/>
      <c r="L55"/>
      <c r="M55"/>
      <c r="N55"/>
    </row>
    <row r="56" spans="1:14" s="18" customFormat="1" ht="15">
      <c r="A56" s="434" t="s">
        <v>515</v>
      </c>
      <c r="B56" s="433" t="s">
        <v>516</v>
      </c>
      <c r="H56" s="68">
        <v>385857</v>
      </c>
    </row>
    <row r="57" spans="1:14" s="18" customFormat="1" ht="15">
      <c r="A57" s="434" t="s">
        <v>517</v>
      </c>
      <c r="B57" s="433" t="s">
        <v>518</v>
      </c>
      <c r="H57" s="68">
        <v>-67189</v>
      </c>
    </row>
    <row r="58" spans="1:14" s="18" customFormat="1" ht="15">
      <c r="A58" s="434" t="s">
        <v>495</v>
      </c>
      <c r="B58" s="433" t="s">
        <v>519</v>
      </c>
      <c r="H58" s="68">
        <v>38441</v>
      </c>
    </row>
    <row r="59" spans="1:14" s="18" customFormat="1" ht="15">
      <c r="A59" s="434" t="s">
        <v>520</v>
      </c>
      <c r="B59" s="433" t="s">
        <v>521</v>
      </c>
      <c r="H59" s="68">
        <v>99963</v>
      </c>
    </row>
    <row r="60" spans="1:14" s="18" customFormat="1" ht="15">
      <c r="A60" s="434" t="s">
        <v>497</v>
      </c>
      <c r="B60" s="433" t="s">
        <v>522</v>
      </c>
      <c r="H60" s="68">
        <v>-64133</v>
      </c>
    </row>
    <row r="61" spans="1:14" s="18" customFormat="1" ht="15">
      <c r="A61" s="434" t="s">
        <v>523</v>
      </c>
      <c r="B61" s="433" t="s">
        <v>524</v>
      </c>
      <c r="H61" s="68">
        <v>-85517</v>
      </c>
    </row>
    <row r="62" spans="1:14" s="18" customFormat="1" ht="15">
      <c r="A62" s="434" t="s">
        <v>525</v>
      </c>
      <c r="B62" s="433" t="s">
        <v>526</v>
      </c>
      <c r="H62" s="68">
        <v>93106</v>
      </c>
    </row>
    <row r="63" spans="1:14" s="18" customFormat="1" ht="15">
      <c r="A63" s="434" t="s">
        <v>497</v>
      </c>
      <c r="B63" s="433" t="s">
        <v>522</v>
      </c>
      <c r="H63" s="68">
        <v>24659</v>
      </c>
    </row>
    <row r="64" spans="1:14" s="305" customFormat="1" ht="15">
      <c r="A64" s="431" t="s">
        <v>384</v>
      </c>
      <c r="B64" s="431"/>
      <c r="H64" s="435">
        <f>SUM(H56:H63)</f>
        <v>425187</v>
      </c>
    </row>
    <row r="65" spans="1:14" ht="12.75">
      <c r="A65" s="30"/>
      <c r="B65" s="30"/>
      <c r="L65"/>
      <c r="M65"/>
      <c r="N65"/>
    </row>
    <row r="66" spans="1:14" ht="12.75">
      <c r="A66" s="30"/>
      <c r="B66" s="30"/>
      <c r="L66"/>
      <c r="M66"/>
      <c r="N66"/>
    </row>
    <row r="67" spans="1:14" ht="18.75" thickBot="1">
      <c r="B67" s="439" t="s">
        <v>514</v>
      </c>
      <c r="C67" s="440"/>
      <c r="D67" s="440"/>
      <c r="E67" s="440"/>
      <c r="F67" s="440"/>
      <c r="G67" s="440"/>
      <c r="H67" s="452">
        <f>H64+L45</f>
        <v>12216266</v>
      </c>
      <c r="L67"/>
      <c r="M67"/>
      <c r="N67"/>
    </row>
    <row r="68" spans="1:14" ht="16.5"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4"/>
      <c r="I1" s="254"/>
      <c r="J1" s="254"/>
      <c r="K1" s="254"/>
      <c r="L1" s="49"/>
      <c r="M1" s="49"/>
    </row>
    <row r="2" spans="1:19" ht="11.25" customHeight="1">
      <c r="N2" s="255"/>
    </row>
    <row r="3" spans="1:19" ht="40.5" customHeight="1">
      <c r="A3" s="256"/>
      <c r="B3" s="256" t="s">
        <v>337</v>
      </c>
      <c r="G3" s="348" t="s">
        <v>329</v>
      </c>
      <c r="N3" s="255"/>
    </row>
    <row r="4" spans="1:19" ht="26.25">
      <c r="A4" s="257"/>
      <c r="B4" s="257" t="s">
        <v>338</v>
      </c>
      <c r="C4" s="255"/>
      <c r="D4" s="255"/>
      <c r="E4" s="255"/>
      <c r="F4" s="255"/>
      <c r="G4" s="255"/>
      <c r="H4" s="258"/>
      <c r="I4" s="258"/>
      <c r="J4" s="258"/>
      <c r="K4" s="258"/>
      <c r="L4" s="255"/>
      <c r="M4" s="255"/>
      <c r="N4" s="255"/>
    </row>
    <row r="5" spans="1:19" ht="20.25">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9">
      <c r="A8" s="489"/>
      <c r="B8" s="492"/>
      <c r="C8" s="492"/>
      <c r="D8" s="492"/>
      <c r="E8" s="492"/>
      <c r="F8" s="492"/>
      <c r="G8" s="486"/>
      <c r="H8" s="486"/>
      <c r="I8" s="486"/>
      <c r="J8" s="486"/>
      <c r="K8" s="486"/>
      <c r="L8" s="492"/>
      <c r="M8" s="483"/>
      <c r="N8" s="261"/>
    </row>
    <row r="9" spans="1:19" ht="13.5" thickBot="1">
      <c r="A9" s="490"/>
      <c r="B9" s="493"/>
      <c r="C9" s="493"/>
      <c r="D9" s="493"/>
      <c r="E9" s="493"/>
      <c r="F9" s="493"/>
      <c r="G9" s="487"/>
      <c r="H9" s="487"/>
      <c r="I9" s="487"/>
      <c r="J9" s="487"/>
      <c r="K9" s="487"/>
      <c r="L9" s="493"/>
      <c r="M9" s="484"/>
      <c r="N9" s="262"/>
    </row>
    <row r="10" spans="1:19" ht="13.5"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2" customFormat="1" ht="110.25">
      <c r="A13" s="349" t="s">
        <v>386</v>
      </c>
      <c r="B13" s="355" t="s">
        <v>432</v>
      </c>
      <c r="C13" s="338" t="s">
        <v>230</v>
      </c>
      <c r="D13" s="339">
        <v>36369</v>
      </c>
      <c r="E13" s="339"/>
      <c r="F13" s="338" t="s">
        <v>361</v>
      </c>
      <c r="G13" s="340"/>
      <c r="H13" s="340">
        <v>3822297</v>
      </c>
      <c r="I13" s="341">
        <v>0</v>
      </c>
      <c r="J13" s="341">
        <v>0</v>
      </c>
      <c r="K13" s="341">
        <f>SUM(G13:J13)</f>
        <v>3822297</v>
      </c>
      <c r="L13" s="338" t="s">
        <v>387</v>
      </c>
      <c r="M13" s="342"/>
      <c r="N13" s="331"/>
    </row>
    <row r="14" spans="1:19" s="332" customFormat="1" ht="141.75">
      <c r="A14" s="349" t="s">
        <v>388</v>
      </c>
      <c r="B14" s="355" t="s">
        <v>431</v>
      </c>
      <c r="C14" s="338" t="s">
        <v>230</v>
      </c>
      <c r="D14" s="339">
        <v>36464</v>
      </c>
      <c r="E14" s="339"/>
      <c r="F14" s="338" t="s">
        <v>361</v>
      </c>
      <c r="G14" s="340"/>
      <c r="H14" s="340">
        <v>2906759</v>
      </c>
      <c r="I14" s="341">
        <v>0</v>
      </c>
      <c r="J14" s="341">
        <v>0</v>
      </c>
      <c r="K14" s="341">
        <f>SUM(G14:J14)</f>
        <v>2906759</v>
      </c>
      <c r="L14" s="338" t="s">
        <v>387</v>
      </c>
      <c r="M14" s="342"/>
      <c r="N14" s="331"/>
    </row>
    <row r="15" spans="1:19" s="436" customFormat="1">
      <c r="A15" s="339"/>
      <c r="B15" s="451" t="s">
        <v>509</v>
      </c>
      <c r="C15" s="339"/>
      <c r="D15" s="339"/>
      <c r="E15" s="339"/>
      <c r="F15" s="339"/>
      <c r="G15" s="339"/>
      <c r="H15" s="437">
        <v>263743</v>
      </c>
      <c r="I15" s="339"/>
      <c r="J15" s="339"/>
      <c r="K15" s="438">
        <f>SUM(C15:J15)</f>
        <v>263743</v>
      </c>
      <c r="L15" s="339"/>
      <c r="M15" s="339"/>
      <c r="N15" s="339"/>
      <c r="O15" s="339"/>
      <c r="P15" s="339"/>
      <c r="Q15" s="339"/>
      <c r="R15" s="339"/>
      <c r="S15" s="339"/>
    </row>
    <row r="16" spans="1:19" ht="15.75">
      <c r="A16" s="277" t="s">
        <v>389</v>
      </c>
      <c r="B16" s="356"/>
      <c r="C16" s="278" t="s">
        <v>374</v>
      </c>
      <c r="D16" s="279">
        <v>36350</v>
      </c>
      <c r="E16" s="279">
        <v>36350</v>
      </c>
      <c r="F16" s="278" t="s">
        <v>355</v>
      </c>
      <c r="G16" s="280">
        <v>436901</v>
      </c>
      <c r="H16" s="280">
        <v>0</v>
      </c>
      <c r="I16" s="281">
        <v>0</v>
      </c>
      <c r="J16" s="281">
        <v>0</v>
      </c>
      <c r="K16" s="281">
        <f>SUM(G16:J16)</f>
        <v>436901</v>
      </c>
      <c r="L16" s="278">
        <v>0</v>
      </c>
      <c r="M16" s="282"/>
      <c r="N16" s="283"/>
    </row>
    <row r="17" spans="1:14" ht="15.75">
      <c r="A17" s="277" t="s">
        <v>390</v>
      </c>
      <c r="B17" s="356" t="s">
        <v>391</v>
      </c>
      <c r="C17" s="278" t="s">
        <v>374</v>
      </c>
      <c r="D17" s="279">
        <v>36425</v>
      </c>
      <c r="E17" s="279">
        <v>36425</v>
      </c>
      <c r="F17" s="278" t="s">
        <v>355</v>
      </c>
      <c r="G17" s="280">
        <v>900</v>
      </c>
      <c r="H17" s="280">
        <v>0</v>
      </c>
      <c r="I17" s="281">
        <v>0</v>
      </c>
      <c r="J17" s="281">
        <v>0</v>
      </c>
      <c r="K17" s="281">
        <f>SUM(G17:J17)</f>
        <v>900</v>
      </c>
      <c r="L17" s="278">
        <v>0</v>
      </c>
      <c r="M17" s="282"/>
      <c r="N17" s="283"/>
    </row>
    <row r="18" spans="1:14" ht="15.75">
      <c r="A18" s="277"/>
      <c r="B18" s="356"/>
      <c r="C18" s="278"/>
      <c r="D18" s="279"/>
      <c r="E18" s="279"/>
      <c r="F18" s="278"/>
      <c r="G18" s="280"/>
      <c r="H18" s="280"/>
      <c r="I18" s="281"/>
      <c r="J18" s="281"/>
      <c r="K18" s="281"/>
      <c r="L18" s="278"/>
      <c r="M18" s="282"/>
      <c r="N18" s="283"/>
    </row>
    <row r="19" spans="1:14" ht="15.75">
      <c r="A19" s="277" t="s">
        <v>392</v>
      </c>
      <c r="B19" s="356"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75">
      <c r="A20" s="277" t="s">
        <v>394</v>
      </c>
      <c r="B20" s="356" t="s">
        <v>395</v>
      </c>
      <c r="C20" s="278" t="s">
        <v>374</v>
      </c>
      <c r="D20" s="279">
        <v>36425</v>
      </c>
      <c r="E20" s="279">
        <v>36425</v>
      </c>
      <c r="F20" s="278" t="s">
        <v>355</v>
      </c>
      <c r="G20" s="280">
        <v>16100</v>
      </c>
      <c r="H20" s="280">
        <v>0</v>
      </c>
      <c r="I20" s="280">
        <v>0</v>
      </c>
      <c r="J20" s="280">
        <v>0</v>
      </c>
      <c r="K20" s="281">
        <f>SUM(G20:J20)</f>
        <v>16100</v>
      </c>
      <c r="L20" s="278">
        <v>0</v>
      </c>
      <c r="M20" s="282"/>
      <c r="N20" s="283"/>
    </row>
    <row r="21" spans="1:14" ht="15.75">
      <c r="A21" s="277" t="s">
        <v>394</v>
      </c>
      <c r="B21" s="356" t="s">
        <v>396</v>
      </c>
      <c r="C21" s="278" t="s">
        <v>374</v>
      </c>
      <c r="D21" s="279">
        <v>36425</v>
      </c>
      <c r="E21" s="279">
        <v>36425</v>
      </c>
      <c r="F21" s="278" t="s">
        <v>355</v>
      </c>
      <c r="G21" s="280">
        <v>29800</v>
      </c>
      <c r="H21" s="280">
        <v>0</v>
      </c>
      <c r="I21" s="280">
        <v>0</v>
      </c>
      <c r="J21" s="280">
        <v>0</v>
      </c>
      <c r="K21" s="281">
        <f>SUM(G21:J21)</f>
        <v>29800</v>
      </c>
      <c r="L21" s="278">
        <v>0</v>
      </c>
      <c r="M21" s="282"/>
      <c r="N21" s="283"/>
    </row>
    <row r="22" spans="1:14" ht="15.75">
      <c r="A22" s="277" t="s">
        <v>397</v>
      </c>
      <c r="B22" s="356" t="s">
        <v>398</v>
      </c>
      <c r="C22" s="278" t="s">
        <v>374</v>
      </c>
      <c r="D22" s="279">
        <v>36425</v>
      </c>
      <c r="E22" s="279">
        <v>36425</v>
      </c>
      <c r="F22" s="278" t="s">
        <v>355</v>
      </c>
      <c r="G22" s="280">
        <v>22900</v>
      </c>
      <c r="H22" s="280">
        <v>0</v>
      </c>
      <c r="I22" s="280">
        <v>0</v>
      </c>
      <c r="J22" s="280">
        <v>0</v>
      </c>
      <c r="K22" s="281">
        <f>SUM(G22:J22)</f>
        <v>22900</v>
      </c>
      <c r="L22" s="278">
        <v>0</v>
      </c>
      <c r="M22" s="282"/>
      <c r="N22" s="283"/>
    </row>
    <row r="23" spans="1:14" ht="15.75">
      <c r="A23" s="277" t="s">
        <v>397</v>
      </c>
      <c r="B23" s="356" t="s">
        <v>399</v>
      </c>
      <c r="C23" s="278" t="s">
        <v>374</v>
      </c>
      <c r="D23" s="279">
        <v>36425</v>
      </c>
      <c r="E23" s="279">
        <v>36425</v>
      </c>
      <c r="F23" s="278" t="s">
        <v>355</v>
      </c>
      <c r="G23" s="280">
        <v>39315</v>
      </c>
      <c r="H23" s="280">
        <v>0</v>
      </c>
      <c r="I23" s="280">
        <v>0</v>
      </c>
      <c r="J23" s="280">
        <v>0</v>
      </c>
      <c r="K23" s="281">
        <f>SUM(G23:J23)</f>
        <v>39315</v>
      </c>
      <c r="L23" s="278">
        <v>0</v>
      </c>
      <c r="M23" s="282"/>
      <c r="N23" s="283"/>
    </row>
    <row r="24" spans="1:14" ht="15.75">
      <c r="A24" s="284"/>
      <c r="B24" s="357"/>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3.5"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75">
      <c r="A35" s="122" t="s">
        <v>383</v>
      </c>
      <c r="H35" s="302">
        <f>H24+H25</f>
        <v>0</v>
      </c>
    </row>
    <row r="37" spans="1:8" s="303" customFormat="1" ht="15">
      <c r="A37" s="303" t="s">
        <v>402</v>
      </c>
      <c r="H37" s="304">
        <v>0</v>
      </c>
    </row>
    <row r="39" spans="1:8" ht="15">
      <c r="A39" s="427" t="s">
        <v>490</v>
      </c>
      <c r="B39" s="428"/>
    </row>
    <row r="40" spans="1:8" s="18" customFormat="1" ht="15">
      <c r="A40" s="434" t="s">
        <v>491</v>
      </c>
      <c r="B40" s="433" t="s">
        <v>494</v>
      </c>
      <c r="H40" s="68">
        <v>317897</v>
      </c>
    </row>
    <row r="41" spans="1:8" s="18" customFormat="1" ht="15">
      <c r="A41" s="434" t="s">
        <v>495</v>
      </c>
      <c r="B41" s="433" t="s">
        <v>498</v>
      </c>
      <c r="H41" s="68">
        <v>-739008</v>
      </c>
    </row>
    <row r="42" spans="1:8" s="18" customFormat="1" ht="15">
      <c r="A42" s="434" t="s">
        <v>497</v>
      </c>
      <c r="B42" s="433" t="s">
        <v>510</v>
      </c>
      <c r="H42" s="68">
        <v>421112</v>
      </c>
    </row>
    <row r="43" spans="1:8" s="305" customFormat="1" ht="15">
      <c r="A43" s="431" t="s">
        <v>384</v>
      </c>
      <c r="B43" s="431"/>
      <c r="H43" s="435">
        <f>SUM(H40:H42)</f>
        <v>1</v>
      </c>
    </row>
    <row r="44" spans="1:8">
      <c r="H44" s="254"/>
    </row>
    <row r="46" spans="1:8" ht="18.75" thickBot="1">
      <c r="B46" s="439" t="s">
        <v>514</v>
      </c>
      <c r="C46" s="440"/>
      <c r="D46" s="440"/>
      <c r="E46" s="440"/>
      <c r="F46" s="440"/>
      <c r="G46" s="440"/>
      <c r="H46" s="441">
        <f>H31+H43</f>
        <v>6992800</v>
      </c>
    </row>
    <row r="47" spans="1:8" ht="13.5"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4"/>
      <c r="I1" s="254"/>
      <c r="J1" s="254"/>
      <c r="K1" s="254"/>
      <c r="L1" s="49"/>
      <c r="M1" s="49"/>
    </row>
    <row r="2" spans="1:14" ht="11.25" customHeight="1">
      <c r="N2" s="255"/>
    </row>
    <row r="3" spans="1:14" ht="40.5" customHeight="1">
      <c r="A3" s="256"/>
      <c r="B3" s="256" t="s">
        <v>337</v>
      </c>
      <c r="G3" s="348" t="s">
        <v>330</v>
      </c>
      <c r="N3" s="255"/>
    </row>
    <row r="4" spans="1:14" ht="26.25">
      <c r="A4" s="257"/>
      <c r="B4" s="257" t="s">
        <v>338</v>
      </c>
      <c r="C4" s="255"/>
      <c r="D4" s="255"/>
      <c r="E4" s="255"/>
      <c r="F4" s="255"/>
      <c r="G4" s="255"/>
      <c r="H4" s="258"/>
      <c r="I4" s="258"/>
      <c r="J4" s="258"/>
      <c r="K4" s="258"/>
      <c r="L4" s="255"/>
      <c r="M4" s="255"/>
      <c r="N4" s="255"/>
    </row>
    <row r="5" spans="1:14" ht="20.25">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4">
      <c r="A8" s="489"/>
      <c r="B8" s="492"/>
      <c r="C8" s="492"/>
      <c r="D8" s="492"/>
      <c r="E8" s="492"/>
      <c r="F8" s="492"/>
      <c r="G8" s="486"/>
      <c r="H8" s="486"/>
      <c r="I8" s="486"/>
      <c r="J8" s="486"/>
      <c r="K8" s="486"/>
      <c r="L8" s="492"/>
      <c r="M8" s="483"/>
      <c r="N8" s="261"/>
    </row>
    <row r="9" spans="1:14" ht="13.5" thickBot="1">
      <c r="A9" s="490"/>
      <c r="B9" s="493"/>
      <c r="C9" s="493"/>
      <c r="D9" s="493"/>
      <c r="E9" s="493"/>
      <c r="F9" s="493"/>
      <c r="G9" s="487"/>
      <c r="H9" s="487"/>
      <c r="I9" s="487"/>
      <c r="J9" s="487"/>
      <c r="K9" s="487"/>
      <c r="L9" s="493"/>
      <c r="M9" s="484"/>
      <c r="N9" s="262"/>
    </row>
    <row r="10" spans="1:14" ht="13.5"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2" customFormat="1" ht="74.25" customHeight="1">
      <c r="A12" s="349" t="s">
        <v>405</v>
      </c>
      <c r="B12" s="355" t="s">
        <v>433</v>
      </c>
      <c r="C12" s="338" t="s">
        <v>230</v>
      </c>
      <c r="D12" s="339">
        <v>36388</v>
      </c>
      <c r="E12" s="339"/>
      <c r="F12" s="338" t="s">
        <v>361</v>
      </c>
      <c r="G12" s="340"/>
      <c r="H12" s="340">
        <v>3953393</v>
      </c>
      <c r="I12" s="341">
        <v>0</v>
      </c>
      <c r="J12" s="341">
        <v>0</v>
      </c>
      <c r="K12" s="341">
        <f>SUM(G12:J12)</f>
        <v>3953393</v>
      </c>
      <c r="L12" s="338" t="s">
        <v>387</v>
      </c>
      <c r="M12" s="342"/>
      <c r="N12" s="331"/>
    </row>
    <row r="13" spans="1:14" s="332" customFormat="1" ht="89.25" customHeight="1">
      <c r="A13" s="349" t="s">
        <v>406</v>
      </c>
      <c r="B13" s="355" t="s">
        <v>435</v>
      </c>
      <c r="C13" s="338" t="s">
        <v>230</v>
      </c>
      <c r="D13" s="339">
        <v>36464</v>
      </c>
      <c r="E13" s="339"/>
      <c r="F13" s="338" t="s">
        <v>361</v>
      </c>
      <c r="G13" s="340"/>
      <c r="H13" s="340">
        <v>2321129</v>
      </c>
      <c r="I13" s="341">
        <v>0</v>
      </c>
      <c r="J13" s="341">
        <v>0</v>
      </c>
      <c r="K13" s="341">
        <f>SUM(G13:J13)</f>
        <v>2321129</v>
      </c>
      <c r="L13" s="338" t="s">
        <v>387</v>
      </c>
      <c r="M13" s="342"/>
      <c r="N13" s="331"/>
    </row>
    <row r="14" spans="1:14" s="450" customFormat="1" ht="23.25" customHeight="1">
      <c r="A14" s="442"/>
      <c r="B14" s="443" t="s">
        <v>509</v>
      </c>
      <c r="C14" s="444"/>
      <c r="D14" s="445"/>
      <c r="E14" s="445"/>
      <c r="F14" s="444"/>
      <c r="G14" s="446"/>
      <c r="H14" s="446">
        <v>294693</v>
      </c>
      <c r="I14" s="447"/>
      <c r="J14" s="447"/>
      <c r="K14" s="447">
        <f>SUM(H14:J14)</f>
        <v>294693</v>
      </c>
      <c r="L14" s="444"/>
      <c r="M14" s="448"/>
      <c r="N14" s="449"/>
    </row>
    <row r="15" spans="1:14" ht="15.75">
      <c r="A15" s="277"/>
      <c r="B15" s="356"/>
      <c r="C15" s="278"/>
      <c r="D15" s="279"/>
      <c r="E15" s="279"/>
      <c r="F15" s="278"/>
      <c r="G15" s="280"/>
      <c r="H15" s="280"/>
      <c r="I15" s="281"/>
      <c r="J15" s="281"/>
      <c r="K15" s="281"/>
      <c r="L15" s="278"/>
      <c r="M15" s="282"/>
      <c r="N15" s="283"/>
    </row>
    <row r="16" spans="1:14" ht="15.75">
      <c r="A16" s="277" t="s">
        <v>407</v>
      </c>
      <c r="B16" s="356"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75">
      <c r="A17" s="277" t="s">
        <v>409</v>
      </c>
      <c r="B17" s="356"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75">
      <c r="A18" s="277" t="s">
        <v>411</v>
      </c>
      <c r="B18" s="356" t="s">
        <v>412</v>
      </c>
      <c r="C18" s="278" t="s">
        <v>374</v>
      </c>
      <c r="D18" s="279">
        <v>36398</v>
      </c>
      <c r="E18" s="279">
        <v>36398</v>
      </c>
      <c r="F18" s="278" t="s">
        <v>355</v>
      </c>
      <c r="G18" s="280">
        <v>-22200</v>
      </c>
      <c r="H18" s="280">
        <v>0</v>
      </c>
      <c r="I18" s="281">
        <v>0</v>
      </c>
      <c r="J18" s="281">
        <v>0</v>
      </c>
      <c r="K18" s="281">
        <f>SUM(G18:J18)</f>
        <v>-22200</v>
      </c>
      <c r="L18" s="278">
        <v>0</v>
      </c>
      <c r="M18" s="282"/>
      <c r="N18" s="283"/>
    </row>
    <row r="19" spans="1:14">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3.5"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2" t="s">
        <v>401</v>
      </c>
      <c r="B28" s="30"/>
    </row>
    <row r="29" spans="1:14" ht="15">
      <c r="A29" s="432"/>
      <c r="B29" s="30"/>
    </row>
    <row r="30" spans="1:14" s="122" customFormat="1" ht="15.75">
      <c r="A30" s="429" t="s">
        <v>383</v>
      </c>
      <c r="B30" s="429"/>
      <c r="H30" s="302">
        <f>H19+H20</f>
        <v>0</v>
      </c>
    </row>
    <row r="31" spans="1:14">
      <c r="A31" s="30"/>
      <c r="B31" s="30"/>
    </row>
    <row r="32" spans="1:14" s="303" customFormat="1" ht="15">
      <c r="A32" s="430" t="s">
        <v>402</v>
      </c>
      <c r="B32" s="430"/>
      <c r="H32" s="304">
        <v>0</v>
      </c>
    </row>
    <row r="33" spans="1:8">
      <c r="A33" s="30"/>
      <c r="B33" s="30"/>
    </row>
    <row r="34" spans="1:8">
      <c r="A34" s="30"/>
      <c r="B34" s="30"/>
    </row>
    <row r="35" spans="1:8" ht="15">
      <c r="A35" s="427" t="s">
        <v>490</v>
      </c>
      <c r="B35" s="428"/>
    </row>
    <row r="36" spans="1:8" s="18" customFormat="1" ht="15">
      <c r="A36" s="434" t="s">
        <v>491</v>
      </c>
      <c r="B36" s="433" t="s">
        <v>492</v>
      </c>
      <c r="H36" s="68">
        <v>-124695</v>
      </c>
    </row>
    <row r="37" spans="1:8" s="18" customFormat="1" ht="15">
      <c r="A37" s="434" t="s">
        <v>493</v>
      </c>
      <c r="B37" s="433" t="s">
        <v>494</v>
      </c>
      <c r="H37" s="68">
        <v>-95805</v>
      </c>
    </row>
    <row r="38" spans="1:8" s="18" customFormat="1" ht="15">
      <c r="A38" s="434" t="s">
        <v>495</v>
      </c>
      <c r="B38" s="433" t="s">
        <v>496</v>
      </c>
      <c r="H38" s="68">
        <v>-477220</v>
      </c>
    </row>
    <row r="39" spans="1:8" s="18" customFormat="1" ht="15">
      <c r="A39" s="434" t="s">
        <v>497</v>
      </c>
      <c r="B39" s="433" t="s">
        <v>498</v>
      </c>
      <c r="H39" s="68">
        <v>745403</v>
      </c>
    </row>
    <row r="40" spans="1:8" s="305" customFormat="1" ht="15">
      <c r="A40" s="431" t="s">
        <v>384</v>
      </c>
      <c r="B40" s="431"/>
      <c r="H40" s="435">
        <f>SUM(H36:H39)</f>
        <v>47683</v>
      </c>
    </row>
    <row r="41" spans="1:8">
      <c r="A41" s="30"/>
      <c r="B41" s="30"/>
    </row>
    <row r="42" spans="1:8">
      <c r="A42" s="30"/>
      <c r="B42" s="30"/>
    </row>
    <row r="43" spans="1:8" ht="18.75" thickBot="1">
      <c r="B43" s="439" t="s">
        <v>514</v>
      </c>
      <c r="C43" s="440"/>
      <c r="D43" s="440"/>
      <c r="E43" s="440"/>
      <c r="F43" s="440"/>
      <c r="G43" s="440"/>
      <c r="H43" s="441">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5" thickBot="1">
      <c r="A45" s="21"/>
      <c r="G45" s="4" t="s">
        <v>444</v>
      </c>
      <c r="I45" s="365">
        <v>19947.871999999999</v>
      </c>
      <c r="J45" s="20">
        <f>I45+10717.074</f>
        <v>30664.946</v>
      </c>
    </row>
    <row r="46" spans="1:79" ht="16.5" thickBot="1">
      <c r="D46" t="s">
        <v>418</v>
      </c>
      <c r="I46" s="35">
        <f>I45-I42</f>
        <v>10528.787</v>
      </c>
      <c r="J46" s="366">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08"/>
  <sheetViews>
    <sheetView tabSelected="1" zoomScale="90" zoomScaleNormal="90" zoomScaleSheetLayoutView="100" workbookViewId="0"/>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74" ht="15.75">
      <c r="A1" s="174" t="s">
        <v>127</v>
      </c>
    </row>
    <row r="2" spans="1:74" ht="15.75">
      <c r="A2" s="174" t="s">
        <v>170</v>
      </c>
      <c r="G2" s="176"/>
      <c r="J2" s="177" t="s">
        <v>124</v>
      </c>
      <c r="O2" s="176">
        <f ca="1">NOW()</f>
        <v>36641.611076388886</v>
      </c>
    </row>
    <row r="3" spans="1:74" ht="15.75">
      <c r="A3" s="178" t="s">
        <v>189</v>
      </c>
      <c r="G3" s="176"/>
      <c r="J3" s="177"/>
      <c r="O3" s="176"/>
      <c r="BV3" t="str">
        <f>Summary!A5</f>
        <v>Revision # 55</v>
      </c>
    </row>
    <row r="4" spans="1:74" ht="15.75">
      <c r="A4" s="174" t="s">
        <v>185</v>
      </c>
      <c r="J4" s="177" t="s">
        <v>125</v>
      </c>
      <c r="O4" s="98" t="s">
        <v>561</v>
      </c>
    </row>
    <row r="5" spans="1:74" ht="15.75">
      <c r="A5" s="178" t="s">
        <v>562</v>
      </c>
      <c r="I5" s="26"/>
      <c r="O5" s="179"/>
    </row>
    <row r="6" spans="1:74" ht="16.5" thickBot="1">
      <c r="A6" s="174"/>
      <c r="I6" s="26"/>
      <c r="O6" s="179"/>
    </row>
    <row r="7" spans="1:74" ht="16.5"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4/14/00</v>
      </c>
      <c r="H9" s="182"/>
      <c r="I9" s="53" t="str">
        <f>+O4</f>
        <v xml:space="preserve"> As of 4/14/00</v>
      </c>
      <c r="J9" s="182"/>
      <c r="K9" s="90" t="str">
        <f>+O4</f>
        <v xml:space="preserve"> As of 4/14/00</v>
      </c>
      <c r="M9" s="28" t="s">
        <v>143</v>
      </c>
      <c r="O9" s="28" t="s">
        <v>46</v>
      </c>
    </row>
    <row r="10" spans="1:74">
      <c r="A10" s="180"/>
      <c r="C10" s="27"/>
      <c r="E10" s="180"/>
      <c r="G10" s="183"/>
      <c r="H10" s="182"/>
      <c r="I10" s="180"/>
      <c r="J10" s="182"/>
      <c r="K10" s="184"/>
      <c r="M10" s="180"/>
      <c r="O10" s="180"/>
    </row>
    <row r="11" spans="1:74">
      <c r="A11" s="185" t="s">
        <v>254</v>
      </c>
      <c r="C11" s="456">
        <v>608</v>
      </c>
      <c r="E11" s="187">
        <f>Wilton!R177/1000</f>
        <v>242742.16774999999</v>
      </c>
      <c r="F11" s="186"/>
      <c r="G11" s="188">
        <f>Wilton!BL177/1000</f>
        <v>219214.2677777448</v>
      </c>
      <c r="H11" s="182"/>
      <c r="I11" s="187">
        <f>K11-G11</f>
        <v>55004.917997890094</v>
      </c>
      <c r="J11" s="182"/>
      <c r="K11" s="189">
        <f>Wilton!BR177/1000</f>
        <v>274219.18577563489</v>
      </c>
      <c r="M11" s="187">
        <f>+E11-K11</f>
        <v>-31477.018025634898</v>
      </c>
      <c r="O11" s="190">
        <f>+G11/K11</f>
        <v>0.79941258361515621</v>
      </c>
    </row>
    <row r="12" spans="1:74">
      <c r="A12" s="191"/>
      <c r="C12" s="456"/>
      <c r="E12" s="192"/>
      <c r="F12" s="186"/>
      <c r="G12" s="193"/>
      <c r="H12" s="182"/>
      <c r="I12" s="192"/>
      <c r="J12" s="182"/>
      <c r="K12" s="194"/>
      <c r="M12" s="192"/>
      <c r="O12" s="195"/>
    </row>
    <row r="13" spans="1:74">
      <c r="A13" s="185" t="str">
        <f>Gleason!A3</f>
        <v>Gleason, TN</v>
      </c>
      <c r="C13" s="456">
        <v>509</v>
      </c>
      <c r="E13" s="187">
        <f>Gleason!R224/1000</f>
        <v>173641.71</v>
      </c>
      <c r="F13" s="186"/>
      <c r="G13" s="188">
        <f>Gleason!BN224/1000</f>
        <v>137502.73235483869</v>
      </c>
      <c r="H13" s="182"/>
      <c r="I13" s="187">
        <f>K13-G13</f>
        <v>41198.865472315752</v>
      </c>
      <c r="J13" s="182"/>
      <c r="K13" s="189">
        <f>Gleason!BT224/1000</f>
        <v>178701.59782715444</v>
      </c>
      <c r="M13" s="187">
        <f>+E13-K13</f>
        <v>-5059.8878271544527</v>
      </c>
      <c r="O13" s="190">
        <f>+G13/K13</f>
        <v>0.76945440906373685</v>
      </c>
    </row>
    <row r="14" spans="1:74">
      <c r="A14" s="191"/>
      <c r="C14" s="456"/>
      <c r="E14" s="192"/>
      <c r="F14" s="186"/>
      <c r="G14" s="193"/>
      <c r="H14" s="182"/>
      <c r="I14" s="192"/>
      <c r="J14" s="182"/>
      <c r="K14" s="194"/>
      <c r="M14" s="192"/>
      <c r="O14" s="195"/>
    </row>
    <row r="15" spans="1:74">
      <c r="A15" s="185" t="s">
        <v>194</v>
      </c>
      <c r="C15" s="456">
        <v>470</v>
      </c>
      <c r="E15" s="187">
        <f>Wheatland!R176/1000</f>
        <v>161517.94809999998</v>
      </c>
      <c r="F15" s="186"/>
      <c r="G15" s="188">
        <f>Wheatland!BL176/1000</f>
        <v>124872.09763717752</v>
      </c>
      <c r="H15" s="182"/>
      <c r="I15" s="187">
        <f>K15-G15</f>
        <v>38186.878022862205</v>
      </c>
      <c r="J15" s="182"/>
      <c r="K15" s="189">
        <f>Wheatland!BR176/1000</f>
        <v>163058.97566003972</v>
      </c>
      <c r="M15" s="187">
        <f>+E15-K15</f>
        <v>-1541.0275600397435</v>
      </c>
      <c r="O15" s="190">
        <f>+G15/K15</f>
        <v>0.76580940810962961</v>
      </c>
      <c r="AC15" t="s">
        <v>154</v>
      </c>
    </row>
    <row r="16" spans="1:74" ht="8.25" customHeight="1">
      <c r="A16" s="191"/>
      <c r="B16" s="182"/>
      <c r="C16" s="457"/>
      <c r="D16" s="182"/>
      <c r="E16" s="196"/>
      <c r="F16" s="182"/>
      <c r="G16" s="197"/>
      <c r="H16" s="182"/>
      <c r="I16" s="196"/>
      <c r="J16" s="182"/>
      <c r="K16" s="198"/>
      <c r="L16" s="182"/>
      <c r="M16" s="196"/>
      <c r="N16" s="182"/>
      <c r="O16" s="191"/>
    </row>
    <row r="17" spans="1:29">
      <c r="A17" s="199" t="s">
        <v>267</v>
      </c>
      <c r="B17" s="200"/>
      <c r="C17" s="458">
        <f>SUM(C11:C15)</f>
        <v>1587</v>
      </c>
      <c r="D17" s="182"/>
      <c r="E17" s="201">
        <f>SUM(E11:E15)</f>
        <v>577901.82584999991</v>
      </c>
      <c r="F17" s="202"/>
      <c r="G17" s="203">
        <f>SUM(G11:G15)</f>
        <v>481589.09776976099</v>
      </c>
      <c r="H17" s="202"/>
      <c r="I17" s="201">
        <f>SUM(I11:I15)</f>
        <v>134390.66149306804</v>
      </c>
      <c r="J17" s="182"/>
      <c r="K17" s="204">
        <f>SUM(K11:K15)</f>
        <v>615979.75926282909</v>
      </c>
      <c r="L17" s="182"/>
      <c r="M17" s="201">
        <f>SUM(M10:M15)</f>
        <v>-38077.933412829094</v>
      </c>
      <c r="N17" s="182"/>
      <c r="O17" s="205">
        <f>+G17/K17</f>
        <v>0.78182617290233769</v>
      </c>
    </row>
    <row r="18" spans="1:29" ht="13.5" thickBot="1">
      <c r="A18" s="206" t="s">
        <v>50</v>
      </c>
      <c r="B18" s="200"/>
      <c r="C18" s="206"/>
      <c r="D18" s="182"/>
      <c r="E18" s="207">
        <f>E17/C17</f>
        <v>364.14733827977312</v>
      </c>
      <c r="F18" s="202"/>
      <c r="G18" s="208"/>
      <c r="H18" s="209"/>
      <c r="I18" s="210"/>
      <c r="J18" s="211"/>
      <c r="K18" s="212">
        <f>+K17/C17</f>
        <v>388.140995124656</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5"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4/14/00</v>
      </c>
      <c r="H22" s="182"/>
      <c r="I22" s="53" t="str">
        <f>I9</f>
        <v xml:space="preserve"> As of 4/14/00</v>
      </c>
      <c r="J22" s="182"/>
      <c r="K22" s="90" t="str">
        <f>K9</f>
        <v xml:space="preserve"> As of 4/14/00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5" thickBot="1">
      <c r="A32" s="214"/>
      <c r="B32" s="214"/>
      <c r="C32" s="214"/>
      <c r="D32" s="215"/>
      <c r="E32" s="202"/>
      <c r="F32" s="202"/>
      <c r="G32" s="202"/>
      <c r="H32" s="202"/>
      <c r="I32" s="202"/>
      <c r="J32" s="215"/>
      <c r="K32" s="202"/>
      <c r="L32" s="215"/>
      <c r="M32" s="202"/>
      <c r="N32" s="215"/>
      <c r="O32" s="216"/>
    </row>
    <row r="33" spans="1:29" ht="16.5"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4/14/00</v>
      </c>
      <c r="H35" s="182"/>
      <c r="I35" s="53" t="str">
        <f>O4</f>
        <v xml:space="preserve"> As of 4/14/00</v>
      </c>
      <c r="J35" s="182"/>
      <c r="K35" s="90" t="str">
        <f>O4</f>
        <v xml:space="preserve"> As of 4/14/00</v>
      </c>
    </row>
    <row r="36" spans="1:29">
      <c r="A36" s="180"/>
      <c r="E36" s="180"/>
      <c r="G36" s="183"/>
      <c r="H36" s="182"/>
      <c r="I36" s="180"/>
      <c r="J36" s="182"/>
      <c r="K36" s="184"/>
    </row>
    <row r="37" spans="1:29">
      <c r="A37" s="185" t="s">
        <v>196</v>
      </c>
      <c r="E37" s="187"/>
      <c r="F37" s="186"/>
      <c r="G37" s="188">
        <f>Wilton!BL195/1000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1401.0854433333327</v>
      </c>
      <c r="H39" s="182"/>
      <c r="I39" s="187">
        <f>E39-G39</f>
        <v>111.91455666666729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5" thickBot="1">
      <c r="A43" s="206" t="s">
        <v>49</v>
      </c>
      <c r="B43" s="200"/>
      <c r="D43" s="182"/>
      <c r="E43" s="207">
        <f>SUM(E37:E41)</f>
        <v>1513</v>
      </c>
      <c r="F43" s="202"/>
      <c r="G43" s="208">
        <f>SUM(G37:G41)</f>
        <v>1730.7097133333327</v>
      </c>
      <c r="H43" s="209"/>
      <c r="I43" s="210">
        <f>SUM(I37:I41)</f>
        <v>111.91455666666729</v>
      </c>
      <c r="J43" s="211"/>
      <c r="K43" s="212">
        <f>SUM(K37:K41)</f>
        <v>1842.6242699999998</v>
      </c>
      <c r="L43" s="182"/>
    </row>
    <row r="44" spans="1:29" ht="13.5" thickBot="1"/>
    <row r="45" spans="1:29" ht="13.5" thickBot="1">
      <c r="A45" s="480" t="s">
        <v>205</v>
      </c>
      <c r="B45" s="481"/>
      <c r="C45" s="481"/>
      <c r="D45" s="481"/>
      <c r="E45" s="481"/>
      <c r="F45" s="481"/>
      <c r="G45" s="481"/>
      <c r="H45" s="481"/>
      <c r="I45" s="481"/>
      <c r="J45" s="481"/>
      <c r="K45" s="481"/>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5" thickBot="1">
      <c r="A50"/>
      <c r="B50"/>
      <c r="C50"/>
      <c r="D50"/>
      <c r="E50"/>
      <c r="F50"/>
      <c r="G50"/>
      <c r="H50"/>
      <c r="I50"/>
      <c r="J50"/>
      <c r="K50"/>
      <c r="L50"/>
      <c r="M50"/>
      <c r="N50"/>
      <c r="O50"/>
    </row>
    <row r="51" spans="1:15" s="231" customFormat="1" hidden="1">
      <c r="O51" s="230"/>
    </row>
    <row r="52" spans="1:15" hidden="1"/>
    <row r="53" spans="1:15" ht="13.5" hidden="1" thickBot="1"/>
    <row r="54" spans="1:15" ht="13.5" thickBot="1">
      <c r="A54" s="480" t="s">
        <v>142</v>
      </c>
      <c r="B54" s="481"/>
      <c r="C54" s="481"/>
      <c r="D54" s="481"/>
      <c r="E54" s="481"/>
      <c r="F54" s="481"/>
      <c r="G54" s="481"/>
      <c r="H54" s="481"/>
      <c r="I54" s="481"/>
      <c r="J54" s="481"/>
      <c r="K54" s="481"/>
      <c r="L54" s="163"/>
      <c r="M54" s="163"/>
      <c r="N54" s="163"/>
      <c r="O54" s="164"/>
    </row>
    <row r="56" spans="1:15">
      <c r="J56" s="217"/>
    </row>
    <row r="57" spans="1:15">
      <c r="A57" s="225" t="s">
        <v>254</v>
      </c>
      <c r="C57" s="226">
        <f>Wilton!BT160/1000</f>
        <v>-207.06</v>
      </c>
      <c r="E57" s="217" t="s">
        <v>279</v>
      </c>
      <c r="F57" s="217"/>
      <c r="G57" s="217"/>
      <c r="H57" s="217"/>
      <c r="I57" s="217"/>
      <c r="J57" s="217"/>
    </row>
    <row r="58" spans="1:15">
      <c r="A58" s="182"/>
      <c r="C58" s="226">
        <f>Wilton!BT88/1000</f>
        <v>-24133.993999999999</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Wilton!BT142/1000</f>
        <v>-7400</v>
      </c>
      <c r="E61" s="175" t="s">
        <v>323</v>
      </c>
    </row>
    <row r="62" spans="1:15">
      <c r="A62" s="182"/>
      <c r="C62" s="226">
        <f>(Wilton!BT131+Wilton!BT98+Wilton!BT107)/1000</f>
        <v>-198.09028000000026</v>
      </c>
      <c r="E62" s="175" t="s">
        <v>443</v>
      </c>
    </row>
    <row r="63" spans="1:15">
      <c r="A63" s="182"/>
      <c r="C63" s="226">
        <f>Wilton!BT140/1000</f>
        <v>-200</v>
      </c>
      <c r="E63" s="175" t="s">
        <v>513</v>
      </c>
    </row>
    <row r="64" spans="1:15">
      <c r="A64" s="182"/>
      <c r="C64" s="226">
        <f>Wilton!BT170/1000</f>
        <v>252.88470436513424</v>
      </c>
      <c r="E64" s="175" t="s">
        <v>512</v>
      </c>
    </row>
    <row r="65" spans="1:12">
      <c r="A65" s="182"/>
      <c r="C65" s="226">
        <f>(Wilton!BT161-Wilton!BT160-Wilton!BT159)/1000</f>
        <v>-513.80643000000009</v>
      </c>
      <c r="E65" s="175" t="s">
        <v>527</v>
      </c>
    </row>
    <row r="66" spans="1:12">
      <c r="A66" s="182"/>
      <c r="C66" s="226">
        <f>-Wilton!BR159/1000</f>
        <v>-191.01289000000003</v>
      </c>
      <c r="E66" s="175" t="s">
        <v>440</v>
      </c>
    </row>
    <row r="67" spans="1:12">
      <c r="A67" s="182"/>
      <c r="C67" s="226">
        <f>Wilton!BT168/1000</f>
        <v>-301.67212999999998</v>
      </c>
      <c r="E67" s="175" t="s">
        <v>449</v>
      </c>
    </row>
    <row r="68" spans="1:12">
      <c r="A68" s="182"/>
      <c r="C68" s="313">
        <v>4408.0720000000001</v>
      </c>
      <c r="E68" s="182" t="s">
        <v>324</v>
      </c>
      <c r="F68" s="182"/>
      <c r="G68" s="182"/>
      <c r="H68" s="182"/>
      <c r="I68" s="182"/>
    </row>
    <row r="69" spans="1:12">
      <c r="A69" s="182"/>
      <c r="C69" s="313">
        <f>Wilton!BT150/1000</f>
        <v>-116.24850000000001</v>
      </c>
      <c r="E69" s="182" t="s">
        <v>437</v>
      </c>
      <c r="F69" s="182"/>
      <c r="G69" s="182"/>
      <c r="H69" s="182"/>
      <c r="I69" s="182"/>
    </row>
    <row r="70" spans="1:12">
      <c r="A70" s="182"/>
      <c r="C70" s="245">
        <f>Wilton!BT120/1000</f>
        <v>-387.39181000000008</v>
      </c>
      <c r="D70" s="246"/>
      <c r="E70" s="246" t="s">
        <v>442</v>
      </c>
      <c r="F70" s="246"/>
      <c r="G70" s="246"/>
      <c r="H70" s="246"/>
      <c r="I70" s="246"/>
      <c r="J70" s="246"/>
      <c r="K70" s="246"/>
    </row>
    <row r="71" spans="1:12" ht="13.5" thickBot="1">
      <c r="A71" s="182"/>
      <c r="C71" s="320">
        <f>SUM(C57:C70)</f>
        <v>-31477.017775634857</v>
      </c>
      <c r="D71" s="314"/>
      <c r="E71" s="315" t="s">
        <v>417</v>
      </c>
      <c r="F71" s="314"/>
      <c r="G71" s="314"/>
      <c r="H71" s="314"/>
      <c r="I71" s="314"/>
      <c r="J71" s="314"/>
      <c r="K71" s="314"/>
      <c r="L71" s="182"/>
    </row>
    <row r="72" spans="1:12" ht="13.5" thickTop="1">
      <c r="A72" s="182"/>
      <c r="C72" s="454"/>
    </row>
    <row r="73" spans="1:12">
      <c r="A73" s="182"/>
      <c r="C73" s="226"/>
    </row>
    <row r="74" spans="1:12">
      <c r="A74" s="225" t="s">
        <v>294</v>
      </c>
      <c r="C74" s="226">
        <f>Gleason!BV201/1000</f>
        <v>-32.203279999999999</v>
      </c>
      <c r="E74" s="217" t="s">
        <v>279</v>
      </c>
      <c r="F74" s="217"/>
      <c r="G74" s="217"/>
      <c r="H74" s="217"/>
      <c r="I74" s="217"/>
    </row>
    <row r="75" spans="1:12">
      <c r="A75" s="225"/>
      <c r="C75" s="313">
        <f>Gleason!BV97/1000</f>
        <v>-4967.5065599999989</v>
      </c>
      <c r="D75" s="182"/>
      <c r="E75" s="175" t="s">
        <v>415</v>
      </c>
      <c r="F75" s="215"/>
      <c r="G75" s="215"/>
      <c r="H75" s="215"/>
      <c r="I75" s="215"/>
      <c r="J75" s="182"/>
      <c r="K75" s="182"/>
    </row>
    <row r="76" spans="1:12">
      <c r="A76" s="225"/>
      <c r="C76" s="313">
        <f>Gleason!BV16/1000</f>
        <v>-1981.0440000000001</v>
      </c>
      <c r="E76" s="175" t="s">
        <v>322</v>
      </c>
      <c r="F76" s="215"/>
      <c r="G76" s="215"/>
      <c r="H76" s="215"/>
      <c r="I76" s="215"/>
      <c r="J76" s="182"/>
      <c r="K76" s="182"/>
    </row>
    <row r="77" spans="1:12">
      <c r="A77" s="225"/>
      <c r="C77" s="313">
        <f>Gleason!BV35/1000</f>
        <v>-521.15</v>
      </c>
      <c r="E77" s="175" t="s">
        <v>482</v>
      </c>
      <c r="F77" s="215"/>
      <c r="G77" s="215"/>
      <c r="H77" s="215"/>
      <c r="I77" s="215"/>
      <c r="J77" s="182"/>
      <c r="K77" s="182"/>
    </row>
    <row r="78" spans="1:12">
      <c r="A78" s="225"/>
      <c r="C78" s="313">
        <f>Gleason!BV181/1000</f>
        <v>-2469.6365700000001</v>
      </c>
      <c r="E78" s="175" t="s">
        <v>445</v>
      </c>
      <c r="F78" s="215"/>
      <c r="G78" s="215"/>
      <c r="H78" s="215"/>
      <c r="I78" s="215"/>
      <c r="J78" s="182"/>
      <c r="K78" s="182"/>
    </row>
    <row r="79" spans="1:12">
      <c r="A79" s="225"/>
      <c r="C79" s="313">
        <f>Gleason!BV200/1000</f>
        <v>-191.01290000000003</v>
      </c>
      <c r="E79" s="175" t="s">
        <v>440</v>
      </c>
      <c r="F79" s="215"/>
      <c r="G79" s="215"/>
      <c r="H79" s="215"/>
      <c r="I79" s="215"/>
      <c r="J79" s="182"/>
      <c r="K79" s="182"/>
    </row>
    <row r="80" spans="1:12">
      <c r="A80" s="225"/>
      <c r="C80" s="313">
        <f>Gleason!BV210/1000</f>
        <v>183.36408284552581</v>
      </c>
      <c r="E80" s="175" t="s">
        <v>512</v>
      </c>
      <c r="F80" s="215"/>
      <c r="G80" s="215"/>
      <c r="H80" s="215"/>
      <c r="I80" s="215"/>
      <c r="J80" s="182"/>
      <c r="K80" s="182"/>
    </row>
    <row r="81" spans="1:15">
      <c r="A81" s="225"/>
      <c r="C81" s="313">
        <f>Gleason!BV208/1000</f>
        <v>-252.20846000000003</v>
      </c>
      <c r="E81" s="175" t="s">
        <v>450</v>
      </c>
      <c r="F81" s="215"/>
      <c r="G81" s="215"/>
      <c r="H81" s="215"/>
      <c r="I81" s="215"/>
      <c r="J81" s="182"/>
      <c r="K81" s="182"/>
    </row>
    <row r="82" spans="1:15">
      <c r="A82" s="225"/>
      <c r="C82" s="313">
        <f>Gleason!BV149/1000</f>
        <v>-39.51</v>
      </c>
      <c r="E82" s="175" t="s">
        <v>483</v>
      </c>
      <c r="F82" s="215"/>
      <c r="G82" s="215"/>
      <c r="H82" s="215"/>
      <c r="I82" s="215"/>
      <c r="J82" s="182"/>
      <c r="K82" s="182"/>
    </row>
    <row r="83" spans="1:15">
      <c r="A83" s="225"/>
      <c r="C83" s="313">
        <f>Gleason!BV159/1000</f>
        <v>-189.78902000000002</v>
      </c>
      <c r="E83" s="175" t="s">
        <v>484</v>
      </c>
      <c r="F83" s="215"/>
      <c r="G83" s="215"/>
      <c r="H83" s="215"/>
      <c r="I83" s="215"/>
      <c r="J83" s="182"/>
      <c r="K83" s="182"/>
    </row>
    <row r="84" spans="1:15">
      <c r="A84" s="225"/>
      <c r="C84" s="313">
        <f>Gleason!BV199/1000</f>
        <v>-273.88887</v>
      </c>
      <c r="E84" s="175" t="s">
        <v>527</v>
      </c>
      <c r="F84" s="215"/>
      <c r="G84" s="215"/>
      <c r="H84" s="215"/>
      <c r="I84" s="215"/>
      <c r="J84" s="182"/>
      <c r="K84" s="182"/>
    </row>
    <row r="85" spans="1:15">
      <c r="A85" s="225"/>
      <c r="C85" s="313">
        <f>Gleason!BV214/1000</f>
        <v>5423.4979999999996</v>
      </c>
      <c r="D85" s="182"/>
      <c r="E85" s="182" t="s">
        <v>324</v>
      </c>
      <c r="F85" s="215"/>
      <c r="G85" s="215"/>
      <c r="H85" s="215"/>
      <c r="I85" s="215"/>
      <c r="J85" s="182"/>
      <c r="K85" s="182"/>
    </row>
    <row r="86" spans="1:15" s="30" customFormat="1">
      <c r="A86" s="225"/>
      <c r="B86" s="182"/>
      <c r="C86" s="245">
        <f>Gleason!BV105/1000+1</f>
        <v>251</v>
      </c>
      <c r="D86" s="246"/>
      <c r="E86" s="367" t="s">
        <v>446</v>
      </c>
      <c r="F86" s="312"/>
      <c r="G86" s="312"/>
      <c r="H86" s="312"/>
      <c r="I86" s="312"/>
      <c r="J86" s="246"/>
      <c r="K86" s="246"/>
      <c r="L86" s="182"/>
      <c r="M86" s="182"/>
      <c r="N86" s="182"/>
      <c r="O86" s="182"/>
    </row>
    <row r="87" spans="1:15">
      <c r="A87" s="225"/>
      <c r="C87" s="453">
        <f>SUM(C74:C86)</f>
        <v>-5060.0875771544725</v>
      </c>
      <c r="D87" s="182"/>
      <c r="E87" s="321" t="s">
        <v>414</v>
      </c>
      <c r="F87" s="215"/>
      <c r="G87" s="215"/>
      <c r="H87" s="215"/>
      <c r="I87" s="215"/>
      <c r="J87" s="182"/>
      <c r="K87" s="182"/>
    </row>
    <row r="88" spans="1:15">
      <c r="A88" s="182"/>
      <c r="C88" s="226"/>
      <c r="E88" s="217"/>
      <c r="F88" s="217"/>
      <c r="G88" s="217"/>
      <c r="H88" s="217"/>
      <c r="I88" s="217"/>
    </row>
    <row r="89" spans="1:15">
      <c r="A89" s="182"/>
      <c r="C89" s="226">
        <f>Gleason!BT93/1000</f>
        <v>-3387.761</v>
      </c>
      <c r="E89" s="175" t="s">
        <v>528</v>
      </c>
    </row>
    <row r="90" spans="1:15" ht="13.5" thickBot="1">
      <c r="A90" s="182"/>
      <c r="C90" s="319">
        <f>SUM(C87:C89)</f>
        <v>-8447.8485771544729</v>
      </c>
      <c r="D90" s="314"/>
      <c r="E90" s="315" t="s">
        <v>417</v>
      </c>
      <c r="F90" s="314"/>
      <c r="G90" s="316"/>
      <c r="H90" s="317"/>
      <c r="I90" s="318"/>
      <c r="J90" s="314"/>
      <c r="K90" s="314"/>
    </row>
    <row r="91" spans="1:15" ht="13.5" thickTop="1">
      <c r="A91" s="182"/>
      <c r="C91" s="226"/>
      <c r="E91" s="217"/>
      <c r="F91" s="217"/>
      <c r="G91" s="217"/>
      <c r="H91" s="217"/>
      <c r="I91" s="217"/>
    </row>
    <row r="92" spans="1:15">
      <c r="A92" s="225" t="s">
        <v>194</v>
      </c>
      <c r="C92" s="226">
        <f>Wheatland!BT159/1000</f>
        <v>-168.35607999999999</v>
      </c>
      <c r="E92" s="217" t="s">
        <v>279</v>
      </c>
    </row>
    <row r="93" spans="1:15">
      <c r="C93" s="226">
        <f>Wheatland!BT91/1000</f>
        <v>-2735.05</v>
      </c>
      <c r="E93" s="175" t="s">
        <v>416</v>
      </c>
    </row>
    <row r="94" spans="1:15">
      <c r="A94" s="229"/>
      <c r="B94" s="230"/>
      <c r="C94" s="226">
        <f>Wheatland!BT12/1000</f>
        <v>-297.80099999999999</v>
      </c>
      <c r="D94" s="230"/>
      <c r="E94" s="175" t="s">
        <v>322</v>
      </c>
      <c r="F94" s="230"/>
      <c r="G94" s="230"/>
      <c r="H94" s="230"/>
      <c r="I94" s="230"/>
      <c r="J94" s="230"/>
      <c r="K94" s="230"/>
      <c r="L94" s="230"/>
      <c r="M94" s="230"/>
      <c r="N94" s="230"/>
    </row>
    <row r="95" spans="1:15">
      <c r="C95" s="226">
        <f>Wheatland!BT32/1000</f>
        <v>-293.98</v>
      </c>
      <c r="E95" s="175" t="s">
        <v>325</v>
      </c>
    </row>
    <row r="96" spans="1:15">
      <c r="C96" s="226">
        <f>Wheatland!BT130/1000</f>
        <v>-1129.60257</v>
      </c>
      <c r="E96" s="175" t="s">
        <v>403</v>
      </c>
    </row>
    <row r="97" spans="1:15">
      <c r="C97" s="226">
        <f>Wheatland!BT157/1000</f>
        <v>-73.250029999999967</v>
      </c>
      <c r="E97" s="175" t="s">
        <v>527</v>
      </c>
    </row>
    <row r="98" spans="1:15">
      <c r="C98" s="226">
        <f>Wheatland!BT158/1000</f>
        <v>-195.04080999999999</v>
      </c>
      <c r="E98" s="175" t="s">
        <v>451</v>
      </c>
    </row>
    <row r="99" spans="1:15">
      <c r="C99" s="226">
        <f>Wheatland!BT167/1000</f>
        <v>-301.67212999999998</v>
      </c>
      <c r="E99" s="175" t="s">
        <v>450</v>
      </c>
    </row>
    <row r="100" spans="1:15">
      <c r="C100" s="226">
        <f>Wheatland!BT169/1000</f>
        <v>329.57305996026099</v>
      </c>
      <c r="E100" s="175" t="s">
        <v>488</v>
      </c>
    </row>
    <row r="101" spans="1:15">
      <c r="A101" s="229"/>
      <c r="B101" s="230"/>
      <c r="C101" s="245">
        <v>3324.1521000000002</v>
      </c>
      <c r="D101" s="426"/>
      <c r="E101" s="246" t="s">
        <v>324</v>
      </c>
      <c r="F101" s="426"/>
      <c r="G101" s="426"/>
      <c r="H101" s="426"/>
      <c r="I101" s="426"/>
      <c r="J101" s="425"/>
      <c r="K101" s="425"/>
      <c r="L101" s="230"/>
      <c r="M101" s="230"/>
    </row>
    <row r="102" spans="1:15" ht="14.25" customHeight="1">
      <c r="C102" s="455">
        <f>SUM(C92:C101)</f>
        <v>-1541.0274600397397</v>
      </c>
      <c r="D102" s="182"/>
      <c r="E102" s="425" t="s">
        <v>417</v>
      </c>
      <c r="F102" s="182"/>
      <c r="G102" s="182"/>
      <c r="H102" s="182"/>
      <c r="I102" s="182"/>
      <c r="J102" s="182"/>
      <c r="K102" s="182"/>
    </row>
    <row r="104" spans="1:15">
      <c r="C104" s="226">
        <f>Wheatland!BR87/1000</f>
        <v>-3953.393</v>
      </c>
      <c r="E104" s="175" t="s">
        <v>528</v>
      </c>
    </row>
    <row r="105" spans="1:15" ht="13.5" thickBot="1">
      <c r="A105"/>
      <c r="B105"/>
      <c r="C105" s="319">
        <f>C102+C104</f>
        <v>-5494.4204600397397</v>
      </c>
      <c r="D105" s="314"/>
      <c r="E105" s="315" t="s">
        <v>417</v>
      </c>
      <c r="F105" s="314"/>
      <c r="G105" s="316"/>
      <c r="H105" s="317"/>
      <c r="I105" s="318"/>
      <c r="J105" s="314"/>
      <c r="K105" s="314"/>
      <c r="L105"/>
      <c r="M105"/>
      <c r="N105"/>
      <c r="O105"/>
    </row>
    <row r="106" spans="1:15" ht="13.5" thickTop="1">
      <c r="A106"/>
      <c r="B106"/>
      <c r="C106"/>
      <c r="D106"/>
      <c r="E106"/>
      <c r="F106"/>
      <c r="G106"/>
      <c r="H106"/>
      <c r="I106"/>
      <c r="J106"/>
      <c r="K106"/>
      <c r="L106"/>
      <c r="M106"/>
      <c r="N106"/>
      <c r="O106"/>
    </row>
    <row r="107" spans="1:15">
      <c r="B107" s="26"/>
      <c r="C107" s="177"/>
    </row>
    <row r="108" spans="1:15">
      <c r="A108" s="218" t="str">
        <f ca="1">CELL("FILENAME")</f>
        <v>O:\Fin_Ops\Engysvc\PowerPlants\2000 Plants\Weekly Report\[2000 Weekly Report - 042500.xls]Wilton</v>
      </c>
      <c r="B108" s="177"/>
      <c r="C108" s="177"/>
    </row>
  </sheetData>
  <mergeCells count="2">
    <mergeCell ref="A54:K54"/>
    <mergeCell ref="A45:K45"/>
  </mergeCells>
  <printOptions horizontalCentered="1"/>
  <pageMargins left="0.25" right="0.25" top="0.5" bottom="0.34"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zoomScale="80" zoomScaleNormal="66" workbookViewId="0">
      <pane xSplit="19" ySplit="8" topLeftCell="AT77" activePane="bottomRight" state="frozen"/>
      <selection activeCell="B156" sqref="B156"/>
      <selection pane="topRight" activeCell="B156" sqref="B156"/>
      <selection pane="bottomLeft" activeCell="B156" sqref="B156"/>
      <selection pane="bottomRight" activeCell="AU1" sqref="AU1:AU6553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28515625" style="6" hidden="1" customWidth="1"/>
    <col min="45" max="45" width="2" style="6" hidden="1" customWidth="1"/>
    <col min="46" max="46" width="0.14062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28515625" style="65" hidden="1" customWidth="1"/>
    <col min="63" max="63" width="2.140625" style="4"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- 042500.xls]Wilton</v>
      </c>
    </row>
    <row r="3" spans="1:74" s="18" customFormat="1" ht="15.75">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36641.611076388886</v>
      </c>
      <c r="BR3" s="23"/>
      <c r="BT3" s="78" t="str">
        <f>Summary!A5</f>
        <v>Revision # 55</v>
      </c>
      <c r="BV3" s="18" t="str">
        <f>Summary!A5</f>
        <v>Revision # 55</v>
      </c>
    </row>
    <row r="4" spans="1:74" s="18" customFormat="1" ht="15.75">
      <c r="A4" s="94"/>
      <c r="B4" s="19">
        <f>Summary!C11</f>
        <v>608</v>
      </c>
      <c r="C4"/>
      <c r="G4" s="67"/>
      <c r="J4" s="67"/>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4/14/00</v>
      </c>
      <c r="U7" s="96"/>
      <c r="V7" s="82" t="str">
        <f>+Summary!$O$4</f>
        <v xml:space="preserve"> As of 4/14/00</v>
      </c>
      <c r="W7" s="69"/>
      <c r="X7" s="82" t="str">
        <f>+Summary!$O$4</f>
        <v xml:space="preserve"> As of 4/14/00</v>
      </c>
      <c r="Y7" s="69"/>
      <c r="Z7" s="82" t="str">
        <f>+Summary!$O$4</f>
        <v xml:space="preserve"> As of 4/14/00</v>
      </c>
      <c r="AA7" s="69"/>
      <c r="AB7" s="82" t="str">
        <f>+Summary!$O$4</f>
        <v xml:space="preserve"> As of 4/14/00</v>
      </c>
      <c r="AC7" s="69"/>
      <c r="AD7" s="82" t="str">
        <f>+Summary!$O$4</f>
        <v xml:space="preserve"> As of 4/14/00</v>
      </c>
      <c r="AE7" s="69"/>
      <c r="AF7" s="82" t="str">
        <f>+Summary!$O$4</f>
        <v xml:space="preserve"> As of 4/14/00</v>
      </c>
      <c r="AG7" s="69"/>
      <c r="AH7" s="82" t="str">
        <f>+Summary!$O$4</f>
        <v xml:space="preserve"> As of 4/14/00</v>
      </c>
      <c r="AI7"/>
      <c r="AJ7" s="82" t="str">
        <f>+Summary!$O$4</f>
        <v xml:space="preserve"> As of 4/14/00</v>
      </c>
      <c r="AK7"/>
      <c r="AL7" s="82" t="str">
        <f>+Summary!$O$4</f>
        <v xml:space="preserve"> As of 4/14/00</v>
      </c>
      <c r="AM7"/>
      <c r="AN7" s="82" t="str">
        <f>+Summary!$O$4</f>
        <v xml:space="preserve"> As of 4/14/00</v>
      </c>
      <c r="AO7" s="69"/>
      <c r="AP7" s="82" t="str">
        <f>+Summary!$O$4</f>
        <v xml:space="preserve"> As of 4/14/00</v>
      </c>
      <c r="AQ7" s="69"/>
      <c r="AR7" s="82" t="str">
        <f>+Summary!$O$4</f>
        <v xml:space="preserve"> As of 4/14/00</v>
      </c>
      <c r="AS7" s="69"/>
      <c r="AT7" s="82" t="str">
        <f>+Summary!$O$4</f>
        <v xml:space="preserve"> As of 4/14/00</v>
      </c>
      <c r="AU7" s="82"/>
      <c r="AV7" s="82" t="str">
        <f>+Summary!$O$4</f>
        <v xml:space="preserve"> As of 4/14/00</v>
      </c>
      <c r="AW7" s="82"/>
      <c r="AX7" s="82" t="str">
        <f>+Summary!$O$4</f>
        <v xml:space="preserve"> As of 4/14/00</v>
      </c>
      <c r="AY7" s="82"/>
      <c r="AZ7" s="82" t="str">
        <f>+Summary!$O$4</f>
        <v xml:space="preserve"> As of 4/14/00</v>
      </c>
      <c r="BA7" s="82"/>
      <c r="BB7" s="82" t="str">
        <f>+Summary!$O$4</f>
        <v xml:space="preserve"> As of 4/14/00</v>
      </c>
      <c r="BC7" s="82"/>
      <c r="BD7" s="82" t="str">
        <f>+Summary!$O$4</f>
        <v xml:space="preserve"> As of 4/14/00</v>
      </c>
      <c r="BE7" s="82"/>
      <c r="BF7" s="82" t="str">
        <f>+Summary!$O$4</f>
        <v xml:space="preserve"> As of 4/14/00</v>
      </c>
      <c r="BG7" s="82"/>
      <c r="BH7" s="82" t="str">
        <f>+Summary!$O$4</f>
        <v xml:space="preserve"> As of 4/14/00</v>
      </c>
      <c r="BI7" s="82"/>
      <c r="BJ7" s="82" t="str">
        <f>+Summary!$O$4</f>
        <v xml:space="preserve"> As of 4/14/00</v>
      </c>
      <c r="BL7" s="71" t="str">
        <f>+Summary!$O$4</f>
        <v xml:space="preserve"> As of 4/14/00</v>
      </c>
      <c r="BN7" s="64" t="str">
        <f>+Summary!$O$4</f>
        <v xml:space="preserve"> As of 4/14/00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0</v>
      </c>
      <c r="BD15" s="6">
        <v>0</v>
      </c>
      <c r="BF15" s="6">
        <v>0</v>
      </c>
      <c r="BH15" s="6">
        <v>0</v>
      </c>
      <c r="BJ15" s="6">
        <v>0</v>
      </c>
      <c r="BK15" s="6"/>
      <c r="BL15" s="6">
        <f>SUM(T15:BK15)</f>
        <v>5751693.2000000002</v>
      </c>
      <c r="BM15" s="6"/>
      <c r="BN15" s="6">
        <f>5916048-5878600+220650+206600</f>
        <v>464698</v>
      </c>
      <c r="BO15" s="6"/>
      <c r="BP15" s="6">
        <f t="shared" ref="BP15:BP30" si="1">IF(+R15-BL15+BN15&gt;0,R15-BL15+BN15,0)</f>
        <v>591604.79999999981</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0</v>
      </c>
      <c r="BC31" s="12"/>
      <c r="BD31" s="101">
        <f>SUM(BD14:BD30)</f>
        <v>0</v>
      </c>
      <c r="BE31" s="12"/>
      <c r="BF31" s="101">
        <f>SUM(BF14:BF30)</f>
        <v>0</v>
      </c>
      <c r="BG31" s="12"/>
      <c r="BH31" s="101">
        <f>SUM(BH14:BH30)</f>
        <v>0</v>
      </c>
      <c r="BI31" s="12"/>
      <c r="BJ31" s="101">
        <f>SUM(BJ14:BJ30)</f>
        <v>0</v>
      </c>
      <c r="BK31" s="6"/>
      <c r="BL31" s="101">
        <f>SUM(BL14:BL30)</f>
        <v>5751693.2000000002</v>
      </c>
      <c r="BM31" s="6"/>
      <c r="BN31" s="101">
        <f>SUM(BN14:BN30)</f>
        <v>464698</v>
      </c>
      <c r="BO31" s="6"/>
      <c r="BP31" s="101">
        <f>SUM(BP14:BP30)</f>
        <v>591604.79999999981</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0</v>
      </c>
      <c r="BC33" s="115"/>
      <c r="BD33" s="115">
        <f>+BD31+BD12</f>
        <v>0</v>
      </c>
      <c r="BE33" s="115"/>
      <c r="BF33" s="115">
        <f>+BF31+BF12</f>
        <v>0</v>
      </c>
      <c r="BG33" s="115"/>
      <c r="BH33" s="115">
        <f>+BH31+BH12</f>
        <v>0</v>
      </c>
      <c r="BI33" s="115"/>
      <c r="BJ33" s="115">
        <f>+BJ31+BJ12</f>
        <v>0</v>
      </c>
      <c r="BK33" s="115"/>
      <c r="BL33" s="115">
        <f>+BL31+BL12</f>
        <v>147816633.63999999</v>
      </c>
      <c r="BM33" s="115"/>
      <c r="BN33" s="115">
        <f>+BN31+BN12</f>
        <v>2296698</v>
      </c>
      <c r="BO33" s="115"/>
      <c r="BP33" s="115">
        <f>+BP31+BP12</f>
        <v>783604.79999999981</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c r="BA86" s="9"/>
      <c r="BB86" s="9"/>
      <c r="BC86" s="9"/>
      <c r="BD86" s="9"/>
      <c r="BE86" s="9"/>
      <c r="BF86" s="9"/>
      <c r="BG86" s="9"/>
      <c r="BH86" s="9"/>
      <c r="BI86" s="9"/>
      <c r="BJ86" s="9"/>
      <c r="BK86" s="9"/>
      <c r="BL86" s="6">
        <f>SUM(T86:BK86)</f>
        <v>16913565</v>
      </c>
      <c r="BM86" s="9"/>
      <c r="BN86" s="9">
        <v>0</v>
      </c>
      <c r="BO86" s="9">
        <f>SUM(BO84:BO85)</f>
        <v>0</v>
      </c>
      <c r="BP86" s="6">
        <v>-16913565</v>
      </c>
      <c r="BQ86" s="9">
        <f>SUM(BQ84:BQ85)</f>
        <v>0</v>
      </c>
      <c r="BR86" s="6">
        <f>+BL86+BP86</f>
        <v>0</v>
      </c>
      <c r="BS86" s="9">
        <f>SUM(BS84:BS85)</f>
        <v>0</v>
      </c>
      <c r="BT86" s="6">
        <f>+R86-BR86</f>
        <v>0</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0</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45349815</v>
      </c>
      <c r="BM88" s="244">
        <f t="shared" si="21"/>
        <v>0</v>
      </c>
      <c r="BN88" s="244">
        <f t="shared" si="21"/>
        <v>23887172</v>
      </c>
      <c r="BO88" s="244">
        <f t="shared" si="21"/>
        <v>0</v>
      </c>
      <c r="BP88" s="244">
        <f t="shared" si="21"/>
        <v>30913450</v>
      </c>
      <c r="BQ88" s="244">
        <f t="shared" si="21"/>
        <v>0</v>
      </c>
      <c r="BR88" s="244">
        <f>BR84+BR79+BR53+BR46+BR86+BR85</f>
        <v>75078636</v>
      </c>
      <c r="BS88" s="244">
        <f t="shared" si="21"/>
        <v>0</v>
      </c>
      <c r="BT88" s="244">
        <f>BT84+BT79+BT53+BT46+BT86+BT85</f>
        <v>-24133994</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77933</v>
      </c>
      <c r="BB91" s="6">
        <v>0</v>
      </c>
      <c r="BD91" s="6">
        <v>0</v>
      </c>
      <c r="BF91" s="6">
        <v>0</v>
      </c>
      <c r="BH91" s="6">
        <v>0</v>
      </c>
      <c r="BJ91" s="6">
        <v>0</v>
      </c>
      <c r="BK91" s="6"/>
      <c r="BL91" s="6">
        <f t="shared" ref="BL91:BL96" si="22">SUM(T91:BK91)</f>
        <v>784332.67333333322</v>
      </c>
      <c r="BM91" s="6"/>
      <c r="BN91" s="6">
        <v>5000</v>
      </c>
      <c r="BO91" s="6"/>
      <c r="BP91" s="6">
        <f t="shared" ref="BP91:BP97" si="23">IF(+R91-BL91+BN91&gt;0,R91-BL91+BN91,0)</f>
        <v>155867.32666666678</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0</v>
      </c>
      <c r="BB92" s="6">
        <v>0</v>
      </c>
      <c r="BD92" s="6">
        <v>0</v>
      </c>
      <c r="BF92" s="6">
        <v>0</v>
      </c>
      <c r="BH92" s="6">
        <v>0</v>
      </c>
      <c r="BJ92" s="6">
        <v>0</v>
      </c>
      <c r="BK92" s="6"/>
      <c r="BL92" s="6">
        <f t="shared" si="22"/>
        <v>2118594</v>
      </c>
      <c r="BM92" s="6"/>
      <c r="BN92" s="6">
        <v>0</v>
      </c>
      <c r="BO92" s="6"/>
      <c r="BP92" s="6">
        <f t="shared" si="23"/>
        <v>706206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3066700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3066700</v>
      </c>
      <c r="BR93" s="6">
        <f t="shared" si="24"/>
        <v>3066700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6826700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77933</v>
      </c>
      <c r="BA98" s="117"/>
      <c r="BB98" s="116">
        <f>SUM(BB91:BB97)</f>
        <v>0</v>
      </c>
      <c r="BC98" s="117"/>
      <c r="BD98" s="116">
        <f>SUM(BD91:BD97)</f>
        <v>0</v>
      </c>
      <c r="BE98" s="117"/>
      <c r="BF98" s="116">
        <f>SUM(BF91:BF97)</f>
        <v>0</v>
      </c>
      <c r="BG98" s="117"/>
      <c r="BH98" s="116">
        <f>SUM(BH91:BH97)</f>
        <v>0</v>
      </c>
      <c r="BI98" s="117"/>
      <c r="BJ98" s="116">
        <f>SUM(BJ91:BJ97)</f>
        <v>0</v>
      </c>
      <c r="BK98" s="115"/>
      <c r="BL98" s="116">
        <f>SUM(BL91:BL97)</f>
        <v>2902926.6733333333</v>
      </c>
      <c r="BM98" s="115"/>
      <c r="BN98" s="116">
        <f>SUM(BN91:BN97)</f>
        <v>5000</v>
      </c>
      <c r="BO98" s="115"/>
      <c r="BP98" s="116">
        <f>SUM(BP91:BP97)</f>
        <v>3928773.3266666667</v>
      </c>
      <c r="BQ98" s="115"/>
      <c r="BR98" s="116">
        <f>SUM(BR91:BR97)</f>
        <v>6831700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0</v>
      </c>
      <c r="BB113" s="6">
        <v>0</v>
      </c>
      <c r="BD113" s="6">
        <v>0</v>
      </c>
      <c r="BF113" s="6">
        <v>0</v>
      </c>
      <c r="BH113" s="6">
        <v>0</v>
      </c>
      <c r="BJ113" s="6">
        <v>0</v>
      </c>
      <c r="BK113" s="6"/>
      <c r="BL113" s="6">
        <f>SUM(T113:BK113)</f>
        <v>74000</v>
      </c>
      <c r="BM113" s="6"/>
      <c r="BN113" s="6">
        <v>0</v>
      </c>
      <c r="BO113" s="6"/>
      <c r="BP113" s="6">
        <f>IF(+R113-BL113+BN113&gt;0,R113-BL113+BN113,0)</f>
        <v>111000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0</v>
      </c>
      <c r="BB114" s="6">
        <v>0</v>
      </c>
      <c r="BD114" s="6">
        <v>0</v>
      </c>
      <c r="BF114" s="6">
        <v>0</v>
      </c>
      <c r="BH114" s="6">
        <v>0</v>
      </c>
      <c r="BJ114" s="6">
        <v>0</v>
      </c>
      <c r="BK114" s="6"/>
      <c r="BL114" s="6">
        <f>SUM(T114:BK114)</f>
        <v>104652</v>
      </c>
      <c r="BM114" s="6"/>
      <c r="BN114" s="6">
        <v>0</v>
      </c>
      <c r="BO114" s="6"/>
      <c r="BP114" s="6">
        <f>+R114-BL114+BN114</f>
        <v>619134</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0</v>
      </c>
      <c r="BA116" s="10"/>
      <c r="BB116" s="102">
        <f>SUM(BB113:BB115)</f>
        <v>0</v>
      </c>
      <c r="BC116" s="10"/>
      <c r="BD116" s="102">
        <f>SUM(BD113:BD115)</f>
        <v>0</v>
      </c>
      <c r="BE116" s="10"/>
      <c r="BF116" s="102">
        <f>SUM(BF113:BF115)</f>
        <v>0</v>
      </c>
      <c r="BG116" s="10"/>
      <c r="BH116" s="102">
        <f>SUM(BH113:BH115)</f>
        <v>0</v>
      </c>
      <c r="BI116" s="10"/>
      <c r="BJ116" s="102">
        <f>SUM(BJ113:BJ115)</f>
        <v>0</v>
      </c>
      <c r="BK116" s="9"/>
      <c r="BL116" s="102">
        <f>SUM(BL113:BL115)</f>
        <v>178652</v>
      </c>
      <c r="BM116" s="9"/>
      <c r="BN116" s="102">
        <f>SUM(BN113:BN115)</f>
        <v>0</v>
      </c>
      <c r="BO116" s="9"/>
      <c r="BP116" s="102">
        <f>SUM(BP113:BP115)</f>
        <v>730134</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8" spans="1:73" s="21" customFormat="1">
      <c r="A118" s="62" t="s">
        <v>120</v>
      </c>
      <c r="B118" s="58"/>
      <c r="J118" s="8" t="s">
        <v>0</v>
      </c>
      <c r="L118" s="143" t="s">
        <v>202</v>
      </c>
      <c r="M118" s="9"/>
      <c r="N118" s="9">
        <v>0</v>
      </c>
      <c r="O118" s="9"/>
      <c r="P118" s="9">
        <v>0</v>
      </c>
      <c r="Q118" s="9"/>
      <c r="R118" s="9">
        <v>0</v>
      </c>
      <c r="S118" s="9"/>
      <c r="T118" s="9">
        <v>0</v>
      </c>
      <c r="U118" s="9"/>
      <c r="V118" s="9">
        <v>0</v>
      </c>
      <c r="W118" s="9"/>
      <c r="X118" s="9">
        <v>0</v>
      </c>
      <c r="Y118" s="9"/>
      <c r="Z118" s="9">
        <v>0</v>
      </c>
      <c r="AA118" s="9"/>
      <c r="AB118" s="9">
        <v>0</v>
      </c>
      <c r="AC118" s="9"/>
      <c r="AD118" s="9">
        <v>0</v>
      </c>
      <c r="AE118" s="9"/>
      <c r="AF118" s="9">
        <v>0</v>
      </c>
      <c r="AG118" s="9"/>
      <c r="AH118" s="9">
        <v>0</v>
      </c>
      <c r="AI118"/>
      <c r="AJ118" s="9">
        <v>0</v>
      </c>
      <c r="AK118"/>
      <c r="AL118" s="9">
        <v>0</v>
      </c>
      <c r="AM118"/>
      <c r="AN118" s="9">
        <v>0</v>
      </c>
      <c r="AO118" s="9"/>
      <c r="AP118" s="9">
        <v>0</v>
      </c>
      <c r="AQ118" s="9"/>
      <c r="AR118" s="9">
        <v>0</v>
      </c>
      <c r="AS118" s="9"/>
      <c r="AT118" s="9">
        <v>0</v>
      </c>
      <c r="AU118" s="9"/>
      <c r="AV118" s="9">
        <v>0</v>
      </c>
      <c r="AW118" s="9"/>
      <c r="AX118" s="9">
        <v>0</v>
      </c>
      <c r="AY118" s="9"/>
      <c r="AZ118" s="9">
        <v>0</v>
      </c>
      <c r="BA118" s="9"/>
      <c r="BB118" s="9">
        <v>0</v>
      </c>
      <c r="BC118" s="9"/>
      <c r="BD118" s="9">
        <v>0</v>
      </c>
      <c r="BE118" s="9"/>
      <c r="BF118" s="9">
        <v>0</v>
      </c>
      <c r="BG118" s="9"/>
      <c r="BH118" s="9">
        <v>0</v>
      </c>
      <c r="BI118" s="9"/>
      <c r="BJ118" s="9">
        <v>0</v>
      </c>
      <c r="BK118" s="9"/>
      <c r="BL118" s="9">
        <f>SUM(T118:BK118)</f>
        <v>0</v>
      </c>
      <c r="BM118" s="9"/>
      <c r="BN118" s="9">
        <v>0</v>
      </c>
      <c r="BO118" s="9"/>
      <c r="BP118" s="6">
        <f>IF(+R118-BL118+BN118&gt;0,R118-BL118+BN118,0)</f>
        <v>0</v>
      </c>
      <c r="BQ118" s="9"/>
      <c r="BR118" s="9">
        <f>+BL118+BP118</f>
        <v>0</v>
      </c>
      <c r="BS118" s="9"/>
      <c r="BT118" s="9">
        <f>+R118-BR118</f>
        <v>0</v>
      </c>
      <c r="BU118"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0</v>
      </c>
      <c r="BC120" s="9"/>
      <c r="BD120" s="9">
        <v>0</v>
      </c>
      <c r="BE120" s="9"/>
      <c r="BF120" s="9">
        <v>0</v>
      </c>
      <c r="BG120" s="9"/>
      <c r="BH120" s="9">
        <v>0</v>
      </c>
      <c r="BI120" s="9"/>
      <c r="BJ120" s="9">
        <v>0</v>
      </c>
      <c r="BK120" s="9"/>
      <c r="BL120" s="9">
        <f>SUM(T120:BK120)</f>
        <v>387391.81000000006</v>
      </c>
      <c r="BM120" s="9"/>
      <c r="BN120" s="9">
        <v>0</v>
      </c>
      <c r="BO120" s="9"/>
      <c r="BP120" s="6">
        <f>IF(+R120-BL120+BN120&gt;0,R120-BL120+BN120,0)</f>
        <v>0</v>
      </c>
      <c r="BQ120" s="9"/>
      <c r="BR120" s="9">
        <f>+BL120+BP120</f>
        <v>387391.81000000006</v>
      </c>
      <c r="BS120" s="9"/>
      <c r="BT120" s="9">
        <f>+R120-BR120</f>
        <v>-387391.81000000006</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0</v>
      </c>
      <c r="BD129" s="6">
        <v>0</v>
      </c>
      <c r="BF129" s="6">
        <v>0</v>
      </c>
      <c r="BH129" s="6">
        <v>0</v>
      </c>
      <c r="BJ129" s="6">
        <v>0</v>
      </c>
      <c r="BK129" s="6"/>
      <c r="BL129" s="6">
        <f>SUM(T129:BK129)</f>
        <v>2444150.2800000003</v>
      </c>
      <c r="BM129" s="6"/>
      <c r="BN129" s="6">
        <v>25818</v>
      </c>
      <c r="BO129" s="6"/>
      <c r="BP129" s="6">
        <f>IF(+R129-BL129+BN129&gt;0,R129-BL129+BN129,0)</f>
        <v>0</v>
      </c>
      <c r="BR129" s="6">
        <f>+BL129+BP129</f>
        <v>2444150.2800000003</v>
      </c>
      <c r="BT129" s="6">
        <f>+R129-BR129</f>
        <v>-192650.28000000026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0</v>
      </c>
      <c r="BC131" s="10"/>
      <c r="BD131" s="102">
        <f>SUM(BD127:BD130)</f>
        <v>0</v>
      </c>
      <c r="BE131" s="10"/>
      <c r="BF131" s="102">
        <f>SUM(BF127:BF130)</f>
        <v>0</v>
      </c>
      <c r="BG131" s="10"/>
      <c r="BH131" s="102">
        <f>SUM(BH127:BH130)</f>
        <v>0</v>
      </c>
      <c r="BI131" s="10"/>
      <c r="BJ131" s="102">
        <f>SUM(BJ127:BJ130)</f>
        <v>0</v>
      </c>
      <c r="BK131" s="9"/>
      <c r="BL131" s="102">
        <f>SUM(BL127:BL130)</f>
        <v>2472650.2800000003</v>
      </c>
      <c r="BM131" s="9"/>
      <c r="BN131" s="102">
        <f>SUM(BN127:BN130)</f>
        <v>25818</v>
      </c>
      <c r="BO131" s="9"/>
      <c r="BP131" s="102">
        <f>SUM(BP127:BP130)</f>
        <v>0</v>
      </c>
      <c r="BQ131" s="9"/>
      <c r="BR131" s="102">
        <f>SUM(BR127:BR130)</f>
        <v>2472650.2800000003</v>
      </c>
      <c r="BS131" s="9"/>
      <c r="BT131" s="102">
        <f>SUM(BT127:BT130)</f>
        <v>-192650.28000000026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2261</v>
      </c>
      <c r="BB136" s="6">
        <v>0</v>
      </c>
      <c r="BD136" s="6">
        <v>0</v>
      </c>
      <c r="BF136" s="6">
        <v>0</v>
      </c>
      <c r="BH136" s="6">
        <v>0</v>
      </c>
      <c r="BJ136" s="6">
        <v>0</v>
      </c>
      <c r="BK136" s="6"/>
      <c r="BL136" s="22">
        <f>SUM(T136:BK136)</f>
        <v>280052.5</v>
      </c>
      <c r="BM136" s="6"/>
      <c r="BN136" s="6">
        <v>0</v>
      </c>
      <c r="BO136" s="6"/>
      <c r="BP136" s="6">
        <f>IF(+R136-BL136+BN136&gt;0,R136-BL136+BN136,0)</f>
        <v>119947.5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2261</v>
      </c>
      <c r="BA138" s="10"/>
      <c r="BB138" s="102">
        <f>SUM(BB134:BB137)</f>
        <v>0</v>
      </c>
      <c r="BC138" s="10"/>
      <c r="BD138" s="102">
        <f>SUM(BD134:BD137)</f>
        <v>0</v>
      </c>
      <c r="BE138" s="10"/>
      <c r="BF138" s="102">
        <f>SUM(BF134:BF137)</f>
        <v>0</v>
      </c>
      <c r="BG138" s="10"/>
      <c r="BH138" s="102">
        <f>SUM(BH134:BH137)</f>
        <v>0</v>
      </c>
      <c r="BI138" s="10"/>
      <c r="BJ138" s="102">
        <f>SUM(BJ134:BJ137)</f>
        <v>0</v>
      </c>
      <c r="BK138" s="9"/>
      <c r="BL138" s="102">
        <f>SUM(BL134:BL137)</f>
        <v>280052.5</v>
      </c>
      <c r="BM138" s="9"/>
      <c r="BN138" s="102">
        <f>SUM(BN134:BN137)</f>
        <v>0</v>
      </c>
      <c r="BO138" s="9"/>
      <c r="BP138" s="102">
        <f>SUM(BP134:BP137)</f>
        <v>119947.5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f>SUM(T142:BK142)</f>
        <v>0</v>
      </c>
      <c r="BM142" s="9"/>
      <c r="BN142" s="9">
        <f>4500000+2900000</f>
        <v>7400000</v>
      </c>
      <c r="BO142" s="9"/>
      <c r="BP142" s="6">
        <f>IF(+R142-BL142+BN142&gt;0,R142-BL142+BN142,0)</f>
        <v>10900000</v>
      </c>
      <c r="BQ142" s="9"/>
      <c r="BR142" s="9">
        <f>+BL142+BP142</f>
        <v>10900000</v>
      </c>
      <c r="BS142" s="9"/>
      <c r="BT142" s="9">
        <f>+R142-BR142</f>
        <v>-7400000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6">
        <f>IF(+R146-BL146+BN146&gt;0,R146-BL146+BN146,0)</f>
        <v>1500000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0</v>
      </c>
      <c r="BM148" s="16"/>
      <c r="BN148" s="108">
        <f>SUM(BN145:BN147)</f>
        <v>0</v>
      </c>
      <c r="BO148" s="16"/>
      <c r="BP148" s="108">
        <f>SUM(BP145:BP147)</f>
        <v>1500000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0</v>
      </c>
      <c r="BA150" s="10"/>
      <c r="BB150" s="10">
        <v>0</v>
      </c>
      <c r="BC150" s="10"/>
      <c r="BD150" s="10">
        <v>0</v>
      </c>
      <c r="BE150" s="10"/>
      <c r="BF150" s="10">
        <v>0</v>
      </c>
      <c r="BG150" s="10"/>
      <c r="BH150" s="10">
        <v>0</v>
      </c>
      <c r="BI150" s="10"/>
      <c r="BJ150" s="10">
        <v>0</v>
      </c>
      <c r="BK150" s="10"/>
      <c r="BL150" s="10">
        <f>SUM(T150:BK150)</f>
        <v>266248.5</v>
      </c>
      <c r="BM150" s="10"/>
      <c r="BN150" s="10">
        <v>0</v>
      </c>
      <c r="BO150" s="10"/>
      <c r="BP150" s="6">
        <f>IF(+R150-BL150+BN150&gt;0,R150-BL150+BN150,0)</f>
        <v>0</v>
      </c>
      <c r="BQ150" s="10"/>
      <c r="BR150" s="9">
        <f>+BL150+BP150</f>
        <v>266248.5</v>
      </c>
      <c r="BS150" s="10"/>
      <c r="BT150" s="9">
        <f>+R150-BR150</f>
        <v>-116248.5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0</v>
      </c>
      <c r="BA152" s="10"/>
      <c r="BB152" s="10">
        <v>0</v>
      </c>
      <c r="BC152" s="10"/>
      <c r="BD152" s="10">
        <v>0</v>
      </c>
      <c r="BE152" s="10"/>
      <c r="BF152" s="10">
        <v>0</v>
      </c>
      <c r="BG152" s="10"/>
      <c r="BH152" s="10">
        <v>0</v>
      </c>
      <c r="BI152" s="10"/>
      <c r="BJ152" s="10">
        <v>0</v>
      </c>
      <c r="BK152" s="10"/>
      <c r="BL152" s="10">
        <f>SUM(T152:BK152)</f>
        <v>66313.19</v>
      </c>
      <c r="BM152" s="10"/>
      <c r="BN152" s="10">
        <v>0</v>
      </c>
      <c r="BO152" s="10"/>
      <c r="BP152" s="6">
        <f>IF(+R152-BL152+BN152&gt;0,R152-BL152+BN152,0)</f>
        <v>133686.81</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658</v>
      </c>
      <c r="BA156" s="12"/>
      <c r="BB156" s="12">
        <v>0</v>
      </c>
      <c r="BC156" s="12"/>
      <c r="BD156" s="12">
        <v>0</v>
      </c>
      <c r="BE156" s="12"/>
      <c r="BF156" s="12">
        <v>0</v>
      </c>
      <c r="BG156" s="12"/>
      <c r="BH156" s="12">
        <v>0</v>
      </c>
      <c r="BI156" s="12"/>
      <c r="BJ156" s="12">
        <v>0</v>
      </c>
      <c r="BK156" s="12"/>
      <c r="BL156" s="80">
        <f t="shared" si="27"/>
        <v>76434.430000000008</v>
      </c>
      <c r="BM156" s="12"/>
      <c r="BN156" s="12">
        <v>6683</v>
      </c>
      <c r="BO156" s="12"/>
      <c r="BP156" s="6">
        <f t="shared" si="28"/>
        <v>0</v>
      </c>
      <c r="BQ156" s="12"/>
      <c r="BR156" s="6">
        <f t="shared" si="29"/>
        <v>76434.430000000008</v>
      </c>
      <c r="BS156" s="12"/>
      <c r="BT156" s="6">
        <f t="shared" si="30"/>
        <v>-31434.430000000008</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f>17+17+540+1</f>
        <v>575</v>
      </c>
      <c r="BA158" s="12"/>
      <c r="BB158" s="12">
        <v>0</v>
      </c>
      <c r="BC158" s="12"/>
      <c r="BD158" s="12">
        <v>0</v>
      </c>
      <c r="BE158" s="12"/>
      <c r="BF158" s="12">
        <v>0</v>
      </c>
      <c r="BG158" s="12"/>
      <c r="BH158" s="12">
        <v>0</v>
      </c>
      <c r="BI158" s="12"/>
      <c r="BJ158" s="12">
        <v>0</v>
      </c>
      <c r="BK158" s="12"/>
      <c r="BL158" s="80">
        <f t="shared" si="27"/>
        <v>222306.28999999998</v>
      </c>
      <c r="BM158" s="12"/>
      <c r="BN158" s="12">
        <v>106842</v>
      </c>
      <c r="BO158" s="12"/>
      <c r="BP158" s="6">
        <f t="shared" si="28"/>
        <v>19128.710000000021</v>
      </c>
      <c r="BQ158" s="12"/>
      <c r="BR158" s="6">
        <f t="shared" si="29"/>
        <v>241435</v>
      </c>
      <c r="BS158" s="12"/>
      <c r="BT158" s="6">
        <f t="shared" si="30"/>
        <v>-106842</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101055</v>
      </c>
      <c r="BA161" s="102">
        <f t="shared" si="32"/>
        <v>0</v>
      </c>
      <c r="BB161" s="102">
        <f t="shared" si="32"/>
        <v>0</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1107342.6299999999</v>
      </c>
      <c r="BM161" s="102">
        <f t="shared" ref="BM161:BT161" si="33">SUM(BM155:BM160)</f>
        <v>0</v>
      </c>
      <c r="BN161" s="102">
        <f t="shared" si="33"/>
        <v>402684</v>
      </c>
      <c r="BO161" s="102">
        <f t="shared" si="33"/>
        <v>0</v>
      </c>
      <c r="BP161" s="102">
        <f t="shared" si="33"/>
        <v>19129.690000000002</v>
      </c>
      <c r="BQ161" s="102">
        <f t="shared" si="33"/>
        <v>0</v>
      </c>
      <c r="BR161" s="102">
        <f t="shared" si="33"/>
        <v>1126472.3199999998</v>
      </c>
      <c r="BS161" s="102">
        <f t="shared" si="33"/>
        <v>0</v>
      </c>
      <c r="BT161" s="102">
        <f t="shared" si="33"/>
        <v>-911879.32000000007</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[2]Wilton!$K$39</f>
        <v>463711.37538870639</v>
      </c>
      <c r="AK170"/>
      <c r="AL170" s="10">
        <f>[2]Wilton!$L$39</f>
        <v>505639.68570277008</v>
      </c>
      <c r="AM170"/>
      <c r="AN170" s="10">
        <v>568176</v>
      </c>
      <c r="AO170" s="10"/>
      <c r="AP170" s="10">
        <f>[2]Wilton!$N$39</f>
        <v>663422.29387704656</v>
      </c>
      <c r="AQ170" s="10"/>
      <c r="AR170" s="10">
        <f>[2]Wilton!$O$39</f>
        <v>873819.32529526937</v>
      </c>
      <c r="AS170" s="10"/>
      <c r="AT170" s="10">
        <f>[2]Wilton!$P$39</f>
        <v>891069.81590450753</v>
      </c>
      <c r="AU170" s="10"/>
      <c r="AV170" s="10">
        <f>[2]Wilton!$Q$39</f>
        <v>1048965.8687712126</v>
      </c>
      <c r="AW170" s="10"/>
      <c r="AX170" s="10">
        <f>[2]Wilton!$R$39</f>
        <v>1175441.8444909456</v>
      </c>
      <c r="AY170" s="10"/>
      <c r="AZ170" s="10">
        <v>0</v>
      </c>
      <c r="BA170" s="10"/>
      <c r="BB170" s="10">
        <v>0</v>
      </c>
      <c r="BC170" s="10"/>
      <c r="BD170" s="10">
        <v>0</v>
      </c>
      <c r="BE170" s="10"/>
      <c r="BF170" s="10">
        <v>0</v>
      </c>
      <c r="BG170" s="10"/>
      <c r="BH170" s="10">
        <v>0</v>
      </c>
      <c r="BI170" s="10"/>
      <c r="BJ170" s="10">
        <v>0</v>
      </c>
      <c r="BK170" s="10"/>
      <c r="BL170" s="10">
        <f>SUM(T170:BK170)</f>
        <v>8398975.044411473</v>
      </c>
      <c r="BM170" s="10"/>
      <c r="BN170" s="10">
        <v>0</v>
      </c>
      <c r="BO170" s="10"/>
      <c r="BP170" s="6">
        <f>IF(+R170-BL170+BN170&gt;0,R170-BL170+BN170,0)-R170+[2]Wilton!$Y$39</f>
        <v>4156264.2512233928</v>
      </c>
      <c r="BQ170" s="10"/>
      <c r="BR170" s="9">
        <f>+BL170+BP170</f>
        <v>12555239.295634866</v>
      </c>
      <c r="BS170" s="10"/>
      <c r="BT170" s="9">
        <f>+R170-BR170</f>
        <v>252884.70436513424</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R170+R161+R152+R150+R148+R142+R138+R131+R124+R122+R120+R118+R116+R168+R140</f>
        <v>24972135</v>
      </c>
      <c r="S172" s="120">
        <f t="shared" ref="S172:AX172" si="34">S170+S161+S152+S150+S148+S142+S138+S131+S124+S122+S120+S118+S116+S168+S140</f>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si="34"/>
        <v>515549.77538870636</v>
      </c>
      <c r="AK172" s="120">
        <f t="shared" si="34"/>
        <v>0</v>
      </c>
      <c r="AL172" s="120">
        <f t="shared" si="34"/>
        <v>551052.15570277011</v>
      </c>
      <c r="AM172" s="120">
        <f t="shared" si="34"/>
        <v>0</v>
      </c>
      <c r="AN172" s="120">
        <f t="shared" si="34"/>
        <v>693677.65</v>
      </c>
      <c r="AO172" s="120">
        <f t="shared" si="34"/>
        <v>0</v>
      </c>
      <c r="AP172" s="120">
        <f t="shared" si="34"/>
        <v>997479.58387704659</v>
      </c>
      <c r="AQ172" s="120">
        <f t="shared" si="34"/>
        <v>0</v>
      </c>
      <c r="AR172" s="120">
        <f t="shared" si="34"/>
        <v>1810970.3252952693</v>
      </c>
      <c r="AS172" s="120">
        <f t="shared" si="34"/>
        <v>0</v>
      </c>
      <c r="AT172" s="120">
        <f t="shared" si="34"/>
        <v>1294710.1259045072</v>
      </c>
      <c r="AU172" s="120">
        <f t="shared" si="34"/>
        <v>0</v>
      </c>
      <c r="AV172" s="120">
        <f t="shared" si="34"/>
        <v>1582025.6787712125</v>
      </c>
      <c r="AW172" s="120">
        <f t="shared" si="34"/>
        <v>0</v>
      </c>
      <c r="AX172" s="120">
        <f t="shared" si="34"/>
        <v>1568800.3344909456</v>
      </c>
      <c r="AY172" s="120">
        <f t="shared" ref="AY172:BT172" si="35">AY170+AY161+AY152+AY150+AY148+AY142+AY138+AY131+AY124+AY122+AY120+AY118+AY116+AY168+AY140</f>
        <v>0</v>
      </c>
      <c r="AZ172" s="120">
        <f t="shared" si="35"/>
        <v>103316</v>
      </c>
      <c r="BA172" s="120">
        <f t="shared" si="35"/>
        <v>0</v>
      </c>
      <c r="BB172" s="120">
        <f t="shared" si="35"/>
        <v>0</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si="35"/>
        <v>14282267.464411471</v>
      </c>
      <c r="BM172" s="120">
        <f t="shared" si="35"/>
        <v>0</v>
      </c>
      <c r="BN172" s="120">
        <f t="shared" si="35"/>
        <v>8028502</v>
      </c>
      <c r="BO172" s="120">
        <f t="shared" si="35"/>
        <v>0</v>
      </c>
      <c r="BP172" s="120">
        <f t="shared" si="35"/>
        <v>19946824.87122339</v>
      </c>
      <c r="BQ172" s="120">
        <f t="shared" si="35"/>
        <v>0</v>
      </c>
      <c r="BR172" s="120">
        <f t="shared" si="35"/>
        <v>34229092.335634865</v>
      </c>
      <c r="BS172" s="120">
        <f t="shared" si="35"/>
        <v>0</v>
      </c>
      <c r="BT172" s="120">
        <f t="shared" si="35"/>
        <v>-9256957.3356348667</v>
      </c>
      <c r="BU172" s="120">
        <f>BU170+BU161+BU152+BU150+BU148+BU142+BU138+BU131+BU124+BU122+BU120+BU118+BU116+BU168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242742167.75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AJ33+AJ98+AJ88+AJ107+AJ172+AJ174</f>
        <v>6989210.1253887061</v>
      </c>
      <c r="AK177"/>
      <c r="AL177" s="168">
        <f>AL33+AL98+AL88+AL107+AL172+AL174</f>
        <v>7789231.1557027698</v>
      </c>
      <c r="AM177"/>
      <c r="AN177" s="168">
        <f t="shared" ref="AN177:BT177" si="37">AN33+AN98+AN88+AN107+AN172+AN174</f>
        <v>11600775.180000002</v>
      </c>
      <c r="AO177" s="168">
        <f t="shared" si="37"/>
        <v>0</v>
      </c>
      <c r="AP177" s="168">
        <f t="shared" si="37"/>
        <v>17679120.913877048</v>
      </c>
      <c r="AQ177" s="168">
        <f t="shared" si="37"/>
        <v>0</v>
      </c>
      <c r="AR177" s="168">
        <f t="shared" si="37"/>
        <v>39304333.695295267</v>
      </c>
      <c r="AS177" s="168">
        <f t="shared" si="37"/>
        <v>0</v>
      </c>
      <c r="AT177" s="168">
        <f t="shared" si="37"/>
        <v>2943898.2559045074</v>
      </c>
      <c r="AU177" s="168">
        <f t="shared" si="37"/>
        <v>0</v>
      </c>
      <c r="AV177" s="168">
        <f t="shared" si="37"/>
        <v>29327061.258771211</v>
      </c>
      <c r="AW177" s="168">
        <f t="shared" si="37"/>
        <v>0</v>
      </c>
      <c r="AX177" s="168">
        <f t="shared" si="37"/>
        <v>23456763.284490943</v>
      </c>
      <c r="AY177" s="168">
        <f t="shared" si="37"/>
        <v>0</v>
      </c>
      <c r="AZ177" s="168">
        <f t="shared" si="37"/>
        <v>608499</v>
      </c>
      <c r="BA177" s="168">
        <f t="shared" si="37"/>
        <v>0</v>
      </c>
      <c r="BB177" s="168">
        <f t="shared" si="37"/>
        <v>0</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si="37"/>
        <v>219214267.7777448</v>
      </c>
      <c r="BM177" s="168">
        <f t="shared" si="37"/>
        <v>2030320</v>
      </c>
      <c r="BN177" s="168">
        <f t="shared" si="37"/>
        <v>29809740</v>
      </c>
      <c r="BO177" s="168">
        <f t="shared" si="37"/>
        <v>2030320</v>
      </c>
      <c r="BP177" s="168">
        <f t="shared" si="37"/>
        <v>56189546.997890055</v>
      </c>
      <c r="BQ177" s="168">
        <f t="shared" si="37"/>
        <v>2030320</v>
      </c>
      <c r="BR177" s="168">
        <f t="shared" si="37"/>
        <v>274219185.77563488</v>
      </c>
      <c r="BS177" s="168">
        <f t="shared" si="37"/>
        <v>2030320</v>
      </c>
      <c r="BT177" s="168">
        <f t="shared" si="37"/>
        <v>-31477018.025634862</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BR177/B4</f>
        <v>451018.39765729423</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f>SUM(T182:BK182)</f>
        <v>1189</v>
      </c>
      <c r="BM182" s="9"/>
      <c r="BN182" s="10">
        <v>0</v>
      </c>
      <c r="BO182" s="9"/>
      <c r="BP182" s="6">
        <f>IF(+R182-BL182+BN182&gt;0,R182-BL182+BN182,0)</f>
        <v>0</v>
      </c>
      <c r="BQ182" s="9"/>
      <c r="BR182" s="9">
        <f>+BL182+BP182</f>
        <v>1189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c r="B183" s="31"/>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L186" si="38">R177+R180+R182+R184</f>
        <v>242679590.75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AJ177+AJ180+AJ182+AJ184</f>
        <v>6988530.1253887061</v>
      </c>
      <c r="AK186"/>
      <c r="AL186" s="10">
        <f t="shared" si="38"/>
        <v>7789238.1557027698</v>
      </c>
      <c r="AM186"/>
      <c r="AN186" s="10">
        <f t="shared" si="38"/>
        <v>11652992.180000002</v>
      </c>
      <c r="AO186" s="10">
        <f t="shared" si="38"/>
        <v>0</v>
      </c>
      <c r="AP186" s="10">
        <f t="shared" si="38"/>
        <v>17627423.913877048</v>
      </c>
      <c r="AQ186" s="10">
        <f t="shared" si="38"/>
        <v>0</v>
      </c>
      <c r="AR186" s="10">
        <f t="shared" si="38"/>
        <v>39304333.695295267</v>
      </c>
      <c r="AS186" s="10">
        <f t="shared" si="38"/>
        <v>0</v>
      </c>
      <c r="AT186" s="10">
        <f t="shared" si="38"/>
        <v>2943898.2559045074</v>
      </c>
      <c r="AU186" s="10">
        <f t="shared" si="38"/>
        <v>0</v>
      </c>
      <c r="AV186" s="10">
        <f t="shared" si="38"/>
        <v>29327061.258771211</v>
      </c>
      <c r="AW186" s="10">
        <f t="shared" si="38"/>
        <v>0</v>
      </c>
      <c r="AX186" s="10">
        <f t="shared" si="38"/>
        <v>23456763.284490943</v>
      </c>
      <c r="AY186" s="10">
        <f t="shared" si="38"/>
        <v>0</v>
      </c>
      <c r="AZ186" s="10">
        <f t="shared" si="38"/>
        <v>608499</v>
      </c>
      <c r="BA186" s="10">
        <f t="shared" si="38"/>
        <v>0</v>
      </c>
      <c r="BB186" s="10">
        <f t="shared" si="38"/>
        <v>0</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 t="shared" si="38"/>
        <v>219059638.28774479</v>
      </c>
      <c r="BM186" s="10">
        <f>BM177+BM180+BM182</f>
        <v>2030320</v>
      </c>
      <c r="BN186" s="10">
        <f>BN177+BN180+BN182</f>
        <v>29809740</v>
      </c>
      <c r="BO186" s="10">
        <f>BO177+BO180+BO182</f>
        <v>2030320</v>
      </c>
      <c r="BP186" s="6">
        <f>IF(+R186-BL186+BN186&gt;0,R186-BL186+BN186,0)</f>
        <v>53429692.46225521</v>
      </c>
      <c r="BQ186" s="10">
        <f>BQ177+BQ180+BQ182</f>
        <v>2030320</v>
      </c>
      <c r="BR186" s="10">
        <f>BR177+BR180+BR182+BR184</f>
        <v>274064556.28563488</v>
      </c>
      <c r="BS186" s="10">
        <f>BS177+BS180+BS182</f>
        <v>2030320</v>
      </c>
      <c r="BT186" s="10">
        <f>BT177+BT180+BT182</f>
        <v>-31477018.025634862</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75">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39">SUM(T190:BK190)</f>
        <v>39986.36</v>
      </c>
      <c r="BM190" s="6"/>
      <c r="BN190" s="22"/>
      <c r="BO190" s="6"/>
      <c r="BP190" s="6">
        <f>IF(+R190-BL190+BN190&gt;0,R190-BL190+BN190,0)</f>
        <v>0</v>
      </c>
      <c r="BR190" s="9">
        <f t="shared" ref="BR190:BR195" si="40">+BP190+BL190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39"/>
        <v>118573.59</v>
      </c>
      <c r="BM191" s="6"/>
      <c r="BN191" s="22"/>
      <c r="BO191" s="6"/>
      <c r="BP191" s="6">
        <f>IF(+R191-BL191+BN191&gt;0,R191-BL191+BN191,0)</f>
        <v>0</v>
      </c>
      <c r="BR191" s="9">
        <f t="shared" si="40"/>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39"/>
        <v>53464.32</v>
      </c>
      <c r="BM192" s="6"/>
      <c r="BN192" s="22"/>
      <c r="BO192" s="6"/>
      <c r="BP192" s="6">
        <f>IF(+R192-BL192+BN192&gt;0,R192-BL192+BN192,0)</f>
        <v>0</v>
      </c>
      <c r="BR192" s="9">
        <f t="shared" si="40"/>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39"/>
        <v>102500</v>
      </c>
      <c r="BM193" s="6"/>
      <c r="BN193" s="22"/>
      <c r="BO193" s="6"/>
      <c r="BP193" s="6">
        <f>IF(+R193-BL193+BN193&gt;0,R193-BL193+BN193,0)</f>
        <v>0</v>
      </c>
      <c r="BR193" s="9">
        <f t="shared" si="40"/>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5"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1">SUM(AF190:AF194)</f>
        <v>0</v>
      </c>
      <c r="AG195" s="121"/>
      <c r="AH195" s="121">
        <f t="shared" si="41"/>
        <v>5725.4500000000007</v>
      </c>
      <c r="AI195" s="121"/>
      <c r="AJ195" s="121">
        <f t="shared" si="41"/>
        <v>0</v>
      </c>
      <c r="AK195"/>
      <c r="AL195" s="121">
        <f t="shared" si="41"/>
        <v>591.45000000000005</v>
      </c>
      <c r="AM195"/>
      <c r="AN195" s="121">
        <f t="shared" si="41"/>
        <v>0</v>
      </c>
      <c r="AO195" s="121">
        <f t="shared" si="41"/>
        <v>0</v>
      </c>
      <c r="AP195" s="121">
        <f t="shared" si="41"/>
        <v>0</v>
      </c>
      <c r="AQ195" s="121">
        <f t="shared" si="41"/>
        <v>0</v>
      </c>
      <c r="AR195" s="121">
        <f t="shared" si="41"/>
        <v>1242.3</v>
      </c>
      <c r="AS195" s="121">
        <f t="shared" si="41"/>
        <v>0</v>
      </c>
      <c r="AT195" s="121">
        <f t="shared" si="41"/>
        <v>0</v>
      </c>
      <c r="AU195" s="121">
        <f t="shared" si="41"/>
        <v>0</v>
      </c>
      <c r="AV195" s="121">
        <f t="shared" si="41"/>
        <v>0</v>
      </c>
      <c r="AW195" s="121">
        <f t="shared" si="41"/>
        <v>0</v>
      </c>
      <c r="AX195" s="121">
        <f t="shared" si="41"/>
        <v>15000</v>
      </c>
      <c r="AY195" s="121">
        <f t="shared" si="41"/>
        <v>0</v>
      </c>
      <c r="AZ195" s="121">
        <f t="shared" si="41"/>
        <v>0</v>
      </c>
      <c r="BA195" s="121">
        <f t="shared" si="41"/>
        <v>0</v>
      </c>
      <c r="BB195" s="121">
        <f t="shared" si="41"/>
        <v>0</v>
      </c>
      <c r="BC195" s="121">
        <f t="shared" si="41"/>
        <v>0</v>
      </c>
      <c r="BD195" s="121">
        <f t="shared" si="41"/>
        <v>0</v>
      </c>
      <c r="BE195" s="121">
        <f t="shared" si="41"/>
        <v>0</v>
      </c>
      <c r="BF195" s="121">
        <f t="shared" si="41"/>
        <v>0</v>
      </c>
      <c r="BG195" s="121">
        <f t="shared" si="41"/>
        <v>0</v>
      </c>
      <c r="BH195" s="121">
        <f t="shared" si="41"/>
        <v>0</v>
      </c>
      <c r="BI195" s="121">
        <f t="shared" si="41"/>
        <v>0</v>
      </c>
      <c r="BJ195" s="121">
        <f t="shared" si="41"/>
        <v>0</v>
      </c>
      <c r="BK195" s="121">
        <f t="shared" si="41"/>
        <v>0</v>
      </c>
      <c r="BL195" s="121">
        <f t="shared" si="39"/>
        <v>314524.27</v>
      </c>
      <c r="BM195" s="13"/>
      <c r="BN195" s="121"/>
      <c r="BO195" s="13"/>
      <c r="BP195" s="121">
        <f>SUM(BP189:BP194)</f>
        <v>0</v>
      </c>
      <c r="BQ195" s="13"/>
      <c r="BR195" s="121">
        <f t="shared" si="40"/>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5"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242679590.75</v>
      </c>
      <c r="S200" s="121">
        <f t="shared" ref="S200:BT200" si="42">S186+S195</f>
        <v>0</v>
      </c>
      <c r="T200" s="121">
        <f t="shared" si="42"/>
        <v>7279633</v>
      </c>
      <c r="U200" s="121">
        <f t="shared" si="42"/>
        <v>0</v>
      </c>
      <c r="V200" s="121">
        <f t="shared" si="42"/>
        <v>1298988.96</v>
      </c>
      <c r="W200" s="121">
        <f t="shared" si="42"/>
        <v>0</v>
      </c>
      <c r="X200" s="121">
        <f t="shared" si="42"/>
        <v>33151937.879999999</v>
      </c>
      <c r="Y200" s="121">
        <f t="shared" si="42"/>
        <v>0</v>
      </c>
      <c r="Z200" s="121">
        <f t="shared" si="42"/>
        <v>290030.82999999996</v>
      </c>
      <c r="AA200" s="121">
        <f t="shared" si="42"/>
        <v>0</v>
      </c>
      <c r="AB200" s="121">
        <f t="shared" si="42"/>
        <v>1733894.8599999999</v>
      </c>
      <c r="AC200" s="121">
        <f t="shared" si="42"/>
        <v>0</v>
      </c>
      <c r="AD200" s="121">
        <f t="shared" si="42"/>
        <v>18881456.879999999</v>
      </c>
      <c r="AE200" s="121"/>
      <c r="AF200" s="121">
        <f t="shared" si="42"/>
        <v>8167701.1408541668</v>
      </c>
      <c r="AG200" s="121"/>
      <c r="AH200" s="121">
        <f t="shared" si="42"/>
        <v>8854945.3874601815</v>
      </c>
      <c r="AI200" s="121"/>
      <c r="AJ200" s="121">
        <f t="shared" si="42"/>
        <v>6988530.1253887061</v>
      </c>
      <c r="AK200"/>
      <c r="AL200" s="121">
        <f t="shared" si="42"/>
        <v>7789829.6057027699</v>
      </c>
      <c r="AM200"/>
      <c r="AN200" s="121">
        <f t="shared" si="42"/>
        <v>11652992.180000002</v>
      </c>
      <c r="AO200" s="121">
        <f t="shared" si="42"/>
        <v>0</v>
      </c>
      <c r="AP200" s="121">
        <f t="shared" si="42"/>
        <v>17627423.913877048</v>
      </c>
      <c r="AQ200" s="121">
        <f t="shared" si="42"/>
        <v>0</v>
      </c>
      <c r="AR200" s="121">
        <f t="shared" si="42"/>
        <v>39305575.995295264</v>
      </c>
      <c r="AS200" s="121">
        <f t="shared" si="42"/>
        <v>0</v>
      </c>
      <c r="AT200" s="121">
        <f t="shared" si="42"/>
        <v>2943898.2559045074</v>
      </c>
      <c r="AU200" s="121">
        <f t="shared" si="42"/>
        <v>0</v>
      </c>
      <c r="AV200" s="121">
        <f t="shared" si="42"/>
        <v>29327061.258771211</v>
      </c>
      <c r="AW200" s="121">
        <f t="shared" si="42"/>
        <v>0</v>
      </c>
      <c r="AX200" s="121">
        <f t="shared" si="42"/>
        <v>23471763.284490943</v>
      </c>
      <c r="AY200" s="121">
        <f t="shared" si="42"/>
        <v>0</v>
      </c>
      <c r="AZ200" s="121">
        <f t="shared" si="42"/>
        <v>608499</v>
      </c>
      <c r="BA200" s="121">
        <f t="shared" si="42"/>
        <v>0</v>
      </c>
      <c r="BB200" s="121">
        <f t="shared" si="42"/>
        <v>0</v>
      </c>
      <c r="BC200" s="121">
        <f t="shared" si="42"/>
        <v>0</v>
      </c>
      <c r="BD200" s="121">
        <f t="shared" si="42"/>
        <v>0</v>
      </c>
      <c r="BE200" s="121">
        <f t="shared" si="42"/>
        <v>0</v>
      </c>
      <c r="BF200" s="121">
        <f t="shared" si="42"/>
        <v>0</v>
      </c>
      <c r="BG200" s="121">
        <f t="shared" si="42"/>
        <v>0</v>
      </c>
      <c r="BH200" s="121">
        <f t="shared" si="42"/>
        <v>0</v>
      </c>
      <c r="BI200" s="121">
        <f t="shared" si="42"/>
        <v>0</v>
      </c>
      <c r="BJ200" s="121">
        <f t="shared" si="42"/>
        <v>0</v>
      </c>
      <c r="BK200" s="121">
        <f t="shared" si="42"/>
        <v>0</v>
      </c>
      <c r="BL200" s="121">
        <f t="shared" si="42"/>
        <v>219374162.5577448</v>
      </c>
      <c r="BM200" s="121">
        <f t="shared" si="42"/>
        <v>2030320</v>
      </c>
      <c r="BN200" s="121">
        <f t="shared" si="42"/>
        <v>29809740</v>
      </c>
      <c r="BO200" s="121">
        <f t="shared" si="42"/>
        <v>2030320</v>
      </c>
      <c r="BP200" s="121">
        <f t="shared" si="42"/>
        <v>53429692.46225521</v>
      </c>
      <c r="BQ200" s="121">
        <f t="shared" si="42"/>
        <v>2030320</v>
      </c>
      <c r="BR200" s="121">
        <f t="shared" si="42"/>
        <v>274379080.55563486</v>
      </c>
      <c r="BS200" s="121">
        <f t="shared" si="42"/>
        <v>2030320</v>
      </c>
      <c r="BT200" s="121">
        <f t="shared" si="42"/>
        <v>-31477018.025634862</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T9" activePane="bottomRight" state="frozen"/>
      <selection activeCell="J9" sqref="J9"/>
      <selection pane="topRight" activeCell="J9" sqref="J9"/>
      <selection pane="bottomLeft" activeCell="J9" sqref="J9"/>
      <selection pane="bottomRight" activeCell="BN40" sqref="BN40"/>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- 042500.xls]Wilton</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36641.611076388886</v>
      </c>
      <c r="BT3" s="23"/>
      <c r="BV3" s="78" t="str">
        <f>Summary!A5</f>
        <v>Revision # 55</v>
      </c>
    </row>
    <row r="4" spans="1:76" s="18" customFormat="1" ht="15.75">
      <c r="A4" s="94"/>
      <c r="B4" s="19">
        <f>Summary!C13</f>
        <v>509</v>
      </c>
      <c r="C4"/>
      <c r="G4" s="67"/>
      <c r="J4" s="479"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4/14/00</v>
      </c>
      <c r="U7" s="96"/>
      <c r="V7" s="82" t="str">
        <f>+Summary!$O$4</f>
        <v xml:space="preserve"> As of 4/14/00</v>
      </c>
      <c r="W7" s="69"/>
      <c r="X7" s="82" t="str">
        <f>+Summary!$O$4</f>
        <v xml:space="preserve"> As of 4/14/00</v>
      </c>
      <c r="Y7" s="69"/>
      <c r="Z7" s="82" t="str">
        <f>+Summary!$O$4</f>
        <v xml:space="preserve"> As of 4/14/00</v>
      </c>
      <c r="AA7" s="69"/>
      <c r="AB7" s="82" t="str">
        <f>+Summary!$O$4</f>
        <v xml:space="preserve"> As of 4/14/00</v>
      </c>
      <c r="AC7" s="69"/>
      <c r="AD7" s="82" t="str">
        <f>+Summary!$O$4</f>
        <v xml:space="preserve"> As of 4/14/00</v>
      </c>
      <c r="AE7" s="69"/>
      <c r="AF7" s="82" t="str">
        <f>+Summary!$O$4</f>
        <v xml:space="preserve"> As of 4/14/00</v>
      </c>
      <c r="AG7" s="69"/>
      <c r="AH7" s="82" t="str">
        <f>+Summary!$O$4</f>
        <v xml:space="preserve"> As of 4/14/00</v>
      </c>
      <c r="AI7" s="69"/>
      <c r="AJ7" s="82" t="str">
        <f>+Summary!$O$4</f>
        <v xml:space="preserve"> As of 4/14/00</v>
      </c>
      <c r="AK7" s="69"/>
      <c r="AL7" s="82" t="str">
        <f>+Summary!$O$4</f>
        <v xml:space="preserve"> As of 4/14/00</v>
      </c>
      <c r="AM7" s="69"/>
      <c r="AN7" s="82" t="str">
        <f>+Summary!$O$4</f>
        <v xml:space="preserve"> As of 4/14/00</v>
      </c>
      <c r="AO7" s="69"/>
      <c r="AP7" s="82" t="str">
        <f>+Summary!$O$4</f>
        <v xml:space="preserve"> As of 4/14/00</v>
      </c>
      <c r="AQ7" s="69"/>
      <c r="AR7" s="82" t="str">
        <f>+Summary!$O$4</f>
        <v xml:space="preserve"> As of 4/14/00</v>
      </c>
      <c r="AS7" s="69"/>
      <c r="AT7" s="82" t="str">
        <f>+Summary!$O$4</f>
        <v xml:space="preserve"> As of 4/14/00</v>
      </c>
      <c r="AU7" s="69"/>
      <c r="AV7" s="82" t="str">
        <f>+Summary!$O$4</f>
        <v xml:space="preserve"> As of 4/14/00</v>
      </c>
      <c r="AW7" s="82"/>
      <c r="AX7" s="82" t="str">
        <f>+Summary!$O$4</f>
        <v xml:space="preserve"> As of 4/14/00</v>
      </c>
      <c r="AY7" s="82"/>
      <c r="AZ7" s="82" t="str">
        <f>+Summary!$O$4</f>
        <v xml:space="preserve"> As of 4/14/00</v>
      </c>
      <c r="BA7" s="82"/>
      <c r="BB7" s="82" t="str">
        <f>+Summary!$O$4</f>
        <v xml:space="preserve"> As of 4/14/00</v>
      </c>
      <c r="BC7" s="82"/>
      <c r="BD7" s="82" t="str">
        <f>+Summary!$O$4</f>
        <v xml:space="preserve"> As of 4/14/00</v>
      </c>
      <c r="BE7" s="82"/>
      <c r="BF7" s="82" t="str">
        <f>+Summary!$O$4</f>
        <v xml:space="preserve"> As of 4/14/00</v>
      </c>
      <c r="BG7" s="82"/>
      <c r="BH7" s="82" t="str">
        <f>+Summary!$O$4</f>
        <v xml:space="preserve"> As of 4/14/00</v>
      </c>
      <c r="BI7" s="82"/>
      <c r="BJ7" s="82" t="str">
        <f>+Summary!$O$4</f>
        <v xml:space="preserve"> As of 4/14/00</v>
      </c>
      <c r="BK7" s="82"/>
      <c r="BL7" s="82" t="str">
        <f>+Summary!$O$4</f>
        <v xml:space="preserve"> As of 4/14/00</v>
      </c>
      <c r="BN7" s="71" t="str">
        <f>+Summary!$O$4</f>
        <v xml:space="preserve"> As of 4/14/00</v>
      </c>
      <c r="BP7" s="64" t="str">
        <f>+Summary!$O$4</f>
        <v xml:space="preserve"> As of 4/14/00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'[2]Calvert City'!$I$38</f>
        <v>481371.22496666672</v>
      </c>
      <c r="AG198" s="10"/>
      <c r="AH198" s="10">
        <f>'[2]Calvert City'!$J$38</f>
        <v>488494.44316995825</v>
      </c>
      <c r="AI198" s="10"/>
      <c r="AJ198" s="10">
        <f>'[2]Calvert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BT205-'[2]Calvert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289"/>
  <sheetViews>
    <sheetView zoomScale="80" zoomScaleNormal="66" workbookViewId="0">
      <pane xSplit="19" ySplit="8" topLeftCell="AY80" activePane="bottomRight" state="frozen"/>
      <selection activeCell="J9" sqref="J9"/>
      <selection pane="topRight" activeCell="J9" sqref="J9"/>
      <selection pane="bottomLeft" activeCell="J9" sqref="J9"/>
      <selection pane="bottomRight" activeCell="AY1" sqref="AY1:BN6553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10" width="11.140625" style="5" hidden="1" customWidth="1"/>
    <col min="11" max="11" width="0.85546875" style="4" hidden="1"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425781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0.7109375" style="6" hidden="1" customWidth="1"/>
    <col min="36" max="36" width="18.28515625" style="6" hidden="1" customWidth="1"/>
    <col min="37" max="37" width="0.85546875" style="6" hidden="1" customWidth="1"/>
    <col min="38" max="38" width="20.4257812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customWidth="1"/>
    <col min="52" max="52" width="17.85546875" style="6" hidden="1" customWidth="1"/>
    <col min="53" max="53" width="0.85546875" style="6" hidden="1" customWidth="1"/>
    <col min="54" max="54" width="17.7109375" style="6" hidden="1" customWidth="1"/>
    <col min="55" max="55" width="0.85546875" style="6" hidden="1" customWidth="1"/>
    <col min="56" max="56" width="17.85546875" style="6" hidden="1" customWidth="1"/>
    <col min="57" max="57" width="0.85546875" style="6" hidden="1" customWidth="1"/>
    <col min="58" max="58" width="17.2851562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7.28515625"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hidden="1"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- 042500.xls]Wilton</v>
      </c>
    </row>
    <row r="3" spans="1:76" s="18" customFormat="1" ht="15.75">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36641.611076388886</v>
      </c>
      <c r="BT3" s="23"/>
      <c r="BV3" s="78" t="str">
        <f>Summary!A5</f>
        <v>Revision # 55</v>
      </c>
    </row>
    <row r="4" spans="1:76" s="18" customFormat="1" ht="15.75">
      <c r="A4" s="94"/>
      <c r="B4" s="19">
        <f>Summary!C13</f>
        <v>509</v>
      </c>
      <c r="C4"/>
      <c r="G4" s="67"/>
      <c r="J4" s="67"/>
      <c r="L4" s="479" t="s">
        <v>47</v>
      </c>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str">
        <f>[1]Summary!E9</f>
        <v>as of 7/22/99</v>
      </c>
      <c r="O7" s="129"/>
      <c r="P7" s="69"/>
      <c r="R7" s="82" t="str">
        <f>+[1]Summary!E9</f>
        <v>as of 7/22/99</v>
      </c>
      <c r="T7" s="82" t="str">
        <f>+[1]Summary!$O$4</f>
        <v xml:space="preserve"> As of 3/24/00</v>
      </c>
      <c r="U7" s="96"/>
      <c r="V7" s="82" t="str">
        <f>+[1]Summary!$O$4</f>
        <v xml:space="preserve"> As of 3/24/00</v>
      </c>
      <c r="W7" s="69"/>
      <c r="X7" s="82" t="str">
        <f>+[1]Summary!$O$4</f>
        <v xml:space="preserve"> As of 3/24/00</v>
      </c>
      <c r="Y7" s="69"/>
      <c r="Z7" s="82" t="str">
        <f>+[1]Summary!$O$4</f>
        <v xml:space="preserve"> As of 3/24/00</v>
      </c>
      <c r="AA7" s="69"/>
      <c r="AB7" s="82" t="str">
        <f>+[1]Summary!$O$4</f>
        <v xml:space="preserve"> As of 3/24/00</v>
      </c>
      <c r="AC7" s="69"/>
      <c r="AD7" s="82" t="str">
        <f>+[1]Summary!$O$4</f>
        <v xml:space="preserve"> As of 3/24/00</v>
      </c>
      <c r="AE7" s="69"/>
      <c r="AF7" s="82" t="str">
        <f>+[1]Summary!$O$4</f>
        <v xml:space="preserve"> As of 3/24/00</v>
      </c>
      <c r="AG7" s="69"/>
      <c r="AH7" s="82" t="str">
        <f>+[1]Summary!$O$4</f>
        <v xml:space="preserve"> As of 3/24/00</v>
      </c>
      <c r="AI7" s="69"/>
      <c r="AJ7" s="82" t="str">
        <f>+[1]Summary!$O$4</f>
        <v xml:space="preserve"> As of 3/24/00</v>
      </c>
      <c r="AK7" s="69"/>
      <c r="AL7" s="82" t="str">
        <f>+[1]Summary!$O$4</f>
        <v xml:space="preserve"> As of 3/24/00</v>
      </c>
      <c r="AM7" s="69"/>
      <c r="AN7" s="82" t="str">
        <f>+[1]Summary!$O$4</f>
        <v xml:space="preserve"> As of 3/24/00</v>
      </c>
      <c r="AO7" s="69"/>
      <c r="AP7" s="82" t="str">
        <f>+[1]Summary!$O$4</f>
        <v xml:space="preserve"> As of 3/24/00</v>
      </c>
      <c r="AQ7" s="69"/>
      <c r="AR7" s="82" t="str">
        <f>+[1]Summary!$O$4</f>
        <v xml:space="preserve"> As of 3/24/00</v>
      </c>
      <c r="AS7" s="69"/>
      <c r="AT7" s="82" t="str">
        <f>+[1]Summary!$O$4</f>
        <v xml:space="preserve"> As of 3/24/00</v>
      </c>
      <c r="AU7" s="69"/>
      <c r="AV7" s="82" t="str">
        <f>+[1]Summary!$O$4</f>
        <v xml:space="preserve"> As of 3/24/00</v>
      </c>
      <c r="AW7" s="82"/>
      <c r="AX7" s="82" t="str">
        <f>+[1]Summary!$O$4</f>
        <v xml:space="preserve"> As of 3/24/00</v>
      </c>
      <c r="AY7" s="82"/>
      <c r="AZ7" s="82" t="str">
        <f>+[1]Summary!$O$4</f>
        <v xml:space="preserve"> As of 3/24/00</v>
      </c>
      <c r="BA7" s="82"/>
      <c r="BB7" s="82" t="str">
        <f>BP7</f>
        <v xml:space="preserve"> As of 4/14/00</v>
      </c>
      <c r="BC7" s="82"/>
      <c r="BD7" s="82" t="str">
        <f>+[1]Summary!$O$4</f>
        <v xml:space="preserve"> As of 3/24/00</v>
      </c>
      <c r="BE7" s="82"/>
      <c r="BF7" s="82" t="str">
        <f>+[1]Summary!$O$4</f>
        <v xml:space="preserve"> As of 3/24/00</v>
      </c>
      <c r="BG7" s="82"/>
      <c r="BH7" s="82" t="str">
        <f>+[1]Summary!$O$4</f>
        <v xml:space="preserve"> As of 3/24/00</v>
      </c>
      <c r="BI7" s="82"/>
      <c r="BJ7" s="82" t="str">
        <f>+[1]Summary!$O$4</f>
        <v xml:space="preserve"> As of 3/24/00</v>
      </c>
      <c r="BK7" s="82"/>
      <c r="BL7" s="82" t="str">
        <f>+[1]Summary!$O$4</f>
        <v xml:space="preserve"> As of 3/24/00</v>
      </c>
      <c r="BN7" s="459" t="str">
        <f>+Summary!$O$4</f>
        <v xml:space="preserve"> As of 4/14/00</v>
      </c>
      <c r="BP7" s="64" t="str">
        <f>+Summary!$O$4</f>
        <v xml:space="preserve"> As of 4/14/00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0</v>
      </c>
      <c r="BF9" s="6">
        <v>0</v>
      </c>
      <c r="BH9" s="6">
        <v>0</v>
      </c>
      <c r="BJ9" s="6">
        <v>0</v>
      </c>
      <c r="BL9" s="6">
        <v>0</v>
      </c>
      <c r="BM9" s="6"/>
      <c r="BN9" s="6">
        <f t="shared" ref="BN9:BN14" si="0">SUM(T9:BM9)</f>
        <v>59016420</v>
      </c>
      <c r="BO9" s="6"/>
      <c r="BP9" s="6">
        <f>436901+900+90800-52600-105480+59734</f>
        <v>430255</v>
      </c>
      <c r="BQ9" s="6"/>
      <c r="BR9" s="6">
        <f t="shared" ref="BR9:BR15" si="1">IF(+R9-BN9+BP9&gt;0,R9-BN9+BP9,0)</f>
        <v>3558835</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88749369</v>
      </c>
      <c r="BO16" s="6"/>
      <c r="BP16" s="101">
        <f>SUM(BP9:BP15)</f>
        <v>1981044</v>
      </c>
      <c r="BQ16" s="6"/>
      <c r="BR16" s="101">
        <f>SUM(BR9:BR15)</f>
        <v>6811675</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f>2354324-1765743</f>
        <v>588581</v>
      </c>
      <c r="BB19" s="6">
        <v>382350</v>
      </c>
      <c r="BD19" s="6">
        <v>0</v>
      </c>
      <c r="BF19" s="6">
        <v>0</v>
      </c>
      <c r="BH19" s="6">
        <v>0</v>
      </c>
      <c r="BJ19" s="6">
        <v>0</v>
      </c>
      <c r="BL19" s="6">
        <v>0</v>
      </c>
      <c r="BM19" s="6"/>
      <c r="BN19" s="6">
        <f>SUM(T19:BM19)</f>
        <v>5738079.5999999996</v>
      </c>
      <c r="BO19" s="6"/>
      <c r="BP19" s="6">
        <f>220650+161700</f>
        <v>382350</v>
      </c>
      <c r="BQ19" s="6"/>
      <c r="BR19" s="6">
        <f t="shared" ref="BR19:BR34" si="6">IF(+R19-BN19+BP19&gt;0,R19-BN19+BP19,0)</f>
        <v>530081.40000000037</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0</v>
      </c>
      <c r="BE35" s="12"/>
      <c r="BF35" s="101">
        <f>SUM(BF18:BF34)</f>
        <v>0</v>
      </c>
      <c r="BG35" s="12"/>
      <c r="BH35" s="101">
        <f>SUM(BH18:BH34)</f>
        <v>0</v>
      </c>
      <c r="BI35" s="12"/>
      <c r="BJ35" s="101">
        <f>SUM(BJ18:BJ34)</f>
        <v>0</v>
      </c>
      <c r="BK35" s="12"/>
      <c r="BL35" s="101">
        <f>SUM(BL18:BL34)</f>
        <v>0</v>
      </c>
      <c r="BM35" s="6"/>
      <c r="BN35" s="101">
        <f>SUM(BN18:BN34)</f>
        <v>5876879.5999999996</v>
      </c>
      <c r="BO35" s="6"/>
      <c r="BP35" s="101">
        <f>SUM(BP18:BP34)</f>
        <v>382350</v>
      </c>
      <c r="BQ35" s="6"/>
      <c r="BR35" s="101">
        <f>SUM(BR18:BR34)</f>
        <v>530081.40000000037</v>
      </c>
      <c r="BT35" s="101">
        <f>SUM(BT18:BT34)</f>
        <v>6406961</v>
      </c>
      <c r="BV35" s="101">
        <f>SUM(BV18:BV34)</f>
        <v>-521150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0</v>
      </c>
      <c r="BE37" s="115"/>
      <c r="BF37" s="115">
        <f>+BF35+BF16</f>
        <v>0</v>
      </c>
      <c r="BG37" s="115"/>
      <c r="BH37" s="115">
        <f>+BH35+BH16</f>
        <v>0</v>
      </c>
      <c r="BI37" s="115"/>
      <c r="BJ37" s="115">
        <f>+BJ35+BJ16</f>
        <v>0</v>
      </c>
      <c r="BK37" s="115"/>
      <c r="BL37" s="115">
        <f>+BL35+BL16</f>
        <v>0</v>
      </c>
      <c r="BM37" s="115"/>
      <c r="BN37" s="115">
        <f>+BN35+BN16</f>
        <v>94626248.599999994</v>
      </c>
      <c r="BO37" s="115"/>
      <c r="BP37" s="115">
        <f>+BP35+BP16</f>
        <v>2363394</v>
      </c>
      <c r="BQ37" s="115"/>
      <c r="BR37" s="115">
        <f>+BR35+BR16</f>
        <v>7341756.4000000004</v>
      </c>
      <c r="BS37" s="115"/>
      <c r="BT37" s="115">
        <f>+BT35+BT16</f>
        <v>101968005</v>
      </c>
      <c r="BU37" s="115"/>
      <c r="BV37" s="115">
        <f>+BV35+BV16</f>
        <v>-2502194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60">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c r="BC95" s="9"/>
      <c r="BD95" s="9"/>
      <c r="BE95" s="9"/>
      <c r="BF95" s="9"/>
      <c r="BG95" s="9"/>
      <c r="BH95" s="9"/>
      <c r="BI95" s="9"/>
      <c r="BJ95" s="9"/>
      <c r="BK95" s="9"/>
      <c r="BL95" s="9"/>
      <c r="BM95" s="9"/>
      <c r="BN95" s="6">
        <f>SUM(T95:BM95)</f>
        <v>1870498.5599999987</v>
      </c>
      <c r="BO95" s="9"/>
      <c r="BP95" s="9"/>
      <c r="BQ95" s="9"/>
      <c r="BR95" s="9">
        <v>-1870499</v>
      </c>
      <c r="BS95" s="9"/>
      <c r="BT95" s="6">
        <f>+BN95+BR95</f>
        <v>-0.44000000134110451</v>
      </c>
      <c r="BU95" s="9"/>
      <c r="BV95" s="6">
        <f>+R95-BT95</f>
        <v>0.44000000134110451</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0</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26039920.559999999</v>
      </c>
      <c r="BO97" s="244">
        <f t="shared" si="27"/>
        <v>0</v>
      </c>
      <c r="BP97" s="244">
        <f t="shared" si="27"/>
        <v>6991112</v>
      </c>
      <c r="BQ97" s="244">
        <f t="shared" si="27"/>
        <v>0</v>
      </c>
      <c r="BR97" s="244">
        <f t="shared" si="27"/>
        <v>23975777</v>
      </c>
      <c r="BS97" s="244">
        <f t="shared" si="27"/>
        <v>0</v>
      </c>
      <c r="BT97" s="244">
        <f t="shared" si="27"/>
        <v>46708906.560000002</v>
      </c>
      <c r="BU97" s="244">
        <f t="shared" si="27"/>
        <v>0</v>
      </c>
      <c r="BV97" s="244">
        <f t="shared" si="27"/>
        <v>-4967506.5599999987</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0</v>
      </c>
      <c r="BF100" s="6">
        <v>0</v>
      </c>
      <c r="BH100" s="6">
        <v>0</v>
      </c>
      <c r="BJ100" s="6">
        <v>0</v>
      </c>
      <c r="BL100" s="6">
        <v>0</v>
      </c>
      <c r="BM100" s="6"/>
      <c r="BN100" s="6">
        <f t="shared" ref="BN100:BN105" si="28">SUM(T100:BM100)</f>
        <v>774833.00999999989</v>
      </c>
      <c r="BO100" s="6"/>
      <c r="BP100" s="6">
        <v>0</v>
      </c>
      <c r="BQ100" s="6"/>
      <c r="BR100" s="6">
        <f t="shared" ref="BR100:BR106" si="29">IF(+R100-BN100+BP100&gt;0,R100-BN100+BP100,0)</f>
        <v>154966.99000000011</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0</v>
      </c>
      <c r="BD101" s="6">
        <v>0</v>
      </c>
      <c r="BF101" s="6">
        <v>0</v>
      </c>
      <c r="BH101" s="6">
        <v>0</v>
      </c>
      <c r="BJ101" s="6">
        <v>0</v>
      </c>
      <c r="BL101" s="6">
        <v>0</v>
      </c>
      <c r="BM101" s="6"/>
      <c r="BN101" s="6">
        <f t="shared" si="28"/>
        <v>2130504.66</v>
      </c>
      <c r="BO101" s="6"/>
      <c r="BP101" s="6">
        <v>0</v>
      </c>
      <c r="BQ101" s="6"/>
      <c r="BR101" s="6">
        <f t="shared" si="29"/>
        <v>710195.33999999985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3066700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3066700</v>
      </c>
      <c r="BT102" s="6">
        <f t="shared" si="30"/>
        <v>3066700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6837200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77483</v>
      </c>
      <c r="BC107" s="117"/>
      <c r="BD107" s="116">
        <f>SUM(BD100:BD106)</f>
        <v>0</v>
      </c>
      <c r="BE107" s="117"/>
      <c r="BF107" s="116">
        <f>SUM(BF100:BF106)</f>
        <v>0</v>
      </c>
      <c r="BG107" s="117"/>
      <c r="BH107" s="116">
        <f>SUM(BH100:BH106)</f>
        <v>0</v>
      </c>
      <c r="BI107" s="117"/>
      <c r="BJ107" s="116">
        <f>SUM(BJ100:BJ106)</f>
        <v>0</v>
      </c>
      <c r="BK107" s="117"/>
      <c r="BL107" s="116">
        <f>SUM(BL100:BL106)</f>
        <v>0</v>
      </c>
      <c r="BM107" s="115"/>
      <c r="BN107" s="116">
        <f>SUM(BN100:BN106)</f>
        <v>2655337.67</v>
      </c>
      <c r="BO107" s="115"/>
      <c r="BP107" s="116">
        <f>SUM(BP100:BP106)</f>
        <v>0</v>
      </c>
      <c r="BQ107" s="115"/>
      <c r="BR107" s="116">
        <f>SUM(BR100:BR106)</f>
        <v>3931862.33</v>
      </c>
      <c r="BS107" s="115"/>
      <c r="BT107" s="116">
        <f>SUM(BT100:BT106)</f>
        <v>6587200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0</v>
      </c>
      <c r="BD131" s="6">
        <v>0</v>
      </c>
      <c r="BF131" s="6">
        <v>0</v>
      </c>
      <c r="BH131" s="6">
        <v>0</v>
      </c>
      <c r="BJ131" s="6">
        <v>0</v>
      </c>
      <c r="BL131" s="6">
        <v>0</v>
      </c>
      <c r="BM131" s="6"/>
      <c r="BN131" s="6">
        <f>SUM(T131:BM131)</f>
        <v>74000</v>
      </c>
      <c r="BO131" s="6"/>
      <c r="BP131" s="6">
        <v>0</v>
      </c>
      <c r="BQ131" s="6"/>
      <c r="BR131" s="6">
        <f>IF(+R131-BN131+BP131&gt;0,R131-BN131+BP131,0)</f>
        <v>111000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0</v>
      </c>
      <c r="BD132" s="6">
        <v>0</v>
      </c>
      <c r="BF132" s="6">
        <v>0</v>
      </c>
      <c r="BH132" s="6">
        <v>0</v>
      </c>
      <c r="BJ132" s="6">
        <v>0</v>
      </c>
      <c r="BL132" s="6">
        <v>0</v>
      </c>
      <c r="BM132" s="6"/>
      <c r="BN132" s="6">
        <f>SUM(T132:BM132)</f>
        <v>111481.55</v>
      </c>
      <c r="BO132" s="6"/>
      <c r="BP132" s="6">
        <v>0</v>
      </c>
      <c r="BQ132" s="6"/>
      <c r="BR132" s="6">
        <f>+R132-BN132+BP132</f>
        <v>612304.44999999995</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0</v>
      </c>
      <c r="BC134" s="10"/>
      <c r="BD134" s="102">
        <f>SUM(BD131:BD133)</f>
        <v>0</v>
      </c>
      <c r="BE134" s="10"/>
      <c r="BF134" s="102">
        <f>SUM(BF131:BF133)</f>
        <v>0</v>
      </c>
      <c r="BG134" s="10"/>
      <c r="BH134" s="102">
        <f>SUM(BH131:BH133)</f>
        <v>0</v>
      </c>
      <c r="BI134" s="10"/>
      <c r="BJ134" s="102">
        <f>SUM(BJ131:BJ133)</f>
        <v>0</v>
      </c>
      <c r="BK134" s="10"/>
      <c r="BL134" s="102">
        <f>SUM(BL131:BL133)</f>
        <v>0</v>
      </c>
      <c r="BM134" s="9"/>
      <c r="BN134" s="102">
        <f>SUM(BN131:BN133)</f>
        <v>185481.55</v>
      </c>
      <c r="BO134" s="9"/>
      <c r="BP134" s="102">
        <f>SUM(BP131:BP133)</f>
        <v>0</v>
      </c>
      <c r="BQ134" s="9"/>
      <c r="BR134" s="102">
        <f>SUM(BR131:BR133)</f>
        <v>723304.45</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120</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v>0</v>
      </c>
      <c r="BE136" s="9"/>
      <c r="BF136" s="9">
        <v>0</v>
      </c>
      <c r="BG136" s="9"/>
      <c r="BH136" s="9">
        <v>0</v>
      </c>
      <c r="BI136" s="9"/>
      <c r="BJ136" s="9">
        <v>0</v>
      </c>
      <c r="BK136" s="9"/>
      <c r="BL136" s="9">
        <v>0</v>
      </c>
      <c r="BM136" s="9"/>
      <c r="BN136" s="9">
        <f>SUM(T136:BM136)</f>
        <v>0</v>
      </c>
      <c r="BO136" s="9"/>
      <c r="BP136" s="9">
        <v>0</v>
      </c>
      <c r="BQ136" s="9"/>
      <c r="BR136" s="6">
        <f>IF(+R136-BN136+BP136&gt;0,R136-BN136+BP136,0)</f>
        <v>0</v>
      </c>
      <c r="BS136" s="9"/>
      <c r="BT136" s="9">
        <f>+BN136+BR136</f>
        <v>0</v>
      </c>
      <c r="BU136" s="9"/>
      <c r="BV136" s="9">
        <f>+R136-BT136</f>
        <v>0</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0</v>
      </c>
      <c r="BF153" s="6">
        <v>0</v>
      </c>
      <c r="BH153" s="6">
        <v>0</v>
      </c>
      <c r="BJ153" s="6">
        <v>0</v>
      </c>
      <c r="BL153" s="6">
        <v>0</v>
      </c>
      <c r="BM153" s="6"/>
      <c r="BN153" s="6">
        <f t="shared" si="37"/>
        <v>0</v>
      </c>
      <c r="BO153" s="6"/>
      <c r="BP153" s="227">
        <v>0</v>
      </c>
      <c r="BQ153" s="6"/>
      <c r="BR153" s="6">
        <f t="shared" si="38"/>
        <v>0</v>
      </c>
      <c r="BT153" s="6">
        <f t="shared" si="39"/>
        <v>0</v>
      </c>
      <c r="BV153" s="6">
        <f>+R153-BT153</f>
        <v>0</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L157" s="6"/>
      <c r="BM157" s="6"/>
      <c r="BN157" s="6">
        <f t="shared" si="37"/>
        <v>660370.02</v>
      </c>
      <c r="BO157" s="6"/>
      <c r="BP157" s="227">
        <v>0</v>
      </c>
      <c r="BQ157" s="6"/>
      <c r="BR157" s="6">
        <f t="shared" si="38"/>
        <v>0</v>
      </c>
      <c r="BT157" s="6">
        <f t="shared" si="39"/>
        <v>660370.02</v>
      </c>
      <c r="BV157" s="6">
        <f>+R157-BT157</f>
        <v>-189789.02000000002</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0</v>
      </c>
      <c r="BC159" s="10"/>
      <c r="BD159" s="102">
        <f>SUM(BD152:BD158)</f>
        <v>0</v>
      </c>
      <c r="BE159" s="10"/>
      <c r="BF159" s="102">
        <f>SUM(BF152:BF158)</f>
        <v>0</v>
      </c>
      <c r="BG159" s="10"/>
      <c r="BH159" s="102">
        <f>SUM(BH152:BH158)</f>
        <v>0</v>
      </c>
      <c r="BI159" s="10"/>
      <c r="BJ159" s="102">
        <f>SUM(BJ152:BJ158)</f>
        <v>0</v>
      </c>
      <c r="BK159" s="10"/>
      <c r="BL159" s="102">
        <f>SUM(BL152:BL158)</f>
        <v>0</v>
      </c>
      <c r="BM159" s="9"/>
      <c r="BN159" s="102">
        <f>SUM(BN152:BN158)</f>
        <v>729789.02</v>
      </c>
      <c r="BO159" s="9"/>
      <c r="BP159" s="102">
        <f>SUM(BP152:BP158)</f>
        <v>0</v>
      </c>
      <c r="BQ159" s="9"/>
      <c r="BR159" s="102">
        <f>SUM(BR152:BR158)</f>
        <v>0</v>
      </c>
      <c r="BS159" s="9"/>
      <c r="BT159" s="102">
        <f>SUM(BT152:BT158)</f>
        <v>729789.02</v>
      </c>
      <c r="BU159" s="9"/>
      <c r="BV159" s="102">
        <f>SUM(BV152:BV158)</f>
        <v>-189789.02000000002</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110183</v>
      </c>
      <c r="BF162" s="6">
        <v>0</v>
      </c>
      <c r="BH162" s="6">
        <v>0</v>
      </c>
      <c r="BJ162" s="6">
        <v>0</v>
      </c>
      <c r="BL162" s="6">
        <v>0</v>
      </c>
      <c r="BM162" s="6"/>
      <c r="BN162" s="6">
        <f>SUM(T162:BM162)</f>
        <v>145669.25</v>
      </c>
      <c r="BO162" s="6"/>
      <c r="BP162" s="6">
        <v>0</v>
      </c>
      <c r="BQ162" s="6"/>
      <c r="BR162" s="6">
        <f>IF(+R162-BN162+BP162&gt;0,R162-BN162+BP162,0)</f>
        <v>0</v>
      </c>
      <c r="BT162" s="6">
        <f>+BN162+BR162</f>
        <v>145669.25</v>
      </c>
      <c r="BV162" s="6">
        <f>+R162-BT162</f>
        <v>-85669.25</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37564</v>
      </c>
      <c r="BD163" s="6">
        <v>0</v>
      </c>
      <c r="BF163" s="6">
        <v>0</v>
      </c>
      <c r="BH163" s="6">
        <v>0</v>
      </c>
      <c r="BJ163" s="6">
        <v>0</v>
      </c>
      <c r="BL163" s="6">
        <v>0</v>
      </c>
      <c r="BM163" s="6"/>
      <c r="BN163" s="6">
        <f>SUM(T163:BM163)</f>
        <v>58684.32</v>
      </c>
      <c r="BO163" s="6"/>
      <c r="BP163" s="6">
        <v>0</v>
      </c>
      <c r="BQ163" s="6"/>
      <c r="BR163" s="6">
        <f>IF(+R163-BN163+BP163&gt;0,R163-BN163+BP163,0)</f>
        <v>0</v>
      </c>
      <c r="BT163" s="6">
        <f>+BN163+BR163</f>
        <v>58684.32</v>
      </c>
      <c r="BV163" s="6">
        <f t="shared" ref="BV163:BV180" si="40">+R163-BT163</f>
        <v>-23684.32</v>
      </c>
    </row>
    <row r="164" spans="1:74">
      <c r="A164" s="56"/>
      <c r="B164" s="11" t="s">
        <v>464</v>
      </c>
      <c r="C164"/>
      <c r="D164"/>
      <c r="E164"/>
      <c r="F164"/>
      <c r="G164"/>
      <c r="H164"/>
      <c r="I164"/>
      <c r="J164"/>
      <c r="K164" s="134" t="s">
        <v>202</v>
      </c>
      <c r="L164" s="424">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5">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4">
        <v>43853</v>
      </c>
      <c r="M165" s="6"/>
      <c r="O165" s="6"/>
      <c r="Q165" s="6"/>
      <c r="R165" s="6">
        <v>756363</v>
      </c>
      <c r="S165" s="6"/>
      <c r="T165" s="6"/>
      <c r="U165" s="6"/>
      <c r="V165" s="6"/>
      <c r="X165" s="6"/>
      <c r="Z165" s="6"/>
      <c r="AB165" s="6"/>
      <c r="AD165" s="6"/>
      <c r="BB165" s="6">
        <f>18675+43024+15924+156792+116797-1</f>
        <v>351211</v>
      </c>
      <c r="BL165" s="6"/>
      <c r="BM165" s="6"/>
      <c r="BN165" s="6">
        <f t="shared" ref="BN165:BN180" si="41">SUM(T165:BM165)</f>
        <v>351211</v>
      </c>
      <c r="BO165" s="6"/>
      <c r="BP165" s="6"/>
      <c r="BQ165" s="6"/>
      <c r="BR165" s="6">
        <f t="shared" ref="BR165:BR176" si="42">IF(+R165-BN165+BP165&gt;0,R165-BN165+BP165,0)</f>
        <v>405152</v>
      </c>
      <c r="BT165" s="6">
        <f t="shared" ref="BT165:BT180" si="43">+BN165+BR165</f>
        <v>756363</v>
      </c>
      <c r="BV165" s="6">
        <f t="shared" si="40"/>
        <v>0</v>
      </c>
    </row>
    <row r="166" spans="1:74">
      <c r="A166" s="56"/>
      <c r="B166" s="11" t="s">
        <v>466</v>
      </c>
      <c r="C166"/>
      <c r="D166"/>
      <c r="E166"/>
      <c r="F166"/>
      <c r="G166"/>
      <c r="H166"/>
      <c r="I166"/>
      <c r="J166"/>
      <c r="K166" s="134"/>
      <c r="L166" s="424">
        <v>60299</v>
      </c>
      <c r="M166" s="6"/>
      <c r="O166" s="6"/>
      <c r="Q166" s="6"/>
      <c r="R166" s="6">
        <v>21072</v>
      </c>
      <c r="S166" s="6"/>
      <c r="T166" s="6"/>
      <c r="U166" s="6"/>
      <c r="V166" s="6"/>
      <c r="X166" s="6"/>
      <c r="Z166" s="6"/>
      <c r="AB166" s="6"/>
      <c r="AD166" s="6"/>
      <c r="BL166" s="6"/>
      <c r="BM166" s="6"/>
      <c r="BN166" s="6">
        <f t="shared" si="41"/>
        <v>0</v>
      </c>
      <c r="BO166" s="6"/>
      <c r="BP166" s="6"/>
      <c r="BQ166" s="6"/>
      <c r="BR166" s="6">
        <f t="shared" si="42"/>
        <v>21072</v>
      </c>
      <c r="BT166" s="6">
        <f t="shared" si="43"/>
        <v>21072</v>
      </c>
      <c r="BV166" s="6">
        <f t="shared" si="40"/>
        <v>0</v>
      </c>
    </row>
    <row r="167" spans="1:74">
      <c r="A167" s="56"/>
      <c r="B167" s="11" t="s">
        <v>467</v>
      </c>
      <c r="C167"/>
      <c r="D167"/>
      <c r="E167"/>
      <c r="F167"/>
      <c r="G167"/>
      <c r="H167"/>
      <c r="I167"/>
      <c r="J167"/>
      <c r="K167" s="134"/>
      <c r="L167" s="424">
        <v>45630</v>
      </c>
      <c r="M167" s="6"/>
      <c r="O167" s="6"/>
      <c r="Q167" s="6"/>
      <c r="R167" s="6">
        <v>136716</v>
      </c>
      <c r="S167" s="6"/>
      <c r="T167" s="6"/>
      <c r="U167" s="6"/>
      <c r="V167" s="6"/>
      <c r="X167" s="6"/>
      <c r="Z167" s="6"/>
      <c r="AB167" s="6"/>
      <c r="AD167" s="6"/>
      <c r="BB167" s="6">
        <f>800+3344+41073+10309+29332+7049</f>
        <v>91907</v>
      </c>
      <c r="BL167" s="6"/>
      <c r="BM167" s="6"/>
      <c r="BN167" s="6">
        <f t="shared" si="41"/>
        <v>91907</v>
      </c>
      <c r="BO167" s="6"/>
      <c r="BP167" s="6"/>
      <c r="BQ167" s="6"/>
      <c r="BR167" s="6">
        <f t="shared" si="42"/>
        <v>44809</v>
      </c>
      <c r="BT167" s="6">
        <f t="shared" si="43"/>
        <v>136716</v>
      </c>
      <c r="BV167" s="6">
        <f t="shared" si="40"/>
        <v>0</v>
      </c>
    </row>
    <row r="168" spans="1:74">
      <c r="A168" s="56"/>
      <c r="B168" s="11" t="s">
        <v>468</v>
      </c>
      <c r="C168"/>
      <c r="D168"/>
      <c r="E168"/>
      <c r="F168"/>
      <c r="G168"/>
      <c r="H168"/>
      <c r="I168"/>
      <c r="J168"/>
      <c r="K168" s="134"/>
      <c r="L168" s="424">
        <v>45631</v>
      </c>
      <c r="M168" s="6"/>
      <c r="O168" s="6"/>
      <c r="Q168" s="6"/>
      <c r="R168" s="6">
        <v>418906</v>
      </c>
      <c r="S168" s="6"/>
      <c r="T168" s="6"/>
      <c r="U168" s="6"/>
      <c r="V168" s="6"/>
      <c r="X168" s="6"/>
      <c r="Z168" s="6"/>
      <c r="AB168" s="6"/>
      <c r="AD168" s="6"/>
      <c r="BB168" s="6">
        <f>535+49417+54003+86107+62011-1</f>
        <v>252072</v>
      </c>
      <c r="BD168" s="6">
        <v>837000</v>
      </c>
      <c r="BL168" s="6"/>
      <c r="BM168" s="6"/>
      <c r="BN168" s="6">
        <f t="shared" si="41"/>
        <v>1089072</v>
      </c>
      <c r="BO168" s="6"/>
      <c r="BP168" s="6"/>
      <c r="BQ168" s="6"/>
      <c r="BR168" s="6">
        <f t="shared" si="42"/>
        <v>0</v>
      </c>
      <c r="BT168" s="6">
        <f t="shared" si="43"/>
        <v>1089072</v>
      </c>
      <c r="BV168" s="6">
        <f t="shared" si="40"/>
        <v>-670166</v>
      </c>
    </row>
    <row r="169" spans="1:74">
      <c r="A169" s="56"/>
      <c r="B169" s="11" t="s">
        <v>469</v>
      </c>
      <c r="C169"/>
      <c r="D169"/>
      <c r="E169"/>
      <c r="F169"/>
      <c r="G169"/>
      <c r="H169"/>
      <c r="I169"/>
      <c r="J169"/>
      <c r="K169" s="134"/>
      <c r="L169" s="424">
        <v>45632</v>
      </c>
      <c r="M169" s="6"/>
      <c r="O169" s="6"/>
      <c r="Q169" s="6"/>
      <c r="R169" s="6">
        <v>80018</v>
      </c>
      <c r="S169" s="6"/>
      <c r="T169" s="6"/>
      <c r="U169" s="6"/>
      <c r="V169" s="6"/>
      <c r="X169" s="6"/>
      <c r="Z169" s="6"/>
      <c r="AB169" s="6"/>
      <c r="AD169" s="6"/>
      <c r="BB169" s="6">
        <f>2216+5019+7461+1503+34872</f>
        <v>51071</v>
      </c>
      <c r="BL169" s="6"/>
      <c r="BM169" s="6"/>
      <c r="BN169" s="6">
        <f t="shared" si="41"/>
        <v>51071</v>
      </c>
      <c r="BO169" s="6"/>
      <c r="BP169" s="6"/>
      <c r="BQ169" s="6"/>
      <c r="BR169" s="6">
        <f t="shared" si="42"/>
        <v>28947</v>
      </c>
      <c r="BT169" s="6">
        <f t="shared" si="43"/>
        <v>80018</v>
      </c>
      <c r="BV169" s="6">
        <f t="shared" si="40"/>
        <v>0</v>
      </c>
    </row>
    <row r="170" spans="1:74">
      <c r="A170" s="56"/>
      <c r="B170" s="11" t="s">
        <v>470</v>
      </c>
      <c r="C170"/>
      <c r="D170"/>
      <c r="E170"/>
      <c r="F170"/>
      <c r="G170"/>
      <c r="H170"/>
      <c r="I170"/>
      <c r="J170"/>
      <c r="K170" s="134"/>
      <c r="L170" s="424">
        <v>45633</v>
      </c>
      <c r="M170" s="6"/>
      <c r="O170" s="6"/>
      <c r="Q170" s="6"/>
      <c r="R170" s="6">
        <v>50029</v>
      </c>
      <c r="S170" s="6"/>
      <c r="T170" s="6"/>
      <c r="U170" s="6"/>
      <c r="V170" s="6"/>
      <c r="X170" s="6"/>
      <c r="Z170" s="6"/>
      <c r="AB170" s="6"/>
      <c r="AD170" s="6"/>
      <c r="BB170" s="6">
        <f>1180+2747+5434+6643+21028</f>
        <v>37032</v>
      </c>
      <c r="BL170" s="6"/>
      <c r="BM170" s="6"/>
      <c r="BN170" s="6">
        <f t="shared" si="41"/>
        <v>37032</v>
      </c>
      <c r="BO170" s="6"/>
      <c r="BP170" s="6"/>
      <c r="BQ170" s="6"/>
      <c r="BR170" s="6">
        <f t="shared" si="42"/>
        <v>12997</v>
      </c>
      <c r="BT170" s="6">
        <f t="shared" si="43"/>
        <v>50029</v>
      </c>
      <c r="BV170" s="6">
        <f t="shared" si="40"/>
        <v>0</v>
      </c>
    </row>
    <row r="171" spans="1:74">
      <c r="A171" s="56"/>
      <c r="B171" s="11" t="s">
        <v>471</v>
      </c>
      <c r="C171"/>
      <c r="D171"/>
      <c r="E171"/>
      <c r="F171"/>
      <c r="G171"/>
      <c r="H171"/>
      <c r="I171"/>
      <c r="J171"/>
      <c r="K171" s="134"/>
      <c r="L171" s="424">
        <v>45634</v>
      </c>
      <c r="M171" s="6"/>
      <c r="O171" s="6"/>
      <c r="Q171" s="6"/>
      <c r="R171" s="6">
        <v>61757</v>
      </c>
      <c r="S171" s="6"/>
      <c r="T171" s="6"/>
      <c r="U171" s="6"/>
      <c r="V171" s="6"/>
      <c r="X171" s="6"/>
      <c r="Z171" s="6"/>
      <c r="AB171" s="6"/>
      <c r="AD171" s="6"/>
      <c r="BB171" s="6">
        <f>1072+8128+10987+8103+2831</f>
        <v>31121</v>
      </c>
      <c r="BL171" s="6"/>
      <c r="BM171" s="6"/>
      <c r="BN171" s="6">
        <f t="shared" si="41"/>
        <v>31121</v>
      </c>
      <c r="BO171" s="6"/>
      <c r="BP171" s="6"/>
      <c r="BQ171" s="6"/>
      <c r="BR171" s="6">
        <f t="shared" si="42"/>
        <v>30636</v>
      </c>
      <c r="BT171" s="6">
        <f t="shared" si="43"/>
        <v>61757</v>
      </c>
      <c r="BV171" s="6">
        <f t="shared" si="40"/>
        <v>0</v>
      </c>
    </row>
    <row r="172" spans="1:74">
      <c r="A172" s="56"/>
      <c r="B172" s="11" t="s">
        <v>472</v>
      </c>
      <c r="C172"/>
      <c r="D172"/>
      <c r="E172"/>
      <c r="F172"/>
      <c r="G172"/>
      <c r="H172"/>
      <c r="I172"/>
      <c r="J172"/>
      <c r="K172" s="134"/>
      <c r="L172" s="424">
        <v>45635</v>
      </c>
      <c r="M172" s="6"/>
      <c r="O172" s="6"/>
      <c r="Q172" s="6"/>
      <c r="R172" s="6">
        <v>21962</v>
      </c>
      <c r="S172" s="6"/>
      <c r="T172" s="6"/>
      <c r="U172" s="6"/>
      <c r="V172" s="6"/>
      <c r="X172" s="6"/>
      <c r="Z172" s="6"/>
      <c r="AB172" s="6"/>
      <c r="AD172" s="6"/>
      <c r="BB172" s="6">
        <f>1397+1090+360</f>
        <v>2847</v>
      </c>
      <c r="BL172" s="6"/>
      <c r="BM172" s="6"/>
      <c r="BN172" s="6">
        <f t="shared" si="41"/>
        <v>2847</v>
      </c>
      <c r="BO172" s="6"/>
      <c r="BP172" s="6"/>
      <c r="BQ172" s="6"/>
      <c r="BR172" s="6">
        <f t="shared" si="42"/>
        <v>19115</v>
      </c>
      <c r="BT172" s="6">
        <f t="shared" si="43"/>
        <v>21962</v>
      </c>
      <c r="BV172" s="6">
        <f t="shared" si="40"/>
        <v>0</v>
      </c>
    </row>
    <row r="173" spans="1:74">
      <c r="A173" s="56"/>
      <c r="B173" s="11" t="s">
        <v>473</v>
      </c>
      <c r="C173"/>
      <c r="D173"/>
      <c r="E173"/>
      <c r="F173"/>
      <c r="G173"/>
      <c r="H173"/>
      <c r="I173"/>
      <c r="J173"/>
      <c r="K173" s="134"/>
      <c r="L173" s="424">
        <v>45636</v>
      </c>
      <c r="M173" s="6"/>
      <c r="O173" s="6"/>
      <c r="Q173" s="6"/>
      <c r="R173" s="6">
        <v>125513</v>
      </c>
      <c r="S173" s="6"/>
      <c r="T173" s="6"/>
      <c r="U173" s="6"/>
      <c r="V173" s="6"/>
      <c r="X173" s="6"/>
      <c r="Z173" s="6"/>
      <c r="AB173" s="6"/>
      <c r="AD173" s="6"/>
      <c r="BB173" s="6">
        <f>21486+9708+3513+13253</f>
        <v>47960</v>
      </c>
      <c r="BL173" s="6"/>
      <c r="BM173" s="6"/>
      <c r="BN173" s="6">
        <f t="shared" si="41"/>
        <v>47960</v>
      </c>
      <c r="BO173" s="6"/>
      <c r="BP173" s="6"/>
      <c r="BQ173" s="6"/>
      <c r="BR173" s="6">
        <f t="shared" si="42"/>
        <v>77553</v>
      </c>
      <c r="BT173" s="6">
        <f t="shared" si="43"/>
        <v>125513</v>
      </c>
      <c r="BV173" s="6">
        <f t="shared" si="40"/>
        <v>0</v>
      </c>
    </row>
    <row r="174" spans="1:74">
      <c r="A174" s="56"/>
      <c r="B174" s="11" t="s">
        <v>474</v>
      </c>
      <c r="C174"/>
      <c r="D174"/>
      <c r="E174"/>
      <c r="F174"/>
      <c r="G174"/>
      <c r="H174"/>
      <c r="I174"/>
      <c r="J174"/>
      <c r="K174" s="134"/>
      <c r="L174" s="424">
        <v>45637</v>
      </c>
      <c r="M174" s="6"/>
      <c r="O174" s="6"/>
      <c r="Q174" s="6"/>
      <c r="R174" s="6">
        <v>259130</v>
      </c>
      <c r="S174" s="6"/>
      <c r="T174" s="6"/>
      <c r="U174" s="6"/>
      <c r="V174" s="6"/>
      <c r="X174" s="6"/>
      <c r="Z174" s="6"/>
      <c r="AB174" s="6"/>
      <c r="AD174" s="6"/>
      <c r="BB174" s="6">
        <f>152+47111+9834+24500+36357</f>
        <v>117954</v>
      </c>
      <c r="BL174" s="6"/>
      <c r="BM174" s="6"/>
      <c r="BN174" s="6">
        <f t="shared" si="41"/>
        <v>117954</v>
      </c>
      <c r="BO174" s="6"/>
      <c r="BP174" s="6"/>
      <c r="BQ174" s="6"/>
      <c r="BR174" s="6">
        <f t="shared" si="42"/>
        <v>141176</v>
      </c>
      <c r="BT174" s="6">
        <f t="shared" si="43"/>
        <v>259130</v>
      </c>
      <c r="BV174" s="6">
        <f t="shared" si="40"/>
        <v>0</v>
      </c>
    </row>
    <row r="175" spans="1:74">
      <c r="A175" s="56"/>
      <c r="B175" s="11" t="s">
        <v>475</v>
      </c>
      <c r="C175"/>
      <c r="D175"/>
      <c r="E175"/>
      <c r="F175"/>
      <c r="G175"/>
      <c r="H175"/>
      <c r="I175"/>
      <c r="J175"/>
      <c r="K175" s="134"/>
      <c r="L175" s="424">
        <v>45638</v>
      </c>
      <c r="M175" s="6"/>
      <c r="O175" s="6"/>
      <c r="Q175" s="6"/>
      <c r="R175" s="6">
        <v>30502</v>
      </c>
      <c r="S175" s="6"/>
      <c r="T175" s="6"/>
      <c r="U175" s="6"/>
      <c r="V175" s="6"/>
      <c r="X175" s="6"/>
      <c r="Z175" s="6"/>
      <c r="AB175" s="6"/>
      <c r="AD175" s="6"/>
      <c r="BB175" s="6">
        <f>1610+1653+233+2316</f>
        <v>5812</v>
      </c>
      <c r="BL175" s="6"/>
      <c r="BM175" s="6"/>
      <c r="BN175" s="6">
        <f t="shared" si="41"/>
        <v>5812</v>
      </c>
      <c r="BO175" s="6"/>
      <c r="BP175" s="6"/>
      <c r="BQ175" s="6"/>
      <c r="BR175" s="6">
        <f t="shared" si="42"/>
        <v>24690</v>
      </c>
      <c r="BT175" s="6">
        <f t="shared" si="43"/>
        <v>30502</v>
      </c>
      <c r="BV175" s="6">
        <f t="shared" si="40"/>
        <v>0</v>
      </c>
    </row>
    <row r="176" spans="1:74">
      <c r="A176" s="56"/>
      <c r="B176" s="11" t="s">
        <v>476</v>
      </c>
      <c r="C176"/>
      <c r="D176"/>
      <c r="E176"/>
      <c r="F176"/>
      <c r="G176"/>
      <c r="H176"/>
      <c r="I176"/>
      <c r="J176"/>
      <c r="K176" s="134"/>
      <c r="L176" s="424">
        <v>45639</v>
      </c>
      <c r="M176" s="6"/>
      <c r="O176" s="6"/>
      <c r="Q176" s="6"/>
      <c r="R176" s="6">
        <v>12923</v>
      </c>
      <c r="S176" s="6"/>
      <c r="T176" s="6"/>
      <c r="U176" s="6"/>
      <c r="V176" s="6"/>
      <c r="X176" s="6"/>
      <c r="Z176" s="6"/>
      <c r="AB176" s="6"/>
      <c r="AD176" s="6"/>
      <c r="BB176" s="6">
        <f>177+793+608+489</f>
        <v>2067</v>
      </c>
      <c r="BL176" s="6"/>
      <c r="BM176" s="6"/>
      <c r="BN176" s="6">
        <f t="shared" si="41"/>
        <v>2067</v>
      </c>
      <c r="BO176" s="6"/>
      <c r="BP176" s="6"/>
      <c r="BQ176" s="6"/>
      <c r="BR176" s="6">
        <f t="shared" si="42"/>
        <v>10856</v>
      </c>
      <c r="BT176" s="6">
        <f t="shared" si="43"/>
        <v>12923</v>
      </c>
      <c r="BV176" s="6">
        <f t="shared" si="40"/>
        <v>0</v>
      </c>
    </row>
    <row r="177" spans="1:75">
      <c r="A177" s="56"/>
      <c r="B177" s="11" t="s">
        <v>477</v>
      </c>
      <c r="C177"/>
      <c r="D177"/>
      <c r="E177"/>
      <c r="F177"/>
      <c r="G177"/>
      <c r="H177"/>
      <c r="I177"/>
      <c r="J177"/>
      <c r="K177" s="134"/>
      <c r="L177" s="424">
        <v>45642</v>
      </c>
      <c r="M177" s="6"/>
      <c r="O177" s="6"/>
      <c r="Q177" s="6"/>
      <c r="R177" s="6">
        <v>29543</v>
      </c>
      <c r="S177" s="6"/>
      <c r="T177" s="6"/>
      <c r="U177" s="6"/>
      <c r="V177" s="6"/>
      <c r="X177" s="6"/>
      <c r="Z177" s="6"/>
      <c r="AB177" s="6"/>
      <c r="AD177" s="6"/>
      <c r="BB177" s="6">
        <f>3035+4465+920+3264</f>
        <v>11684</v>
      </c>
      <c r="BL177" s="6"/>
      <c r="BM177" s="6"/>
      <c r="BN177" s="6">
        <f t="shared" si="41"/>
        <v>11684</v>
      </c>
      <c r="BO177" s="6"/>
      <c r="BP177" s="6"/>
      <c r="BQ177" s="6"/>
      <c r="BR177" s="6">
        <f>IF(+R177-BN177+BP177&gt;0,R177-BN177+BP177,0)</f>
        <v>17859</v>
      </c>
      <c r="BT177" s="6">
        <f t="shared" si="43"/>
        <v>29543</v>
      </c>
      <c r="BV177" s="6">
        <f t="shared" si="40"/>
        <v>0</v>
      </c>
    </row>
    <row r="178" spans="1:75">
      <c r="A178" s="56"/>
      <c r="B178" s="11" t="s">
        <v>478</v>
      </c>
      <c r="C178"/>
      <c r="D178"/>
      <c r="E178"/>
      <c r="F178"/>
      <c r="G178"/>
      <c r="H178"/>
      <c r="I178"/>
      <c r="J178"/>
      <c r="K178" s="134"/>
      <c r="L178" s="424">
        <v>45643</v>
      </c>
      <c r="M178" s="6"/>
      <c r="O178" s="6"/>
      <c r="Q178" s="6"/>
      <c r="R178" s="6">
        <v>31391</v>
      </c>
      <c r="S178" s="6"/>
      <c r="T178" s="6"/>
      <c r="U178" s="6"/>
      <c r="V178" s="6"/>
      <c r="X178" s="6"/>
      <c r="Z178" s="6"/>
      <c r="AB178" s="6"/>
      <c r="AD178" s="6"/>
      <c r="BB178" s="6">
        <f>4715+8109+152+8983</f>
        <v>21959</v>
      </c>
      <c r="BL178" s="6"/>
      <c r="BM178" s="6"/>
      <c r="BN178" s="6">
        <f t="shared" si="41"/>
        <v>21959</v>
      </c>
      <c r="BO178" s="6"/>
      <c r="BP178" s="6"/>
      <c r="BQ178" s="6"/>
      <c r="BR178" s="6">
        <f>IF(+R178-BN178+BP178&gt;0,R178-BN178+BP178,0)</f>
        <v>9432</v>
      </c>
      <c r="BT178" s="6">
        <f t="shared" si="43"/>
        <v>31391</v>
      </c>
      <c r="BV178" s="6">
        <f t="shared" si="40"/>
        <v>0</v>
      </c>
    </row>
    <row r="179" spans="1:75">
      <c r="A179" s="56"/>
      <c r="B179" s="11" t="s">
        <v>479</v>
      </c>
      <c r="C179"/>
      <c r="D179"/>
      <c r="E179"/>
      <c r="F179"/>
      <c r="G179"/>
      <c r="H179"/>
      <c r="I179"/>
      <c r="J179"/>
      <c r="K179" s="134"/>
      <c r="L179" s="424">
        <v>45644</v>
      </c>
      <c r="M179" s="6"/>
      <c r="O179" s="6"/>
      <c r="Q179" s="6"/>
      <c r="R179" s="6">
        <v>22237</v>
      </c>
      <c r="S179" s="6"/>
      <c r="T179" s="6"/>
      <c r="U179" s="6"/>
      <c r="V179" s="6"/>
      <c r="X179" s="6"/>
      <c r="Z179" s="6"/>
      <c r="AB179" s="6"/>
      <c r="AD179" s="6"/>
      <c r="BB179" s="6">
        <f>600+1287+1507+10660</f>
        <v>14054</v>
      </c>
      <c r="BL179" s="6"/>
      <c r="BM179" s="6"/>
      <c r="BN179" s="6">
        <f t="shared" si="41"/>
        <v>14054</v>
      </c>
      <c r="BO179" s="6"/>
      <c r="BP179" s="6"/>
      <c r="BQ179" s="6"/>
      <c r="BR179" s="6">
        <f>IF(+R179-BN179+BP179&gt;0,R179-BN179+BP179,0)</f>
        <v>8183</v>
      </c>
      <c r="BT179" s="6">
        <f t="shared" si="43"/>
        <v>22237</v>
      </c>
      <c r="BV179" s="6">
        <f t="shared" si="40"/>
        <v>0</v>
      </c>
    </row>
    <row r="180" spans="1:75">
      <c r="A180" s="56"/>
      <c r="B180" s="11" t="s">
        <v>481</v>
      </c>
      <c r="C180"/>
      <c r="D180"/>
      <c r="E180"/>
      <c r="F180"/>
      <c r="G180"/>
      <c r="H180"/>
      <c r="I180"/>
      <c r="J180"/>
      <c r="K180" s="134"/>
      <c r="L180" s="424"/>
      <c r="M180" s="6"/>
      <c r="O180" s="6"/>
      <c r="Q180" s="6"/>
      <c r="R180" s="6">
        <f>-3890117+2200000+132742</f>
        <v>-1557375</v>
      </c>
      <c r="S180" s="6"/>
      <c r="T180" s="6"/>
      <c r="U180" s="6"/>
      <c r="V180" s="6"/>
      <c r="X180" s="6"/>
      <c r="Z180" s="6"/>
      <c r="AB180" s="6"/>
      <c r="AD180" s="6"/>
      <c r="BL180" s="6"/>
      <c r="BM180" s="6"/>
      <c r="BN180" s="6">
        <f t="shared" si="41"/>
        <v>0</v>
      </c>
      <c r="BO180" s="6"/>
      <c r="BP180" s="6">
        <v>1690117</v>
      </c>
      <c r="BQ180" s="6"/>
      <c r="BR180" s="6">
        <f>IF(+R180-BN180+BP180&gt;0,R180-BN180+BP180,0)</f>
        <v>132742</v>
      </c>
      <c r="BT180" s="6">
        <f t="shared" si="43"/>
        <v>132742</v>
      </c>
      <c r="BV180" s="6">
        <f t="shared" si="40"/>
        <v>-1690117</v>
      </c>
    </row>
    <row r="181" spans="1:75" s="21" customFormat="1">
      <c r="A181" s="56"/>
      <c r="B181" s="31" t="s">
        <v>277</v>
      </c>
      <c r="K181" s="143"/>
      <c r="L181" s="9"/>
      <c r="M181" s="102">
        <f>SUM(M162:M177)</f>
        <v>2000000</v>
      </c>
      <c r="N181" s="9"/>
      <c r="O181" s="102">
        <f>SUM(O162:O177)</f>
        <v>295000</v>
      </c>
      <c r="P181" s="9"/>
      <c r="Q181" s="102">
        <f>SUM(Q162:Q177)</f>
        <v>2295000</v>
      </c>
      <c r="R181" s="102">
        <f>SUM(R162:R180)</f>
        <v>2200000</v>
      </c>
      <c r="S181" s="9"/>
      <c r="T181" s="102">
        <f>SUM(T162:T177)</f>
        <v>0</v>
      </c>
      <c r="U181" s="9"/>
      <c r="V181" s="102">
        <f>SUM(V162:V177)</f>
        <v>0</v>
      </c>
      <c r="W181" s="9"/>
      <c r="X181" s="102">
        <f>SUM(X162:X177)</f>
        <v>0</v>
      </c>
      <c r="Y181" s="9"/>
      <c r="Z181" s="102">
        <f>SUM(Z162:Z177)</f>
        <v>0</v>
      </c>
      <c r="AA181" s="9"/>
      <c r="AB181" s="102">
        <f>SUM(AB162:AB177)</f>
        <v>0</v>
      </c>
      <c r="AC181" s="9"/>
      <c r="AD181" s="102">
        <f>SUM(AD162:AD177)</f>
        <v>0</v>
      </c>
      <c r="AE181" s="9"/>
      <c r="AF181" s="102">
        <f>SUM(AF162:AF177)</f>
        <v>0</v>
      </c>
      <c r="AG181" s="9"/>
      <c r="AH181" s="102">
        <f>SUM(AH162:AH177)</f>
        <v>0</v>
      </c>
      <c r="AI181" s="9"/>
      <c r="AJ181" s="102">
        <f>SUM(AJ162:AJ177)</f>
        <v>0</v>
      </c>
      <c r="AK181" s="9"/>
      <c r="AL181" s="102">
        <f>SUM(AL162:AL177)</f>
        <v>0</v>
      </c>
      <c r="AM181" s="102"/>
      <c r="AN181" s="102">
        <f>SUM(AN162:AN177)</f>
        <v>0</v>
      </c>
      <c r="AO181" s="9"/>
      <c r="AP181" s="102">
        <f>SUM(AP162:AP177)</f>
        <v>18017.870000000003</v>
      </c>
      <c r="AQ181" s="9"/>
      <c r="AR181" s="102">
        <f>SUM(AR162:AR177)</f>
        <v>0</v>
      </c>
      <c r="AS181" s="9"/>
      <c r="AT181" s="102">
        <f t="shared" ref="AT181:BW181" si="44">SUM(AT162:AT180)</f>
        <v>7500</v>
      </c>
      <c r="AU181" s="102">
        <f t="shared" si="44"/>
        <v>0</v>
      </c>
      <c r="AV181" s="102">
        <f t="shared" si="44"/>
        <v>20486.25</v>
      </c>
      <c r="AW181" s="102">
        <f t="shared" si="44"/>
        <v>0</v>
      </c>
      <c r="AX181" s="102">
        <f t="shared" si="44"/>
        <v>0</v>
      </c>
      <c r="AY181" s="102">
        <f t="shared" si="44"/>
        <v>0</v>
      </c>
      <c r="AZ181" s="102">
        <f t="shared" si="44"/>
        <v>10602.45</v>
      </c>
      <c r="BA181" s="102">
        <f t="shared" si="44"/>
        <v>0</v>
      </c>
      <c r="BB181" s="102">
        <f t="shared" si="44"/>
        <v>1993842</v>
      </c>
      <c r="BC181" s="102">
        <f t="shared" si="44"/>
        <v>0</v>
      </c>
      <c r="BD181" s="102">
        <f t="shared" si="44"/>
        <v>947183</v>
      </c>
      <c r="BE181" s="102">
        <f t="shared" si="44"/>
        <v>0</v>
      </c>
      <c r="BF181" s="102">
        <f t="shared" si="44"/>
        <v>0</v>
      </c>
      <c r="BG181" s="102">
        <f t="shared" si="44"/>
        <v>0</v>
      </c>
      <c r="BH181" s="102">
        <f t="shared" si="44"/>
        <v>0</v>
      </c>
      <c r="BI181" s="102">
        <f t="shared" si="44"/>
        <v>0</v>
      </c>
      <c r="BJ181" s="102">
        <f t="shared" si="44"/>
        <v>0</v>
      </c>
      <c r="BK181" s="102">
        <f t="shared" si="44"/>
        <v>0</v>
      </c>
      <c r="BL181" s="102">
        <f t="shared" si="44"/>
        <v>0</v>
      </c>
      <c r="BM181" s="102">
        <f t="shared" si="44"/>
        <v>0</v>
      </c>
      <c r="BN181" s="102">
        <f t="shared" si="44"/>
        <v>2997631.5700000003</v>
      </c>
      <c r="BO181" s="102">
        <f t="shared" si="44"/>
        <v>0</v>
      </c>
      <c r="BP181" s="102">
        <f t="shared" si="44"/>
        <v>1690117</v>
      </c>
      <c r="BQ181" s="102">
        <f t="shared" si="44"/>
        <v>0</v>
      </c>
      <c r="BR181" s="102">
        <f t="shared" si="44"/>
        <v>1672005</v>
      </c>
      <c r="BS181" s="102">
        <f t="shared" si="44"/>
        <v>0</v>
      </c>
      <c r="BT181" s="102">
        <f t="shared" si="44"/>
        <v>4669636.57</v>
      </c>
      <c r="BU181" s="102">
        <f t="shared" si="44"/>
        <v>0</v>
      </c>
      <c r="BV181" s="102">
        <f t="shared" si="44"/>
        <v>-2469636.5700000003</v>
      </c>
      <c r="BW181" s="102">
        <f t="shared" si="44"/>
        <v>0</v>
      </c>
    </row>
    <row r="182" spans="1:75" s="21" customFormat="1">
      <c r="A182" s="56"/>
      <c r="B182" s="31"/>
      <c r="K182" s="143"/>
      <c r="L182" s="9"/>
      <c r="M182" s="10"/>
      <c r="N182" s="9"/>
      <c r="O182" s="10"/>
      <c r="P182" s="9"/>
      <c r="Q182" s="10"/>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row>
    <row r="183" spans="1:75" s="21" customFormat="1">
      <c r="A183" s="56" t="s">
        <v>29</v>
      </c>
      <c r="B183" s="31"/>
      <c r="J183" s="8" t="s">
        <v>0</v>
      </c>
      <c r="L183" s="134" t="s">
        <v>202</v>
      </c>
      <c r="M183" s="9"/>
      <c r="N183" s="9">
        <v>0</v>
      </c>
      <c r="O183" s="9"/>
      <c r="P183" s="9">
        <v>0</v>
      </c>
      <c r="Q183" s="9"/>
      <c r="R183" s="9">
        <v>1100000</v>
      </c>
      <c r="S183" s="9"/>
      <c r="T183" s="9">
        <v>0</v>
      </c>
      <c r="U183" s="9"/>
      <c r="V183" s="9">
        <v>0</v>
      </c>
      <c r="W183" s="9"/>
      <c r="X183" s="9">
        <v>0</v>
      </c>
      <c r="Y183" s="9"/>
      <c r="Z183" s="9">
        <v>0</v>
      </c>
      <c r="AA183" s="9"/>
      <c r="AB183" s="9">
        <v>0</v>
      </c>
      <c r="AC183" s="9"/>
      <c r="AD183" s="9">
        <v>0</v>
      </c>
      <c r="AE183" s="9"/>
      <c r="AF183" s="9">
        <v>0</v>
      </c>
      <c r="AG183" s="9"/>
      <c r="AH183" s="9">
        <v>0</v>
      </c>
      <c r="AI183" s="9"/>
      <c r="AJ183" s="9">
        <v>0</v>
      </c>
      <c r="AK183" s="9"/>
      <c r="AL183" s="9"/>
      <c r="AM183" s="9"/>
      <c r="AN183" s="9">
        <v>0</v>
      </c>
      <c r="AO183" s="9"/>
      <c r="AP183" s="9">
        <v>0</v>
      </c>
      <c r="AQ183" s="9"/>
      <c r="AR183" s="9">
        <v>0</v>
      </c>
      <c r="AS183" s="9"/>
      <c r="AT183" s="9">
        <v>0</v>
      </c>
      <c r="AU183" s="9"/>
      <c r="AV183" s="9">
        <v>0</v>
      </c>
      <c r="AW183" s="9"/>
      <c r="AX183" s="9">
        <v>0</v>
      </c>
      <c r="AY183" s="9"/>
      <c r="AZ183" s="9">
        <v>0</v>
      </c>
      <c r="BA183" s="9"/>
      <c r="BB183" s="9">
        <v>0</v>
      </c>
      <c r="BC183" s="9"/>
      <c r="BD183" s="9">
        <v>0</v>
      </c>
      <c r="BE183" s="9"/>
      <c r="BF183" s="9">
        <v>0</v>
      </c>
      <c r="BG183" s="9"/>
      <c r="BH183" s="9">
        <v>0</v>
      </c>
      <c r="BI183" s="9"/>
      <c r="BJ183" s="9">
        <v>0</v>
      </c>
      <c r="BK183" s="9"/>
      <c r="BL183" s="9">
        <v>0</v>
      </c>
      <c r="BM183" s="9"/>
      <c r="BN183" s="9">
        <f>SUM(T183:BM183)</f>
        <v>0</v>
      </c>
      <c r="BO183" s="9"/>
      <c r="BP183" s="9">
        <v>0</v>
      </c>
      <c r="BQ183" s="9"/>
      <c r="BR183" s="6">
        <f>IF(+R183-BN183+BP183&gt;0,R183-BN183+BP183,0)</f>
        <v>1100000</v>
      </c>
      <c r="BS183" s="9"/>
      <c r="BT183" s="9">
        <f>+BN183+BR183</f>
        <v>1100000</v>
      </c>
      <c r="BU183" s="9"/>
      <c r="BV183" s="9">
        <f>+R183-BT183</f>
        <v>0</v>
      </c>
      <c r="BW183" s="9"/>
    </row>
    <row r="184" spans="1:75" s="21" customFormat="1">
      <c r="A184" s="118"/>
      <c r="B184" s="58"/>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9"/>
      <c r="AV184" s="10"/>
      <c r="AW184" s="10"/>
      <c r="AX184" s="10"/>
      <c r="AY184" s="10"/>
      <c r="AZ184" s="10"/>
      <c r="BA184" s="10"/>
      <c r="BB184" s="10"/>
      <c r="BC184" s="10"/>
      <c r="BD184" s="10"/>
      <c r="BE184" s="10"/>
      <c r="BF184" s="10"/>
      <c r="BG184" s="10"/>
      <c r="BH184" s="10"/>
      <c r="BI184" s="10"/>
      <c r="BJ184" s="10"/>
      <c r="BK184" s="10"/>
      <c r="BL184" s="10"/>
      <c r="BM184" s="9"/>
      <c r="BN184" s="10"/>
      <c r="BO184" s="9"/>
      <c r="BP184" s="10"/>
      <c r="BQ184" s="9"/>
      <c r="BR184" s="10"/>
      <c r="BS184" s="9"/>
      <c r="BT184" s="10"/>
      <c r="BU184" s="9"/>
      <c r="BV184" s="10"/>
      <c r="BW184" s="9"/>
    </row>
    <row r="185" spans="1:75" s="15" customFormat="1">
      <c r="A185" s="111" t="s">
        <v>289</v>
      </c>
      <c r="B185" s="60"/>
      <c r="C185"/>
      <c r="D185"/>
      <c r="E185"/>
      <c r="F185"/>
      <c r="G185"/>
      <c r="H185"/>
      <c r="I185"/>
      <c r="J185" s="49"/>
      <c r="K185"/>
      <c r="L185" s="134"/>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row>
    <row r="186" spans="1:75" s="15" customFormat="1" hidden="1">
      <c r="A186" s="14"/>
      <c r="B186" s="60" t="s">
        <v>179</v>
      </c>
      <c r="C186"/>
      <c r="D186"/>
      <c r="E186"/>
      <c r="F186"/>
      <c r="G186"/>
      <c r="H186"/>
      <c r="I186"/>
      <c r="J186" s="49"/>
      <c r="K186"/>
      <c r="L186" s="134" t="s">
        <v>202</v>
      </c>
      <c r="M186" s="22"/>
      <c r="N186" s="22">
        <v>0</v>
      </c>
      <c r="O186" s="22"/>
      <c r="P186" s="22">
        <v>0</v>
      </c>
      <c r="Q186" s="22"/>
      <c r="R186" s="6">
        <f>+N186+P186</f>
        <v>0</v>
      </c>
      <c r="S186" s="22"/>
      <c r="T186" s="22">
        <v>0</v>
      </c>
      <c r="U186" s="22"/>
      <c r="V186" s="22">
        <v>0</v>
      </c>
      <c r="W186" s="22"/>
      <c r="X186" s="22">
        <v>0</v>
      </c>
      <c r="Y186" s="22"/>
      <c r="Z186" s="22">
        <v>0</v>
      </c>
      <c r="AA186" s="22"/>
      <c r="AB186" s="22">
        <v>0</v>
      </c>
      <c r="AC186" s="22"/>
      <c r="AD186" s="22">
        <v>0</v>
      </c>
      <c r="AE186" s="22"/>
      <c r="AF186" s="22">
        <v>0</v>
      </c>
      <c r="AG186" s="22"/>
      <c r="AH186" s="22">
        <v>0</v>
      </c>
      <c r="AI186" s="22"/>
      <c r="AJ186" s="22">
        <v>0</v>
      </c>
      <c r="AK186" s="22"/>
      <c r="AL186" s="22"/>
      <c r="AM186" s="22"/>
      <c r="AN186" s="22">
        <v>0</v>
      </c>
      <c r="AO186" s="22"/>
      <c r="AP186" s="22">
        <v>0</v>
      </c>
      <c r="AQ186" s="22"/>
      <c r="AR186" s="22">
        <v>0</v>
      </c>
      <c r="AS186" s="22"/>
      <c r="AT186" s="22">
        <v>0</v>
      </c>
      <c r="AU186" s="22"/>
      <c r="AV186" s="22">
        <v>0</v>
      </c>
      <c r="AW186" s="22"/>
      <c r="AX186" s="22">
        <v>0</v>
      </c>
      <c r="AY186" s="22"/>
      <c r="AZ186" s="22">
        <v>0</v>
      </c>
      <c r="BA186" s="22"/>
      <c r="BB186" s="22">
        <v>0</v>
      </c>
      <c r="BC186" s="22"/>
      <c r="BD186" s="22">
        <v>0</v>
      </c>
      <c r="BE186" s="22"/>
      <c r="BF186" s="22">
        <v>0</v>
      </c>
      <c r="BG186" s="22"/>
      <c r="BH186" s="22">
        <v>0</v>
      </c>
      <c r="BI186" s="22"/>
      <c r="BJ186" s="22">
        <v>0</v>
      </c>
      <c r="BK186" s="22"/>
      <c r="BL186" s="22">
        <v>0</v>
      </c>
      <c r="BM186" s="22"/>
      <c r="BN186" s="22">
        <f>SUM(T186:BM186)</f>
        <v>0</v>
      </c>
      <c r="BO186" s="22"/>
      <c r="BP186" s="22">
        <v>0</v>
      </c>
      <c r="BQ186" s="22"/>
      <c r="BR186" s="22">
        <f>+R186-BN186+BP186</f>
        <v>0</v>
      </c>
      <c r="BS186" s="22"/>
      <c r="BT186" s="6">
        <f>+BN186+BR186</f>
        <v>0</v>
      </c>
      <c r="BU186" s="22"/>
      <c r="BV186" s="6">
        <f>+R186-BT186</f>
        <v>0</v>
      </c>
      <c r="BW186" s="22"/>
    </row>
    <row r="187" spans="1:75" s="15" customFormat="1">
      <c r="A187" s="14"/>
      <c r="B187" s="60" t="s">
        <v>290</v>
      </c>
      <c r="C187"/>
      <c r="D187"/>
      <c r="E187"/>
      <c r="F187"/>
      <c r="G187"/>
      <c r="H187"/>
      <c r="I187"/>
      <c r="J187" s="49"/>
      <c r="K187"/>
      <c r="L187" s="134" t="s">
        <v>202</v>
      </c>
      <c r="M187" s="22"/>
      <c r="N187" s="22">
        <v>0</v>
      </c>
      <c r="O187" s="22"/>
      <c r="P187" s="22">
        <v>0</v>
      </c>
      <c r="Q187" s="22"/>
      <c r="R187" s="6">
        <v>500000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6">
        <f>IF(+R187-BN187+BP187&gt;0,R187-BN187+BP187,0)</f>
        <v>500000</v>
      </c>
      <c r="BS187" s="22"/>
      <c r="BT187" s="6">
        <f>+BN187+BR187</f>
        <v>500000</v>
      </c>
      <c r="BU187" s="22"/>
      <c r="BV187" s="6">
        <f>+R187-BT187</f>
        <v>0</v>
      </c>
      <c r="BW187" s="22"/>
    </row>
    <row r="188" spans="1:75" s="15" customFormat="1" hidden="1">
      <c r="A188" s="14"/>
      <c r="B188" s="60" t="s">
        <v>121</v>
      </c>
      <c r="C188"/>
      <c r="D188"/>
      <c r="E188"/>
      <c r="F188"/>
      <c r="G188"/>
      <c r="H188"/>
      <c r="I188"/>
      <c r="J188" s="49"/>
      <c r="K188"/>
      <c r="L188" s="134" t="s">
        <v>202</v>
      </c>
      <c r="M188" s="22"/>
      <c r="N188" s="22">
        <v>0</v>
      </c>
      <c r="O188" s="22"/>
      <c r="P188" s="22">
        <v>0</v>
      </c>
      <c r="Q188" s="22"/>
      <c r="R188" s="6">
        <v>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22">
        <f>+R188-BN188+BP188</f>
        <v>0</v>
      </c>
      <c r="BS188" s="22"/>
      <c r="BT188" s="6">
        <f>+BN188+BR188</f>
        <v>0</v>
      </c>
      <c r="BU188" s="22"/>
      <c r="BV188" s="6">
        <f>+R188-BT188</f>
        <v>0</v>
      </c>
      <c r="BW188" s="22"/>
    </row>
    <row r="189" spans="1:75" s="104" customFormat="1">
      <c r="A189" s="111"/>
      <c r="B189" s="77" t="s">
        <v>181</v>
      </c>
      <c r="C189" s="21"/>
      <c r="D189" s="21"/>
      <c r="E189" s="21"/>
      <c r="F189" s="21"/>
      <c r="G189" s="21"/>
      <c r="H189" s="21"/>
      <c r="I189" s="21"/>
      <c r="J189" s="8"/>
      <c r="K189" s="21"/>
      <c r="L189" s="143"/>
      <c r="M189" s="16"/>
      <c r="N189" s="108">
        <f>SUM(N186:N188)</f>
        <v>0</v>
      </c>
      <c r="O189" s="16"/>
      <c r="P189" s="108">
        <f>SUM(P186:P188)</f>
        <v>0</v>
      </c>
      <c r="Q189" s="16"/>
      <c r="R189" s="108">
        <f>SUM(R186:R188)</f>
        <v>500000</v>
      </c>
      <c r="S189" s="16"/>
      <c r="T189" s="108">
        <f>SUM(T186:T188)</f>
        <v>0</v>
      </c>
      <c r="U189" s="16"/>
      <c r="V189" s="108">
        <f>SUM(V186:V188)</f>
        <v>0</v>
      </c>
      <c r="W189" s="16"/>
      <c r="X189" s="108">
        <f>SUM(X186:X188)</f>
        <v>0</v>
      </c>
      <c r="Y189" s="16"/>
      <c r="Z189" s="108">
        <f>SUM(Z186:Z188)</f>
        <v>0</v>
      </c>
      <c r="AA189" s="16"/>
      <c r="AB189" s="108">
        <f>SUM(AB186:AB188)</f>
        <v>0</v>
      </c>
      <c r="AC189" s="16"/>
      <c r="AD189" s="108">
        <f>SUM(AD186:AD188)</f>
        <v>0</v>
      </c>
      <c r="AE189" s="16"/>
      <c r="AF189" s="108">
        <f>SUM(AF186:AF188)</f>
        <v>0</v>
      </c>
      <c r="AG189" s="16"/>
      <c r="AH189" s="108">
        <f>SUM(AH186:AH188)</f>
        <v>0</v>
      </c>
      <c r="AI189" s="16"/>
      <c r="AJ189" s="108">
        <f>SUM(AJ186:AJ188)</f>
        <v>0</v>
      </c>
      <c r="AK189" s="16"/>
      <c r="AL189" s="108">
        <f>SUM(AL186:AL188)</f>
        <v>0</v>
      </c>
      <c r="AM189" s="108"/>
      <c r="AN189" s="108">
        <f>SUM(AN186:AN188)</f>
        <v>0</v>
      </c>
      <c r="AO189" s="16"/>
      <c r="AP189" s="108">
        <f>SUM(AP186:AP188)</f>
        <v>0</v>
      </c>
      <c r="AQ189" s="16"/>
      <c r="AR189" s="108">
        <f>SUM(AR186:AR188)</f>
        <v>0</v>
      </c>
      <c r="AS189" s="16"/>
      <c r="AT189" s="108">
        <f>SUM(AT186:AT188)</f>
        <v>0</v>
      </c>
      <c r="AU189" s="16"/>
      <c r="AV189" s="108">
        <f>SUM(AV186:AV188)</f>
        <v>0</v>
      </c>
      <c r="AW189" s="103"/>
      <c r="AX189" s="108">
        <f>SUM(AX186:AX188)</f>
        <v>0</v>
      </c>
      <c r="AY189" s="103"/>
      <c r="AZ189" s="108">
        <f>SUM(AZ186:AZ188)</f>
        <v>0</v>
      </c>
      <c r="BA189" s="103"/>
      <c r="BB189" s="108">
        <f>SUM(BB186:BB188)</f>
        <v>0</v>
      </c>
      <c r="BC189" s="103"/>
      <c r="BD189" s="108">
        <f>SUM(BD186:BD188)</f>
        <v>0</v>
      </c>
      <c r="BE189" s="103"/>
      <c r="BF189" s="108">
        <f>SUM(BF186:BF188)</f>
        <v>0</v>
      </c>
      <c r="BG189" s="103"/>
      <c r="BH189" s="108">
        <f>SUM(BH186:BH188)</f>
        <v>0</v>
      </c>
      <c r="BI189" s="103"/>
      <c r="BJ189" s="108">
        <f>SUM(BJ186:BJ188)</f>
        <v>0</v>
      </c>
      <c r="BK189" s="103"/>
      <c r="BL189" s="108">
        <f>SUM(BL186:BL188)</f>
        <v>0</v>
      </c>
      <c r="BM189" s="16"/>
      <c r="BN189" s="108">
        <f>SUM(BN186:BN188)</f>
        <v>0</v>
      </c>
      <c r="BO189" s="16"/>
      <c r="BP189" s="108">
        <f>SUM(BP186:BP188)</f>
        <v>0</v>
      </c>
      <c r="BQ189" s="16"/>
      <c r="BR189" s="108">
        <f>SUM(BR186:BR188)</f>
        <v>500000</v>
      </c>
      <c r="BS189" s="16"/>
      <c r="BT189" s="108">
        <f>SUM(BT186:BT188)</f>
        <v>500000</v>
      </c>
      <c r="BU189" s="16"/>
      <c r="BV189" s="108">
        <f>SUM(BV186:BV188)</f>
        <v>0</v>
      </c>
      <c r="BW189" s="16"/>
    </row>
    <row r="190" spans="1:75" s="104" customFormat="1">
      <c r="A190" s="32"/>
      <c r="B190" s="77"/>
      <c r="C190" s="21"/>
      <c r="D190" s="21"/>
      <c r="E190" s="21"/>
      <c r="F190" s="21"/>
      <c r="G190" s="21"/>
      <c r="H190" s="21"/>
      <c r="I190" s="21"/>
      <c r="J190" s="8"/>
      <c r="K190" s="21"/>
      <c r="L190" s="143"/>
      <c r="M190" s="16"/>
      <c r="N190" s="103"/>
      <c r="O190" s="16"/>
      <c r="P190" s="103"/>
      <c r="Q190" s="16"/>
      <c r="R190" s="103"/>
      <c r="S190" s="16"/>
      <c r="T190" s="103"/>
      <c r="U190" s="16"/>
      <c r="V190" s="103"/>
      <c r="W190" s="16"/>
      <c r="X190" s="103"/>
      <c r="Y190" s="16"/>
      <c r="Z190" s="103"/>
      <c r="AA190" s="16"/>
      <c r="AB190" s="103"/>
      <c r="AC190" s="16"/>
      <c r="AD190" s="103"/>
      <c r="AE190" s="16"/>
      <c r="AF190" s="103"/>
      <c r="AG190" s="16"/>
      <c r="AH190" s="103"/>
      <c r="AI190" s="16"/>
      <c r="AJ190" s="103"/>
      <c r="AK190" s="16"/>
      <c r="AL190" s="103"/>
      <c r="AM190" s="16"/>
      <c r="AN190" s="103"/>
      <c r="AO190" s="16"/>
      <c r="AP190" s="103"/>
      <c r="AQ190" s="16"/>
      <c r="AR190" s="103"/>
      <c r="AS190" s="16"/>
      <c r="AT190" s="103"/>
      <c r="AU190" s="16"/>
      <c r="AV190" s="103"/>
      <c r="AW190" s="103"/>
      <c r="AX190" s="103"/>
      <c r="AY190" s="103"/>
      <c r="AZ190" s="103"/>
      <c r="BA190" s="103"/>
      <c r="BB190" s="103"/>
      <c r="BC190" s="103"/>
      <c r="BD190" s="103"/>
      <c r="BE190" s="103"/>
      <c r="BF190" s="103"/>
      <c r="BG190" s="103"/>
      <c r="BH190" s="103"/>
      <c r="BI190" s="103"/>
      <c r="BJ190" s="103"/>
      <c r="BK190" s="103"/>
      <c r="BL190" s="103"/>
      <c r="BM190" s="16"/>
      <c r="BN190" s="103"/>
      <c r="BO190" s="16"/>
      <c r="BP190" s="103"/>
      <c r="BQ190" s="16"/>
      <c r="BR190" s="103"/>
      <c r="BS190" s="16"/>
      <c r="BT190" s="103"/>
      <c r="BU190" s="16"/>
      <c r="BV190" s="103"/>
      <c r="BW190" s="16"/>
    </row>
    <row r="191" spans="1:75" s="31" customFormat="1">
      <c r="A191" s="58" t="s">
        <v>31</v>
      </c>
      <c r="J191" s="159"/>
      <c r="L191" s="145" t="s">
        <v>202</v>
      </c>
      <c r="M191" s="10"/>
      <c r="N191" s="10">
        <v>0</v>
      </c>
      <c r="O191" s="10"/>
      <c r="P191" s="10">
        <v>0</v>
      </c>
      <c r="Q191" s="10"/>
      <c r="R191" s="9">
        <v>200000</v>
      </c>
      <c r="S191" s="10"/>
      <c r="T191" s="10">
        <v>0</v>
      </c>
      <c r="U191" s="10"/>
      <c r="V191" s="10">
        <v>0</v>
      </c>
      <c r="W191" s="10"/>
      <c r="X191" s="10">
        <v>0</v>
      </c>
      <c r="Y191" s="10"/>
      <c r="Z191" s="10">
        <v>0</v>
      </c>
      <c r="AA191" s="10"/>
      <c r="AB191" s="10">
        <v>0</v>
      </c>
      <c r="AC191" s="10"/>
      <c r="AD191" s="10">
        <v>0</v>
      </c>
      <c r="AE191" s="10"/>
      <c r="AF191" s="10">
        <v>0</v>
      </c>
      <c r="AG191" s="10"/>
      <c r="AH191" s="10">
        <v>0</v>
      </c>
      <c r="AI191" s="10"/>
      <c r="AJ191" s="10">
        <v>0</v>
      </c>
      <c r="AK191" s="10"/>
      <c r="AL191" s="10"/>
      <c r="AM191" s="10"/>
      <c r="AN191" s="10">
        <v>0</v>
      </c>
      <c r="AO191" s="10"/>
      <c r="AP191" s="10">
        <v>0</v>
      </c>
      <c r="AQ191" s="10"/>
      <c r="AR191" s="10">
        <v>0</v>
      </c>
      <c r="AS191" s="10"/>
      <c r="AT191" s="10">
        <v>200935.25</v>
      </c>
      <c r="AU191" s="10"/>
      <c r="AV191" s="10">
        <v>0</v>
      </c>
      <c r="AW191" s="10"/>
      <c r="AX191" s="10">
        <v>0</v>
      </c>
      <c r="AY191" s="10"/>
      <c r="AZ191" s="10">
        <v>0</v>
      </c>
      <c r="BA191" s="10"/>
      <c r="BB191" s="10">
        <v>0</v>
      </c>
      <c r="BC191" s="10"/>
      <c r="BD191" s="10">
        <v>0</v>
      </c>
      <c r="BE191" s="10"/>
      <c r="BF191" s="10">
        <v>0</v>
      </c>
      <c r="BG191" s="10"/>
      <c r="BH191" s="10">
        <v>0</v>
      </c>
      <c r="BI191" s="10"/>
      <c r="BJ191" s="10">
        <v>0</v>
      </c>
      <c r="BK191" s="10"/>
      <c r="BL191" s="10">
        <v>0</v>
      </c>
      <c r="BM191" s="10"/>
      <c r="BN191" s="10">
        <f>SUM(T191:BM191)</f>
        <v>200935.25</v>
      </c>
      <c r="BO191" s="10"/>
      <c r="BP191" s="10">
        <v>0</v>
      </c>
      <c r="BQ191" s="10"/>
      <c r="BR191" s="6">
        <f>IF(+R191-BN191+BP191&gt;0,R191-BN191+BP191,0)</f>
        <v>0</v>
      </c>
      <c r="BS191" s="10"/>
      <c r="BT191" s="9">
        <f>+BN191+BR191</f>
        <v>200935.25</v>
      </c>
      <c r="BU191" s="10"/>
      <c r="BV191" s="9">
        <f>+R191-BT191</f>
        <v>-935.25</v>
      </c>
      <c r="BW191" s="10"/>
    </row>
    <row r="192" spans="1:75" s="15" customFormat="1">
      <c r="A192" s="14"/>
      <c r="B192" s="60"/>
      <c r="C192"/>
      <c r="D192"/>
      <c r="E192"/>
      <c r="F192"/>
      <c r="G192"/>
      <c r="H192"/>
      <c r="I192"/>
      <c r="J192" s="49"/>
      <c r="K192"/>
      <c r="L192" s="134"/>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row>
    <row r="193" spans="1:124" s="31" customFormat="1">
      <c r="A193" s="58" t="s">
        <v>32</v>
      </c>
      <c r="J193" s="159"/>
      <c r="L193" s="145" t="s">
        <v>202</v>
      </c>
      <c r="M193" s="10"/>
      <c r="N193" s="10">
        <v>0</v>
      </c>
      <c r="O193" s="10"/>
      <c r="P193" s="10">
        <v>0</v>
      </c>
      <c r="Q193" s="10"/>
      <c r="R193" s="9">
        <v>200000</v>
      </c>
      <c r="S193" s="10"/>
      <c r="T193" s="10">
        <v>0</v>
      </c>
      <c r="U193" s="10"/>
      <c r="V193" s="10">
        <v>0</v>
      </c>
      <c r="W193" s="10"/>
      <c r="X193" s="10"/>
      <c r="Y193" s="10"/>
      <c r="Z193" s="10">
        <v>0</v>
      </c>
      <c r="AA193" s="10"/>
      <c r="AB193" s="10">
        <v>0</v>
      </c>
      <c r="AC193" s="10"/>
      <c r="AD193" s="10">
        <v>0</v>
      </c>
      <c r="AE193" s="10"/>
      <c r="AF193" s="10">
        <v>0</v>
      </c>
      <c r="AG193" s="10"/>
      <c r="AH193" s="10">
        <v>0</v>
      </c>
      <c r="AI193" s="10"/>
      <c r="AJ193" s="10">
        <v>0</v>
      </c>
      <c r="AK193" s="10"/>
      <c r="AL193" s="10">
        <f>33713.4+18457</f>
        <v>52170.400000000001</v>
      </c>
      <c r="AM193" s="10"/>
      <c r="AN193" s="10">
        <v>2851</v>
      </c>
      <c r="AO193" s="10"/>
      <c r="AP193" s="10">
        <v>0</v>
      </c>
      <c r="AQ193" s="10"/>
      <c r="AR193" s="10">
        <v>0</v>
      </c>
      <c r="AS193" s="10"/>
      <c r="AT193" s="10">
        <v>0</v>
      </c>
      <c r="AU193" s="10"/>
      <c r="AV193" s="10">
        <v>1755.4</v>
      </c>
      <c r="AW193" s="10"/>
      <c r="AX193" s="10">
        <v>28687.68</v>
      </c>
      <c r="AY193" s="10"/>
      <c r="AZ193" s="10">
        <v>12673.78</v>
      </c>
      <c r="BA193" s="10"/>
      <c r="BB193" s="10">
        <v>0</v>
      </c>
      <c r="BC193" s="10"/>
      <c r="BD193" s="10">
        <v>0</v>
      </c>
      <c r="BE193" s="10"/>
      <c r="BF193" s="10">
        <v>0</v>
      </c>
      <c r="BG193" s="10"/>
      <c r="BH193" s="10">
        <v>0</v>
      </c>
      <c r="BI193" s="10"/>
      <c r="BJ193" s="10">
        <v>0</v>
      </c>
      <c r="BK193" s="10"/>
      <c r="BL193" s="10">
        <v>0</v>
      </c>
      <c r="BM193" s="10"/>
      <c r="BN193" s="10">
        <f>SUM(T193:BM193)</f>
        <v>98138.260000000009</v>
      </c>
      <c r="BO193" s="10"/>
      <c r="BP193" s="10">
        <v>0</v>
      </c>
      <c r="BQ193" s="10"/>
      <c r="BR193" s="6">
        <f>IF(+R193-BN193+BP193&gt;0,R193-BN193+BP193,0)</f>
        <v>101861.73999999999</v>
      </c>
      <c r="BS193" s="10"/>
      <c r="BT193" s="9">
        <f>+BN193+BR193</f>
        <v>200000</v>
      </c>
      <c r="BU193" s="10"/>
      <c r="BV193" s="9">
        <f>+R193-BT193</f>
        <v>0</v>
      </c>
      <c r="BW193" s="10"/>
    </row>
    <row r="194" spans="1:124" s="15" customFormat="1">
      <c r="A194" s="14"/>
      <c r="B194" s="60"/>
      <c r="C194"/>
      <c r="D194"/>
      <c r="E194"/>
      <c r="F194"/>
      <c r="G194"/>
      <c r="H194"/>
      <c r="I194"/>
      <c r="J194" s="49"/>
      <c r="K194"/>
      <c r="L194" s="134"/>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row>
    <row r="195" spans="1:124">
      <c r="A195" s="56" t="s">
        <v>33</v>
      </c>
      <c r="B195" s="11"/>
      <c r="C195"/>
      <c r="D195"/>
      <c r="E195"/>
      <c r="F195"/>
      <c r="G195"/>
      <c r="H195"/>
      <c r="I195"/>
      <c r="J195" s="49"/>
      <c r="K195"/>
      <c r="L195" s="134"/>
      <c r="M195" s="6"/>
      <c r="O195" s="6"/>
      <c r="Q195" s="6"/>
      <c r="S195" s="6"/>
      <c r="T195" s="6"/>
      <c r="U195" s="6"/>
      <c r="V195" s="6"/>
      <c r="X195" s="6"/>
      <c r="Z195" s="6"/>
      <c r="AB195" s="6"/>
      <c r="AD195" s="6"/>
      <c r="BL195" s="6"/>
      <c r="BM195" s="6"/>
      <c r="BO195" s="6"/>
      <c r="BP195" s="6"/>
      <c r="BQ195" s="6"/>
      <c r="BW195" s="6"/>
    </row>
    <row r="196" spans="1:124" s="11" customFormat="1">
      <c r="A196" s="17"/>
      <c r="B196" s="11" t="s">
        <v>184</v>
      </c>
      <c r="J196" s="160"/>
      <c r="L196" s="146" t="s">
        <v>203</v>
      </c>
      <c r="M196" s="12"/>
      <c r="N196" s="12">
        <v>200000</v>
      </c>
      <c r="O196" s="12"/>
      <c r="P196" s="12">
        <v>0</v>
      </c>
      <c r="Q196" s="12"/>
      <c r="R196" s="6">
        <v>100000</v>
      </c>
      <c r="S196" s="12"/>
      <c r="T196" s="12">
        <v>0</v>
      </c>
      <c r="U196" s="12"/>
      <c r="V196" s="12"/>
      <c r="W196" s="12"/>
      <c r="X196" s="12"/>
      <c r="Y196" s="12"/>
      <c r="Z196" s="12"/>
      <c r="AA196" s="12"/>
      <c r="AB196" s="12"/>
      <c r="AC196" s="12"/>
      <c r="AD196" s="12"/>
      <c r="AE196" s="12"/>
      <c r="AF196" s="12"/>
      <c r="AG196" s="12"/>
      <c r="AH196" s="12"/>
      <c r="AI196" s="12"/>
      <c r="AJ196" s="12">
        <f>11817+1362.81</f>
        <v>13179.81</v>
      </c>
      <c r="AK196" s="12"/>
      <c r="AL196" s="12"/>
      <c r="AM196" s="12"/>
      <c r="AN196" s="12"/>
      <c r="AO196" s="12"/>
      <c r="AP196" s="12">
        <v>0</v>
      </c>
      <c r="AQ196" s="12"/>
      <c r="AR196" s="12">
        <v>0</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v>0</v>
      </c>
      <c r="BM196" s="12"/>
      <c r="BN196" s="12">
        <f t="shared" ref="BN196:BN201" si="45">SUM(T196:BM196)</f>
        <v>13179.81</v>
      </c>
      <c r="BO196" s="12"/>
      <c r="BP196" s="12">
        <v>0</v>
      </c>
      <c r="BQ196" s="12"/>
      <c r="BR196" s="6">
        <f t="shared" ref="BR196:BR201" si="46">IF(+R196-BN196+BP196&gt;0,R196-BN196+BP196,0)</f>
        <v>86820.19</v>
      </c>
      <c r="BS196" s="12"/>
      <c r="BT196" s="6">
        <f t="shared" ref="BT196:BT201" si="47">+BN196+BR196</f>
        <v>100000</v>
      </c>
      <c r="BU196" s="12"/>
      <c r="BV196" s="6">
        <f t="shared" ref="BV196:BV201" si="48">+R196-BT196</f>
        <v>0</v>
      </c>
      <c r="BW196" s="12"/>
    </row>
    <row r="197" spans="1:124" s="11" customFormat="1">
      <c r="A197" s="17"/>
      <c r="B197" s="11" t="s">
        <v>34</v>
      </c>
      <c r="J197" s="160"/>
      <c r="L197" s="146" t="s">
        <v>203</v>
      </c>
      <c r="M197" s="12"/>
      <c r="N197" s="12">
        <v>0</v>
      </c>
      <c r="O197" s="12"/>
      <c r="P197" s="12">
        <v>50000</v>
      </c>
      <c r="Q197" s="12"/>
      <c r="R197" s="6">
        <v>150000</v>
      </c>
      <c r="S197" s="12"/>
      <c r="T197" s="12">
        <v>0</v>
      </c>
      <c r="U197" s="12"/>
      <c r="V197" s="12"/>
      <c r="W197" s="12"/>
      <c r="X197" s="12"/>
      <c r="Y197" s="12"/>
      <c r="Z197" s="12"/>
      <c r="AA197" s="12"/>
      <c r="AB197" s="12"/>
      <c r="AC197" s="12"/>
      <c r="AD197" s="12"/>
      <c r="AE197" s="12"/>
      <c r="AF197" s="12"/>
      <c r="AG197" s="12"/>
      <c r="AH197" s="12"/>
      <c r="AI197" s="12"/>
      <c r="AJ197" s="12"/>
      <c r="AK197" s="12"/>
      <c r="AL197" s="12">
        <v>67146.100000000006</v>
      </c>
      <c r="AM197" s="12"/>
      <c r="AN197" s="12">
        <v>2410.5100000000002</v>
      </c>
      <c r="AO197" s="12"/>
      <c r="AP197" s="12">
        <v>7333.62</v>
      </c>
      <c r="AQ197" s="12"/>
      <c r="AR197" s="12">
        <v>10298.6</v>
      </c>
      <c r="AS197" s="12"/>
      <c r="AT197" s="12">
        <f>9260.96+1975.58</f>
        <v>11236.539999999999</v>
      </c>
      <c r="AU197" s="12"/>
      <c r="AV197" s="12">
        <f>1851.11</f>
        <v>1851.11</v>
      </c>
      <c r="AW197" s="12"/>
      <c r="AX197" s="12">
        <v>628.05999999999995</v>
      </c>
      <c r="AY197" s="12"/>
      <c r="AZ197" s="12">
        <v>0</v>
      </c>
      <c r="BA197" s="12"/>
      <c r="BB197" s="12">
        <v>0</v>
      </c>
      <c r="BC197" s="12"/>
      <c r="BD197" s="12">
        <v>0</v>
      </c>
      <c r="BE197" s="12"/>
      <c r="BF197" s="12">
        <v>0</v>
      </c>
      <c r="BG197" s="12"/>
      <c r="BH197" s="12">
        <v>0</v>
      </c>
      <c r="BI197" s="12"/>
      <c r="BJ197" s="12">
        <v>0</v>
      </c>
      <c r="BK197" s="12"/>
      <c r="BL197" s="12">
        <v>0</v>
      </c>
      <c r="BM197" s="12"/>
      <c r="BN197" s="12">
        <f t="shared" si="45"/>
        <v>100904.54</v>
      </c>
      <c r="BO197" s="12"/>
      <c r="BP197" s="12">
        <v>0</v>
      </c>
      <c r="BQ197" s="12"/>
      <c r="BR197" s="6">
        <f t="shared" si="46"/>
        <v>49095.460000000006</v>
      </c>
      <c r="BS197" s="12"/>
      <c r="BT197" s="6">
        <f t="shared" si="47"/>
        <v>150000</v>
      </c>
      <c r="BU197" s="12"/>
      <c r="BV197" s="6">
        <f t="shared" si="48"/>
        <v>0</v>
      </c>
      <c r="BW197" s="12"/>
    </row>
    <row r="198" spans="1:124" s="11" customFormat="1">
      <c r="A198" s="17"/>
      <c r="B198" s="11" t="s">
        <v>217</v>
      </c>
      <c r="J198" s="160"/>
      <c r="L198" s="146" t="s">
        <v>203</v>
      </c>
      <c r="M198" s="12"/>
      <c r="N198" s="12">
        <v>0</v>
      </c>
      <c r="O198" s="12"/>
      <c r="P198" s="12">
        <v>24235</v>
      </c>
      <c r="Q198" s="12"/>
      <c r="R198" s="6">
        <f>+N198+P198</f>
        <v>24235</v>
      </c>
      <c r="S198" s="12"/>
      <c r="T198" s="12">
        <v>0</v>
      </c>
      <c r="U198" s="12"/>
      <c r="V198" s="12"/>
      <c r="W198" s="12"/>
      <c r="X198" s="12"/>
      <c r="Y198" s="12"/>
      <c r="Z198" s="12"/>
      <c r="AA198" s="12"/>
      <c r="AB198" s="12"/>
      <c r="AC198" s="12"/>
      <c r="AD198" s="12"/>
      <c r="AE198" s="12"/>
      <c r="AF198" s="12"/>
      <c r="AG198" s="12"/>
      <c r="AH198" s="12"/>
      <c r="AI198" s="12"/>
      <c r="AJ198" s="12"/>
      <c r="AK198" s="12"/>
      <c r="AL198" s="12">
        <v>17043.53</v>
      </c>
      <c r="AM198" s="12"/>
      <c r="AN198" s="12">
        <v>0</v>
      </c>
      <c r="AO198" s="12"/>
      <c r="AP198" s="12">
        <v>0</v>
      </c>
      <c r="AQ198" s="12"/>
      <c r="AR198" s="12">
        <v>0</v>
      </c>
      <c r="AS198" s="12"/>
      <c r="AT198" s="12">
        <v>0</v>
      </c>
      <c r="AU198" s="12"/>
      <c r="AV198" s="12">
        <v>0</v>
      </c>
      <c r="AW198" s="12"/>
      <c r="AX198" s="12">
        <v>0</v>
      </c>
      <c r="AY198" s="12"/>
      <c r="AZ198" s="12">
        <v>0</v>
      </c>
      <c r="BA198" s="12"/>
      <c r="BB198" s="12">
        <v>0</v>
      </c>
      <c r="BC198" s="12"/>
      <c r="BD198" s="12">
        <v>0</v>
      </c>
      <c r="BE198" s="12"/>
      <c r="BF198" s="12">
        <v>0</v>
      </c>
      <c r="BG198" s="12"/>
      <c r="BH198" s="12">
        <v>0</v>
      </c>
      <c r="BI198" s="12"/>
      <c r="BJ198" s="12">
        <v>0</v>
      </c>
      <c r="BK198" s="12"/>
      <c r="BL198" s="12">
        <v>0</v>
      </c>
      <c r="BM198" s="12"/>
      <c r="BN198" s="12">
        <f t="shared" si="45"/>
        <v>17043.53</v>
      </c>
      <c r="BO198" s="12"/>
      <c r="BP198" s="12">
        <v>0</v>
      </c>
      <c r="BQ198" s="12"/>
      <c r="BR198" s="6">
        <f t="shared" si="46"/>
        <v>7191.4700000000012</v>
      </c>
      <c r="BS198" s="12"/>
      <c r="BT198" s="6">
        <f t="shared" si="47"/>
        <v>24235</v>
      </c>
      <c r="BU198" s="12"/>
      <c r="BV198" s="6">
        <f t="shared" si="48"/>
        <v>0</v>
      </c>
      <c r="BW198" s="12"/>
    </row>
    <row r="199" spans="1:124" s="11" customFormat="1">
      <c r="A199" s="17"/>
      <c r="B199" s="11" t="s">
        <v>121</v>
      </c>
      <c r="J199" s="160"/>
      <c r="L199" s="146" t="s">
        <v>203</v>
      </c>
      <c r="M199" s="12"/>
      <c r="N199" s="12">
        <v>400000</v>
      </c>
      <c r="O199" s="12"/>
      <c r="P199" s="12">
        <f>49065-N199-6000</f>
        <v>-356935</v>
      </c>
      <c r="Q199" s="12"/>
      <c r="R199" s="6">
        <f>43065+82700</f>
        <v>125765</v>
      </c>
      <c r="S199" s="12"/>
      <c r="T199" s="12">
        <v>0</v>
      </c>
      <c r="U199" s="12"/>
      <c r="V199" s="12"/>
      <c r="W199" s="12"/>
      <c r="X199" s="12"/>
      <c r="Y199" s="12"/>
      <c r="Z199" s="12"/>
      <c r="AA199" s="12"/>
      <c r="AB199" s="12"/>
      <c r="AC199" s="12"/>
      <c r="AD199" s="12"/>
      <c r="AE199" s="12"/>
      <c r="AF199" s="12"/>
      <c r="AG199" s="12"/>
      <c r="AH199" s="12"/>
      <c r="AI199" s="12"/>
      <c r="AJ199" s="12">
        <v>5904</v>
      </c>
      <c r="AK199" s="12"/>
      <c r="AL199" s="12">
        <v>2286</v>
      </c>
      <c r="AM199" s="12"/>
      <c r="AN199" s="12"/>
      <c r="AO199" s="12"/>
      <c r="AP199" s="12">
        <v>11540.01</v>
      </c>
      <c r="AQ199" s="12"/>
      <c r="AR199" s="12">
        <f>19587.28</f>
        <v>19587.28</v>
      </c>
      <c r="AS199" s="12"/>
      <c r="AT199" s="12">
        <f>25566.56+6171+2683.37</f>
        <v>34420.93</v>
      </c>
      <c r="AU199" s="12"/>
      <c r="AV199" s="12">
        <f>28832.7+49463.67+9600</f>
        <v>87896.37</v>
      </c>
      <c r="AW199" s="12"/>
      <c r="AX199" s="12">
        <v>28768.799999999999</v>
      </c>
      <c r="AY199" s="12"/>
      <c r="AZ199" s="12">
        <v>44082.48</v>
      </c>
      <c r="BA199" s="12"/>
      <c r="BB199" s="12">
        <v>165168</v>
      </c>
      <c r="BC199" s="12"/>
      <c r="BD199" s="12">
        <v>0</v>
      </c>
      <c r="BE199" s="12"/>
      <c r="BF199" s="12">
        <v>0</v>
      </c>
      <c r="BG199" s="12"/>
      <c r="BH199" s="12">
        <v>0</v>
      </c>
      <c r="BI199" s="12"/>
      <c r="BJ199" s="12">
        <v>0</v>
      </c>
      <c r="BK199" s="12"/>
      <c r="BL199" s="12">
        <v>0</v>
      </c>
      <c r="BM199" s="12"/>
      <c r="BN199" s="12">
        <f t="shared" si="45"/>
        <v>399653.87</v>
      </c>
      <c r="BO199" s="12"/>
      <c r="BP199" s="12">
        <v>0</v>
      </c>
      <c r="BQ199" s="12"/>
      <c r="BR199" s="6">
        <f t="shared" si="46"/>
        <v>0</v>
      </c>
      <c r="BS199" s="12"/>
      <c r="BT199" s="6">
        <f t="shared" si="47"/>
        <v>399653.87</v>
      </c>
      <c r="BU199" s="12"/>
      <c r="BV199" s="6">
        <f t="shared" si="48"/>
        <v>-273888.87</v>
      </c>
      <c r="BW199" s="12"/>
    </row>
    <row r="200" spans="1:124" s="11" customFormat="1">
      <c r="A200" s="17"/>
      <c r="B200" s="11" t="s">
        <v>441</v>
      </c>
      <c r="J200" s="160"/>
      <c r="L200" s="146"/>
      <c r="M200" s="12"/>
      <c r="N200" s="12"/>
      <c r="O200" s="12"/>
      <c r="P200" s="12"/>
      <c r="Q200" s="12"/>
      <c r="R200" s="6"/>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v>83333.33</v>
      </c>
      <c r="AS200" s="12"/>
      <c r="AT200" s="12">
        <f>25346.24+82333.33</f>
        <v>107679.57</v>
      </c>
      <c r="AU200" s="12"/>
      <c r="AV200" s="12"/>
      <c r="AW200" s="12"/>
      <c r="AX200" s="12"/>
      <c r="AY200" s="12"/>
      <c r="AZ200" s="12"/>
      <c r="BA200" s="12"/>
      <c r="BB200" s="12"/>
      <c r="BC200" s="12"/>
      <c r="BD200" s="12"/>
      <c r="BE200" s="12"/>
      <c r="BF200" s="12"/>
      <c r="BG200" s="12"/>
      <c r="BH200" s="12"/>
      <c r="BI200" s="12"/>
      <c r="BJ200" s="12"/>
      <c r="BK200" s="12"/>
      <c r="BL200" s="12"/>
      <c r="BM200" s="12"/>
      <c r="BN200" s="12">
        <f t="shared" si="45"/>
        <v>191012.90000000002</v>
      </c>
      <c r="BO200" s="12"/>
      <c r="BP200" s="12"/>
      <c r="BQ200" s="12"/>
      <c r="BR200" s="6">
        <f t="shared" si="46"/>
        <v>0</v>
      </c>
      <c r="BS200" s="12"/>
      <c r="BT200" s="6">
        <f t="shared" si="47"/>
        <v>191012.90000000002</v>
      </c>
      <c r="BU200" s="12"/>
      <c r="BV200" s="6">
        <f t="shared" si="48"/>
        <v>-191012.90000000002</v>
      </c>
      <c r="BW200" s="12"/>
    </row>
    <row r="201" spans="1:124" s="11" customFormat="1">
      <c r="A201" s="17"/>
      <c r="B201" s="11" t="s">
        <v>282</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v>32203.279999999999</v>
      </c>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f t="shared" si="45"/>
        <v>32203.279999999999</v>
      </c>
      <c r="BO201" s="12"/>
      <c r="BP201" s="12">
        <v>0</v>
      </c>
      <c r="BQ201" s="12"/>
      <c r="BR201" s="6">
        <f t="shared" si="46"/>
        <v>0</v>
      </c>
      <c r="BS201" s="12"/>
      <c r="BT201" s="6">
        <f t="shared" si="47"/>
        <v>32203.279999999999</v>
      </c>
      <c r="BU201" s="12"/>
      <c r="BV201" s="6">
        <f t="shared" si="48"/>
        <v>-32203.279999999999</v>
      </c>
      <c r="BW201" s="12"/>
    </row>
    <row r="202" spans="1:124" s="21" customFormat="1">
      <c r="A202" s="56"/>
      <c r="B202" s="31" t="s">
        <v>40</v>
      </c>
      <c r="J202" s="8"/>
      <c r="L202" s="143"/>
      <c r="M202" s="9"/>
      <c r="N202" s="102">
        <f>SUM(N196:N199)</f>
        <v>600000</v>
      </c>
      <c r="O202" s="9"/>
      <c r="P202" s="102">
        <f>SUM(P196:P199)</f>
        <v>-282700</v>
      </c>
      <c r="Q202" s="9"/>
      <c r="R202" s="102">
        <f t="shared" ref="R202:BW202" si="49">SUM(R196:R201)</f>
        <v>400000</v>
      </c>
      <c r="S202" s="102">
        <f t="shared" si="49"/>
        <v>0</v>
      </c>
      <c r="T202" s="102">
        <f t="shared" si="49"/>
        <v>0</v>
      </c>
      <c r="U202" s="102">
        <f t="shared" si="49"/>
        <v>0</v>
      </c>
      <c r="V202" s="102">
        <f t="shared" si="49"/>
        <v>0</v>
      </c>
      <c r="W202" s="102">
        <f t="shared" si="49"/>
        <v>0</v>
      </c>
      <c r="X202" s="102">
        <f t="shared" si="49"/>
        <v>0</v>
      </c>
      <c r="Y202" s="102">
        <f t="shared" si="49"/>
        <v>0</v>
      </c>
      <c r="Z202" s="102">
        <f t="shared" si="49"/>
        <v>0</v>
      </c>
      <c r="AA202" s="102">
        <f t="shared" si="49"/>
        <v>0</v>
      </c>
      <c r="AB202" s="102">
        <f t="shared" si="49"/>
        <v>0</v>
      </c>
      <c r="AC202" s="102">
        <f t="shared" si="49"/>
        <v>0</v>
      </c>
      <c r="AD202" s="102">
        <f t="shared" si="49"/>
        <v>0</v>
      </c>
      <c r="AE202" s="102">
        <f t="shared" si="49"/>
        <v>0</v>
      </c>
      <c r="AF202" s="102">
        <f t="shared" si="49"/>
        <v>0</v>
      </c>
      <c r="AG202" s="102">
        <f t="shared" si="49"/>
        <v>0</v>
      </c>
      <c r="AH202" s="102">
        <f t="shared" si="49"/>
        <v>0</v>
      </c>
      <c r="AI202" s="102"/>
      <c r="AJ202" s="102">
        <f t="shared" si="49"/>
        <v>19083.809999999998</v>
      </c>
      <c r="AK202" s="102"/>
      <c r="AL202" s="102">
        <f t="shared" si="49"/>
        <v>118678.91</v>
      </c>
      <c r="AM202" s="102"/>
      <c r="AN202" s="102">
        <f t="shared" si="49"/>
        <v>2410.5100000000002</v>
      </c>
      <c r="AO202" s="102"/>
      <c r="AP202" s="102">
        <f t="shared" si="49"/>
        <v>18873.63</v>
      </c>
      <c r="AQ202" s="102"/>
      <c r="AR202" s="102">
        <f t="shared" si="49"/>
        <v>113219.20999999999</v>
      </c>
      <c r="AS202" s="102">
        <f t="shared" si="49"/>
        <v>0</v>
      </c>
      <c r="AT202" s="102">
        <f t="shared" si="49"/>
        <v>153337.04</v>
      </c>
      <c r="AU202" s="102">
        <f t="shared" si="49"/>
        <v>0</v>
      </c>
      <c r="AV202" s="102">
        <f t="shared" si="49"/>
        <v>89747.48</v>
      </c>
      <c r="AW202" s="102">
        <f t="shared" si="49"/>
        <v>0</v>
      </c>
      <c r="AX202" s="102">
        <f t="shared" si="49"/>
        <v>29396.86</v>
      </c>
      <c r="AY202" s="102">
        <f t="shared" si="49"/>
        <v>0</v>
      </c>
      <c r="AZ202" s="102">
        <f t="shared" si="49"/>
        <v>44082.48</v>
      </c>
      <c r="BA202" s="102">
        <f t="shared" si="49"/>
        <v>0</v>
      </c>
      <c r="BB202" s="102">
        <f t="shared" si="49"/>
        <v>165168</v>
      </c>
      <c r="BC202" s="102">
        <f t="shared" si="49"/>
        <v>0</v>
      </c>
      <c r="BD202" s="102">
        <f t="shared" si="49"/>
        <v>0</v>
      </c>
      <c r="BE202" s="102">
        <f t="shared" si="49"/>
        <v>0</v>
      </c>
      <c r="BF202" s="102">
        <f t="shared" si="49"/>
        <v>0</v>
      </c>
      <c r="BG202" s="102">
        <f t="shared" si="49"/>
        <v>0</v>
      </c>
      <c r="BH202" s="102">
        <f t="shared" si="49"/>
        <v>0</v>
      </c>
      <c r="BI202" s="102">
        <f t="shared" si="49"/>
        <v>0</v>
      </c>
      <c r="BJ202" s="102">
        <f t="shared" si="49"/>
        <v>0</v>
      </c>
      <c r="BK202" s="102">
        <f t="shared" si="49"/>
        <v>0</v>
      </c>
      <c r="BL202" s="102">
        <f t="shared" si="49"/>
        <v>0</v>
      </c>
      <c r="BM202" s="102">
        <f t="shared" si="49"/>
        <v>0</v>
      </c>
      <c r="BN202" s="102">
        <f t="shared" si="49"/>
        <v>753997.93</v>
      </c>
      <c r="BO202" s="102">
        <f t="shared" si="49"/>
        <v>0</v>
      </c>
      <c r="BP202" s="102">
        <f t="shared" si="49"/>
        <v>0</v>
      </c>
      <c r="BQ202" s="102">
        <f t="shared" si="49"/>
        <v>0</v>
      </c>
      <c r="BR202" s="102">
        <f t="shared" si="49"/>
        <v>143107.12000000002</v>
      </c>
      <c r="BS202" s="102">
        <f t="shared" si="49"/>
        <v>0</v>
      </c>
      <c r="BT202" s="102">
        <f t="shared" si="49"/>
        <v>897105.05</v>
      </c>
      <c r="BU202" s="102">
        <f t="shared" si="49"/>
        <v>0</v>
      </c>
      <c r="BV202" s="102">
        <f t="shared" si="49"/>
        <v>-497105.05000000005</v>
      </c>
      <c r="BW202" s="102">
        <f t="shared" si="49"/>
        <v>0</v>
      </c>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c r="A204" s="56" t="s">
        <v>35</v>
      </c>
      <c r="B204" s="11"/>
      <c r="C204"/>
      <c r="D204"/>
      <c r="E204"/>
      <c r="F204"/>
      <c r="G204"/>
      <c r="H204"/>
      <c r="I204"/>
      <c r="J204" s="49"/>
      <c r="K204"/>
      <c r="L204" s="134"/>
      <c r="M204" s="6"/>
      <c r="O204" s="6"/>
      <c r="Q204" s="6"/>
      <c r="S204" s="6"/>
      <c r="T204" s="6"/>
      <c r="U204" s="12"/>
      <c r="V204" s="6"/>
      <c r="W204" s="12"/>
      <c r="X204" s="6"/>
      <c r="Y204" s="12"/>
      <c r="Z204" s="6"/>
      <c r="AA204" s="12"/>
      <c r="AB204" s="6"/>
      <c r="AC204" s="12"/>
      <c r="AD204" s="6"/>
      <c r="AE204" s="12"/>
      <c r="AG204" s="12"/>
      <c r="AI204" s="12"/>
      <c r="AK204" s="12"/>
      <c r="AM204" s="12"/>
      <c r="AO204" s="12"/>
      <c r="AQ204" s="12"/>
      <c r="AS204" s="12"/>
      <c r="AU204" s="12"/>
      <c r="BL204" s="6"/>
      <c r="BM204" s="6"/>
      <c r="BO204" s="6"/>
      <c r="BP204" s="6"/>
      <c r="BQ204" s="6"/>
      <c r="BW204" s="12"/>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1" customFormat="1">
      <c r="A205" s="17"/>
      <c r="B205" s="11" t="s">
        <v>295</v>
      </c>
      <c r="J205" s="160"/>
      <c r="L205" s="146" t="s">
        <v>203</v>
      </c>
      <c r="M205" s="12"/>
      <c r="N205" s="12">
        <v>0</v>
      </c>
      <c r="O205" s="12"/>
      <c r="P205" s="12">
        <f>300000-5511</f>
        <v>294489</v>
      </c>
      <c r="Q205" s="12"/>
      <c r="R205" s="6">
        <v>500000</v>
      </c>
      <c r="S205" s="12"/>
      <c r="T205" s="12">
        <v>0</v>
      </c>
      <c r="U205" s="12"/>
      <c r="V205" s="12">
        <v>0</v>
      </c>
      <c r="W205" s="12"/>
      <c r="X205" s="12"/>
      <c r="Y205" s="12"/>
      <c r="Z205" s="12"/>
      <c r="AA205" s="12"/>
      <c r="AB205" s="12"/>
      <c r="AC205" s="12"/>
      <c r="AD205" s="12"/>
      <c r="AE205" s="12"/>
      <c r="AF205" s="12"/>
      <c r="AG205" s="12"/>
      <c r="AH205" s="12"/>
      <c r="AI205" s="12"/>
      <c r="AJ205" s="12">
        <v>3543</v>
      </c>
      <c r="AK205" s="12"/>
      <c r="AL205" s="12">
        <v>14302.18</v>
      </c>
      <c r="AM205" s="12"/>
      <c r="AN205" s="12">
        <v>13885.7</v>
      </c>
      <c r="AO205" s="12"/>
      <c r="AP205" s="12">
        <v>27414.720000000001</v>
      </c>
      <c r="AQ205" s="12"/>
      <c r="AR205" s="12">
        <v>13907.58</v>
      </c>
      <c r="AS205" s="12"/>
      <c r="AT205" s="12">
        <f>1560.56+225.31+5848.5</f>
        <v>7634.37</v>
      </c>
      <c r="AU205" s="12"/>
      <c r="AV205" s="12">
        <v>0</v>
      </c>
      <c r="AW205" s="12"/>
      <c r="AX205" s="12">
        <v>0</v>
      </c>
      <c r="AY205" s="12"/>
      <c r="AZ205" s="12">
        <v>0</v>
      </c>
      <c r="BA205" s="12"/>
      <c r="BB205" s="12">
        <v>0</v>
      </c>
      <c r="BC205" s="12"/>
      <c r="BD205" s="12">
        <v>0</v>
      </c>
      <c r="BE205" s="12"/>
      <c r="BF205" s="12">
        <v>0</v>
      </c>
      <c r="BG205" s="12"/>
      <c r="BH205" s="12">
        <v>0</v>
      </c>
      <c r="BI205" s="12"/>
      <c r="BJ205" s="12">
        <v>0</v>
      </c>
      <c r="BK205" s="12"/>
      <c r="BL205" s="12">
        <v>0</v>
      </c>
      <c r="BM205" s="12"/>
      <c r="BN205" s="12">
        <f>SUM(T205:BM205)</f>
        <v>80687.55</v>
      </c>
      <c r="BO205" s="12"/>
      <c r="BP205" s="12">
        <v>0</v>
      </c>
      <c r="BQ205" s="12"/>
      <c r="BR205" s="6">
        <f>IF(+R205-BN205+BP205&gt;0,R205-BN205+BP205,0)</f>
        <v>419312.45</v>
      </c>
      <c r="BS205" s="12"/>
      <c r="BT205" s="6">
        <f>+BN205+BR205</f>
        <v>500000</v>
      </c>
      <c r="BU205" s="12"/>
      <c r="BV205" s="6">
        <f>+R205-BT205</f>
        <v>0</v>
      </c>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450</v>
      </c>
      <c r="J206" s="160"/>
      <c r="L206" s="146" t="s">
        <v>203</v>
      </c>
      <c r="M206" s="12"/>
      <c r="N206" s="12">
        <v>500000</v>
      </c>
      <c r="O206" s="12"/>
      <c r="P206" s="12">
        <f>-300000-10271.2</f>
        <v>-310271.2</v>
      </c>
      <c r="Q206" s="12"/>
      <c r="R206" s="6">
        <v>0</v>
      </c>
      <c r="S206" s="12"/>
      <c r="T206" s="12">
        <v>0</v>
      </c>
      <c r="U206" s="12"/>
      <c r="V206" s="12">
        <v>0</v>
      </c>
      <c r="W206" s="12"/>
      <c r="X206" s="12"/>
      <c r="Y206" s="12"/>
      <c r="Z206" s="12"/>
      <c r="AA206" s="12"/>
      <c r="AB206" s="12"/>
      <c r="AC206" s="12"/>
      <c r="AD206" s="12"/>
      <c r="AE206" s="12"/>
      <c r="AF206" s="12"/>
      <c r="AG206" s="12"/>
      <c r="AH206" s="12"/>
      <c r="AI206" s="12"/>
      <c r="AJ206" s="12"/>
      <c r="AK206" s="12"/>
      <c r="AL206" s="12"/>
      <c r="AM206" s="12"/>
      <c r="AN206" s="12">
        <v>0</v>
      </c>
      <c r="AO206" s="12"/>
      <c r="AP206" s="12">
        <v>0</v>
      </c>
      <c r="AQ206" s="12"/>
      <c r="AR206" s="12">
        <v>0</v>
      </c>
      <c r="AS206" s="12"/>
      <c r="AT206" s="12">
        <f>165893.1+86315.36</f>
        <v>252208.46000000002</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252208.46000000002</v>
      </c>
      <c r="BO206" s="12"/>
      <c r="BP206" s="12">
        <v>0</v>
      </c>
      <c r="BQ206" s="12"/>
      <c r="BR206" s="6">
        <f>IF(+R206-BN206+BP206&gt;0,R206-BN206+BP206,0)</f>
        <v>0</v>
      </c>
      <c r="BS206" s="12"/>
      <c r="BT206" s="6">
        <f>+BN206+BR206</f>
        <v>252208.46000000002</v>
      </c>
      <c r="BU206" s="12"/>
      <c r="BV206" s="6">
        <f>+R206-BT206</f>
        <v>-252208.46000000002</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J207" s="160"/>
      <c r="L207" s="146"/>
      <c r="M207" s="12"/>
      <c r="N207" s="12"/>
      <c r="O207" s="12"/>
      <c r="P207" s="12">
        <v>5511</v>
      </c>
      <c r="Q207" s="12"/>
      <c r="R207" s="6">
        <v>0</v>
      </c>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f>SUM(T207:BM207)</f>
        <v>0</v>
      </c>
      <c r="BO207" s="12"/>
      <c r="BP207" s="12">
        <v>0</v>
      </c>
      <c r="BQ207" s="12"/>
      <c r="BR207" s="6">
        <f>IF(+R207-BN207+BP207&gt;0,R207-BN207+BP207,0)</f>
        <v>0</v>
      </c>
      <c r="BS207" s="12"/>
      <c r="BT207" s="6">
        <f>+BN207+BR207</f>
        <v>0</v>
      </c>
      <c r="BU207" s="12"/>
      <c r="BV207" s="6">
        <f>+R207-BT207</f>
        <v>0</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6"/>
      <c r="B208" s="31" t="s">
        <v>41</v>
      </c>
      <c r="J208" s="8"/>
      <c r="L208" s="143"/>
      <c r="M208" s="9"/>
      <c r="N208" s="102">
        <f>SUM(N205:N207)</f>
        <v>500000</v>
      </c>
      <c r="O208" s="102">
        <f>SUM(O205:O207)</f>
        <v>0</v>
      </c>
      <c r="P208" s="102">
        <f>SUM(P205:P207)</f>
        <v>-10271.200000000012</v>
      </c>
      <c r="Q208" s="102">
        <f>SUM(Q205:Q207)</f>
        <v>0</v>
      </c>
      <c r="R208" s="102">
        <f>SUM(R205:R207)</f>
        <v>500000</v>
      </c>
      <c r="S208" s="9"/>
      <c r="T208" s="102">
        <f>SUM(T205:T207)</f>
        <v>0</v>
      </c>
      <c r="U208" s="9"/>
      <c r="V208" s="102">
        <f>SUM(V205:V207)</f>
        <v>0</v>
      </c>
      <c r="W208" s="9"/>
      <c r="X208" s="102">
        <f>SUM(X205:X207)</f>
        <v>0</v>
      </c>
      <c r="Y208" s="9"/>
      <c r="Z208" s="102">
        <f>SUM(Z205:Z207)</f>
        <v>0</v>
      </c>
      <c r="AA208" s="9"/>
      <c r="AB208" s="102">
        <f>SUM(AB205:AB207)</f>
        <v>0</v>
      </c>
      <c r="AC208" s="9"/>
      <c r="AD208" s="102">
        <f>SUM(AD205:AD207)</f>
        <v>0</v>
      </c>
      <c r="AE208" s="9"/>
      <c r="AF208" s="102">
        <f>SUM(AF205:AF207)</f>
        <v>0</v>
      </c>
      <c r="AG208" s="9"/>
      <c r="AH208" s="102">
        <f>SUM(AH205:AH207)</f>
        <v>0</v>
      </c>
      <c r="AI208" s="9"/>
      <c r="AJ208" s="102">
        <f>SUM(AJ205:AJ207)</f>
        <v>3543</v>
      </c>
      <c r="AK208" s="9"/>
      <c r="AL208" s="102">
        <f>SUM(AL205:AL207)</f>
        <v>14302.18</v>
      </c>
      <c r="AM208" s="102"/>
      <c r="AN208" s="102">
        <f>SUM(AN205:AN207)</f>
        <v>13885.7</v>
      </c>
      <c r="AO208" s="9"/>
      <c r="AP208" s="102">
        <f>SUM(AP205:AP207)</f>
        <v>27414.720000000001</v>
      </c>
      <c r="AQ208" s="9"/>
      <c r="AR208" s="102">
        <f>SUM(AR205:AR207)</f>
        <v>13907.58</v>
      </c>
      <c r="AS208" s="9"/>
      <c r="AT208" s="102">
        <f>SUM(AT205:AT207)</f>
        <v>259842.83000000002</v>
      </c>
      <c r="AU208" s="9"/>
      <c r="AV208" s="102">
        <f>SUM(AV205:AV207)</f>
        <v>0</v>
      </c>
      <c r="AW208" s="10"/>
      <c r="AX208" s="102">
        <f>SUM(AX205:AX207)</f>
        <v>0</v>
      </c>
      <c r="AY208" s="10"/>
      <c r="AZ208" s="102">
        <f>SUM(AZ205:AZ207)</f>
        <v>0</v>
      </c>
      <c r="BA208" s="10"/>
      <c r="BB208" s="102">
        <f>SUM(BB205:BB207)</f>
        <v>0</v>
      </c>
      <c r="BC208" s="10"/>
      <c r="BD208" s="102">
        <f>SUM(BD205:BD207)</f>
        <v>0</v>
      </c>
      <c r="BE208" s="10"/>
      <c r="BF208" s="102">
        <f>SUM(BF205:BF207)</f>
        <v>0</v>
      </c>
      <c r="BG208" s="10"/>
      <c r="BH208" s="102">
        <f>SUM(BH205:BH207)</f>
        <v>0</v>
      </c>
      <c r="BI208" s="10"/>
      <c r="BJ208" s="102">
        <f>SUM(BJ205:BJ207)</f>
        <v>0</v>
      </c>
      <c r="BK208" s="10"/>
      <c r="BL208" s="102">
        <f>SUM(BL205:BL207)</f>
        <v>0</v>
      </c>
      <c r="BM208" s="9"/>
      <c r="BN208" s="102">
        <f>SUM(BN205:BN207)</f>
        <v>332896.01</v>
      </c>
      <c r="BO208" s="9"/>
      <c r="BP208" s="102">
        <f>SUM(BP205:BP207)</f>
        <v>0</v>
      </c>
      <c r="BQ208" s="9"/>
      <c r="BR208" s="102">
        <f>SUM(BR205:BR207)</f>
        <v>419312.45</v>
      </c>
      <c r="BS208" s="9"/>
      <c r="BT208" s="102">
        <f>SUM(BT205:BT207)</f>
        <v>752208.46</v>
      </c>
      <c r="BU208" s="9"/>
      <c r="BV208" s="102">
        <f>SUM(BV205:BV207)</f>
        <v>-252208.46000000002</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8"/>
      <c r="B209" s="31"/>
      <c r="J209" s="8"/>
      <c r="L209" s="143"/>
      <c r="M209" s="9"/>
      <c r="N209" s="10"/>
      <c r="O209" s="10"/>
      <c r="P209" s="10"/>
      <c r="Q209" s="10"/>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31" customFormat="1">
      <c r="A210" s="58" t="s">
        <v>249</v>
      </c>
      <c r="J210" s="159"/>
      <c r="L210" s="145" t="s">
        <v>202</v>
      </c>
      <c r="M210" s="10"/>
      <c r="N210" s="10">
        <v>10922239</v>
      </c>
      <c r="O210" s="10"/>
      <c r="P210" s="10">
        <f>10969926-N210</f>
        <v>47687</v>
      </c>
      <c r="Q210" s="10"/>
      <c r="R210" s="9">
        <v>11340044</v>
      </c>
      <c r="S210" s="10"/>
      <c r="T210" s="10"/>
      <c r="U210" s="10"/>
      <c r="V210" s="10"/>
      <c r="W210" s="10"/>
      <c r="X210" s="10"/>
      <c r="Y210" s="10"/>
      <c r="Z210" s="10"/>
      <c r="AA210" s="10"/>
      <c r="AB210" s="10"/>
      <c r="AC210" s="10"/>
      <c r="AD210" s="10"/>
      <c r="AE210" s="10"/>
      <c r="AF210" s="10"/>
      <c r="AG210" s="10"/>
      <c r="AH210" s="10"/>
      <c r="AI210" s="10"/>
      <c r="AJ210" s="10"/>
      <c r="AK210" s="10"/>
      <c r="AL210" s="10">
        <v>4332940</v>
      </c>
      <c r="AM210" s="10"/>
      <c r="AN210" s="10">
        <f>[2]Gleason!$M$40</f>
        <v>505668.93</v>
      </c>
      <c r="AO210" s="10"/>
      <c r="AP210" s="10">
        <f>[2]Gleason!$N$40</f>
        <v>517447.92267638887</v>
      </c>
      <c r="AQ210" s="10"/>
      <c r="AR210" s="10">
        <f>[2]Gleason!$O$40</f>
        <v>557933.42322977481</v>
      </c>
      <c r="AS210" s="10"/>
      <c r="AT210" s="10">
        <f>[2]Gleason!$P$40</f>
        <v>574337.94527365838</v>
      </c>
      <c r="AU210" s="10"/>
      <c r="AV210" s="10">
        <f>[2]Gleason!$Q$40</f>
        <v>616751.79694111284</v>
      </c>
      <c r="AW210" s="10"/>
      <c r="AX210" s="10">
        <f>[2]Gleason!$R$40</f>
        <v>657673.00806343276</v>
      </c>
      <c r="AY210" s="10"/>
      <c r="AZ210" s="10">
        <f>[2]Gleason!$S$40</f>
        <v>719263.90865433181</v>
      </c>
      <c r="BA210" s="10"/>
      <c r="BB210" s="10">
        <v>0</v>
      </c>
      <c r="BC210" s="10"/>
      <c r="BD210" s="10">
        <v>0</v>
      </c>
      <c r="BE210" s="10"/>
      <c r="BF210" s="10">
        <v>0</v>
      </c>
      <c r="BG210" s="10"/>
      <c r="BH210" s="10">
        <v>0</v>
      </c>
      <c r="BI210" s="10"/>
      <c r="BJ210" s="10">
        <v>0</v>
      </c>
      <c r="BK210" s="10"/>
      <c r="BL210" s="10">
        <v>0</v>
      </c>
      <c r="BM210" s="10"/>
      <c r="BN210" s="10">
        <f>SUM(T210:BM210)</f>
        <v>8482016.9348386992</v>
      </c>
      <c r="BO210" s="10"/>
      <c r="BP210" s="10">
        <v>0</v>
      </c>
      <c r="BQ210" s="10"/>
      <c r="BR210" s="6">
        <f>IF(+R210-BN210+BP210&gt;0,R210-BN210+BP210,0)-R210+[2]Gleason!$Z$40</f>
        <v>2674662.982315775</v>
      </c>
      <c r="BS210" s="10"/>
      <c r="BT210" s="9">
        <f>+BN210+BR210</f>
        <v>11156679.917154474</v>
      </c>
      <c r="BU210" s="10"/>
      <c r="BV210" s="9">
        <f>+R210-BT210</f>
        <v>183364.08284552582</v>
      </c>
      <c r="BW210" s="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105" customFormat="1">
      <c r="A212" s="84" t="s">
        <v>248</v>
      </c>
      <c r="B212" s="54"/>
      <c r="J212" s="158"/>
      <c r="L212" s="144"/>
      <c r="M212" s="13"/>
      <c r="N212" s="120"/>
      <c r="O212" s="13"/>
      <c r="P212" s="120"/>
      <c r="Q212" s="13"/>
      <c r="R212" s="120">
        <f t="shared" ref="R212:AH212" si="50">R210+R202+R193+R191+R189+R183+R159+R149+R142+R140+R138+R136+R134+R208</f>
        <v>17979878</v>
      </c>
      <c r="S212" s="120">
        <f t="shared" si="50"/>
        <v>0</v>
      </c>
      <c r="T212" s="120">
        <f t="shared" si="50"/>
        <v>0</v>
      </c>
      <c r="U212" s="120">
        <f t="shared" si="50"/>
        <v>0</v>
      </c>
      <c r="V212" s="120">
        <f t="shared" si="50"/>
        <v>0</v>
      </c>
      <c r="W212" s="120">
        <f t="shared" si="50"/>
        <v>0</v>
      </c>
      <c r="X212" s="120">
        <f t="shared" si="50"/>
        <v>0</v>
      </c>
      <c r="Y212" s="120">
        <f t="shared" si="50"/>
        <v>0</v>
      </c>
      <c r="Z212" s="120">
        <f t="shared" si="50"/>
        <v>0</v>
      </c>
      <c r="AA212" s="120">
        <f t="shared" si="50"/>
        <v>0</v>
      </c>
      <c r="AB212" s="120">
        <f t="shared" si="50"/>
        <v>0</v>
      </c>
      <c r="AC212" s="120">
        <f t="shared" si="50"/>
        <v>0</v>
      </c>
      <c r="AD212" s="120">
        <f t="shared" si="50"/>
        <v>0</v>
      </c>
      <c r="AE212" s="120">
        <f t="shared" si="50"/>
        <v>0</v>
      </c>
      <c r="AF212" s="120">
        <f t="shared" si="50"/>
        <v>0</v>
      </c>
      <c r="AG212" s="120">
        <f t="shared" si="50"/>
        <v>0</v>
      </c>
      <c r="AH212" s="120">
        <f t="shared" si="50"/>
        <v>0</v>
      </c>
      <c r="AI212" s="120"/>
      <c r="AJ212" s="120">
        <f>AJ210+AJ202+AJ193+AJ191+AJ189+AJ183+AJ159+AJ149+AJ142+AJ140+AJ138+AJ136+AJ134+AJ208</f>
        <v>22626.809999999998</v>
      </c>
      <c r="AK212" s="120"/>
      <c r="AL212" s="120">
        <f>AL210+AL202+AL193+AL191+AL189+AL183+AL159+AL149+AL142+AL140+AL138+AL136+AL134+AL208</f>
        <v>4956551.49</v>
      </c>
      <c r="AM212" s="120"/>
      <c r="AN212" s="120">
        <f>AN210+AN202+AN193+AN191+AN189+AN183+AN159+AN149+AN142+AN140+AN138+AN136+AN134+AN208</f>
        <v>715387.53999999992</v>
      </c>
      <c r="AO212" s="120"/>
      <c r="AP212" s="120">
        <f>AP210+AP202+AP193+AP191+AP189+AP183+AP159+AP149+AP142+AP140+AP138+AP136+AP134+AP208</f>
        <v>563736.27267638885</v>
      </c>
      <c r="AQ212" s="120"/>
      <c r="AR212" s="120">
        <f t="shared" ref="AR212:BU212" si="51">AR210+AR202+AR193+AR191+AR189+AR183+AR159+AR149+AR142+AR140+AR138+AR136+AR134+AR208</f>
        <v>949916.53322977468</v>
      </c>
      <c r="AS212" s="120">
        <f t="shared" si="51"/>
        <v>0</v>
      </c>
      <c r="AT212" s="120">
        <f t="shared" si="51"/>
        <v>1188453.0652736584</v>
      </c>
      <c r="AU212" s="120">
        <f t="shared" si="51"/>
        <v>0</v>
      </c>
      <c r="AV212" s="120">
        <f t="shared" si="51"/>
        <v>760946.3569411129</v>
      </c>
      <c r="AW212" s="120">
        <f t="shared" si="51"/>
        <v>0</v>
      </c>
      <c r="AX212" s="120">
        <f t="shared" si="51"/>
        <v>797859.40806343278</v>
      </c>
      <c r="AY212" s="120">
        <f t="shared" si="51"/>
        <v>0</v>
      </c>
      <c r="AZ212" s="120">
        <f t="shared" si="51"/>
        <v>1071160.4786543318</v>
      </c>
      <c r="BA212" s="120">
        <f t="shared" si="51"/>
        <v>0</v>
      </c>
      <c r="BB212" s="120">
        <f t="shared" si="51"/>
        <v>165168</v>
      </c>
      <c r="BC212" s="120">
        <f t="shared" si="51"/>
        <v>0</v>
      </c>
      <c r="BD212" s="120">
        <f t="shared" si="51"/>
        <v>0</v>
      </c>
      <c r="BE212" s="120">
        <f t="shared" si="51"/>
        <v>0</v>
      </c>
      <c r="BF212" s="120">
        <f t="shared" si="51"/>
        <v>0</v>
      </c>
      <c r="BG212" s="120">
        <f t="shared" si="51"/>
        <v>0</v>
      </c>
      <c r="BH212" s="120">
        <f t="shared" si="51"/>
        <v>0</v>
      </c>
      <c r="BI212" s="120">
        <f t="shared" si="51"/>
        <v>0</v>
      </c>
      <c r="BJ212" s="120">
        <f t="shared" si="51"/>
        <v>0</v>
      </c>
      <c r="BK212" s="120">
        <f t="shared" si="51"/>
        <v>0</v>
      </c>
      <c r="BL212" s="120">
        <f t="shared" si="51"/>
        <v>0</v>
      </c>
      <c r="BM212" s="120">
        <f t="shared" si="51"/>
        <v>0</v>
      </c>
      <c r="BN212" s="120">
        <f t="shared" si="51"/>
        <v>11191805.954838699</v>
      </c>
      <c r="BO212" s="120">
        <f t="shared" si="51"/>
        <v>0</v>
      </c>
      <c r="BP212" s="120">
        <f t="shared" si="51"/>
        <v>0</v>
      </c>
      <c r="BQ212" s="120">
        <f t="shared" si="51"/>
        <v>0</v>
      </c>
      <c r="BR212" s="120">
        <f t="shared" si="51"/>
        <v>7584255.7423157757</v>
      </c>
      <c r="BS212" s="120">
        <f t="shared" si="51"/>
        <v>0</v>
      </c>
      <c r="BT212" s="120">
        <f t="shared" si="51"/>
        <v>18776061.697154477</v>
      </c>
      <c r="BU212" s="120">
        <f t="shared" si="51"/>
        <v>0</v>
      </c>
      <c r="BV212" s="120">
        <f>BV210+BV202+BV193+BV191+BV189+BV183+BV159+BV149+BV142+BV140+BV138+BV136+BV134+BV208+BV181</f>
        <v>-3265820.2671544747</v>
      </c>
      <c r="BW212" s="120">
        <f>BW210+BW202+BW193+BW191+BW189+BW183+BW159+BW149+BW142+BW140+BW138+BW136+BW134+BW208</f>
        <v>0</v>
      </c>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t="s">
        <v>190</v>
      </c>
      <c r="B214" s="31"/>
      <c r="J214" s="8"/>
      <c r="L214" s="143" t="s">
        <v>202</v>
      </c>
      <c r="M214" s="9"/>
      <c r="N214" s="9">
        <v>5395729</v>
      </c>
      <c r="O214" s="9"/>
      <c r="P214" s="9">
        <f>5463580+-N214</f>
        <v>67851</v>
      </c>
      <c r="Q214" s="9"/>
      <c r="R214" s="9">
        <f>173229453-167805955</f>
        <v>5423498</v>
      </c>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10">
        <f>SUM(T214:BM214)</f>
        <v>0</v>
      </c>
      <c r="BO214" s="9"/>
      <c r="BP214" s="9">
        <v>-5423498</v>
      </c>
      <c r="BQ214" s="9">
        <v>2030320</v>
      </c>
      <c r="BR214" s="6">
        <f>IF(+R214-BN214+BP214&gt;0,R214-BN214+BP214,0)</f>
        <v>0</v>
      </c>
      <c r="BS214" s="9">
        <v>2030320</v>
      </c>
      <c r="BT214" s="9">
        <f>+BN214+BR214</f>
        <v>0</v>
      </c>
      <c r="BU214" s="9">
        <v>2030320</v>
      </c>
      <c r="BV214" s="6">
        <f>+R214-BT214</f>
        <v>5423498</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c r="BO215" s="9"/>
      <c r="BP215" s="9"/>
      <c r="BQ215" s="9"/>
      <c r="BR215" s="6"/>
      <c r="BS215" s="9"/>
      <c r="BT215" s="9"/>
      <c r="BU215" s="9"/>
      <c r="BV215" s="6"/>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t="s">
        <v>291</v>
      </c>
      <c r="B216" s="31"/>
      <c r="J216" s="8"/>
      <c r="L216" s="143"/>
      <c r="M216" s="9"/>
      <c r="N216" s="10"/>
      <c r="O216" s="9"/>
      <c r="P216" s="10"/>
      <c r="Q216" s="9"/>
      <c r="R216" s="10">
        <v>-6077</v>
      </c>
      <c r="S216" s="9"/>
      <c r="T216" s="10"/>
      <c r="U216" s="9"/>
      <c r="V216" s="10"/>
      <c r="W216" s="9"/>
      <c r="X216" s="10"/>
      <c r="Y216" s="9"/>
      <c r="Z216" s="10"/>
      <c r="AA216" s="9"/>
      <c r="AB216" s="10"/>
      <c r="AC216" s="9"/>
      <c r="AD216" s="10"/>
      <c r="AE216" s="9"/>
      <c r="AF216" s="10"/>
      <c r="AG216" s="9"/>
      <c r="AH216" s="10"/>
      <c r="AI216" s="9"/>
      <c r="AJ216" s="10"/>
      <c r="AK216" s="9"/>
      <c r="AL216" s="10">
        <v>-6077</v>
      </c>
      <c r="AM216" s="9"/>
      <c r="AN216" s="10"/>
      <c r="AO216" s="9"/>
      <c r="AP216" s="10"/>
      <c r="AQ216" s="9"/>
      <c r="AR216" s="10"/>
      <c r="AS216" s="9"/>
      <c r="AT216" s="10"/>
      <c r="AU216" s="9"/>
      <c r="AV216" s="10"/>
      <c r="AW216" s="10"/>
      <c r="AX216" s="10"/>
      <c r="AY216" s="10"/>
      <c r="AZ216" s="10"/>
      <c r="BA216" s="10"/>
      <c r="BB216" s="10"/>
      <c r="BC216" s="10"/>
      <c r="BD216" s="10"/>
      <c r="BE216" s="10"/>
      <c r="BF216" s="10"/>
      <c r="BG216" s="10"/>
      <c r="BH216" s="10"/>
      <c r="BI216" s="10"/>
      <c r="BJ216" s="10"/>
      <c r="BK216" s="10"/>
      <c r="BL216" s="10"/>
      <c r="BM216" s="9"/>
      <c r="BN216" s="10">
        <f>SUM(T216:BM216)</f>
        <v>-6077</v>
      </c>
      <c r="BO216" s="9"/>
      <c r="BP216" s="10"/>
      <c r="BQ216" s="9"/>
      <c r="BR216" s="10"/>
      <c r="BS216" s="9"/>
      <c r="BT216" s="9">
        <f>+BN216+BR216</f>
        <v>-6077</v>
      </c>
      <c r="BU216" s="9"/>
      <c r="BV216" s="6">
        <f>+R216-BT216</f>
        <v>0</v>
      </c>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170" customFormat="1">
      <c r="A218" s="169" t="s">
        <v>253</v>
      </c>
      <c r="J218" s="171"/>
      <c r="L218" s="172"/>
      <c r="M218" s="173"/>
      <c r="N218" s="173"/>
      <c r="O218" s="173"/>
      <c r="P218" s="173"/>
      <c r="Q218" s="173"/>
      <c r="R218" s="168">
        <f t="shared" ref="R218:AH218" si="52">R37+R107+R97+R181+R112+R212+R214+R216</f>
        <v>173641710</v>
      </c>
      <c r="S218" s="168">
        <f t="shared" si="52"/>
        <v>0</v>
      </c>
      <c r="T218" s="168">
        <f t="shared" si="52"/>
        <v>0</v>
      </c>
      <c r="U218" s="168">
        <f t="shared" si="52"/>
        <v>0</v>
      </c>
      <c r="V218" s="168">
        <f t="shared" si="52"/>
        <v>0</v>
      </c>
      <c r="W218" s="168">
        <f t="shared" si="52"/>
        <v>0</v>
      </c>
      <c r="X218" s="168">
        <f t="shared" si="52"/>
        <v>0</v>
      </c>
      <c r="Y218" s="168">
        <f t="shared" si="52"/>
        <v>0</v>
      </c>
      <c r="Z218" s="168">
        <f t="shared" si="52"/>
        <v>0</v>
      </c>
      <c r="AA218" s="168">
        <f t="shared" si="52"/>
        <v>0</v>
      </c>
      <c r="AB218" s="168">
        <f t="shared" si="52"/>
        <v>0</v>
      </c>
      <c r="AC218" s="168">
        <f t="shared" si="52"/>
        <v>0</v>
      </c>
      <c r="AD218" s="168">
        <f t="shared" si="52"/>
        <v>0</v>
      </c>
      <c r="AE218" s="168">
        <f t="shared" si="52"/>
        <v>0</v>
      </c>
      <c r="AF218" s="168">
        <f t="shared" si="52"/>
        <v>0</v>
      </c>
      <c r="AG218" s="168">
        <f t="shared" si="52"/>
        <v>0</v>
      </c>
      <c r="AH218" s="168">
        <f t="shared" si="52"/>
        <v>0</v>
      </c>
      <c r="AI218" s="168"/>
      <c r="AJ218" s="168">
        <f>AJ37+AJ107+AJ97+AJ181+AJ112+AJ212+AJ214+AJ216</f>
        <v>22626.809999999998</v>
      </c>
      <c r="AK218" s="168"/>
      <c r="AL218" s="168">
        <f>AL37+AL107+AL97+AL181+AL112+AL212+AL214+AL216</f>
        <v>93152637.489999995</v>
      </c>
      <c r="AM218" s="168"/>
      <c r="AN218" s="168">
        <f>AN37+AN107+AN97+AN181+AN112+AN212+AN214+AN216</f>
        <v>715387.53999999992</v>
      </c>
      <c r="AO218" s="168"/>
      <c r="AP218" s="168">
        <f>AP37+AP107+AP97+AP181+AP112+AP212+AP214+AP216</f>
        <v>2178269.8126763888</v>
      </c>
      <c r="AQ218" s="168"/>
      <c r="AR218" s="168">
        <f t="shared" ref="AR218:BU218" si="53">AR37+AR107+AR97+AR181+AR112+AR212+AR214+AR216</f>
        <v>7520808.7532297745</v>
      </c>
      <c r="AS218" s="168">
        <f t="shared" si="53"/>
        <v>0</v>
      </c>
      <c r="AT218" s="168">
        <f t="shared" si="53"/>
        <v>3033901.6952736583</v>
      </c>
      <c r="AU218" s="168">
        <f t="shared" si="53"/>
        <v>0</v>
      </c>
      <c r="AV218" s="168">
        <f t="shared" si="53"/>
        <v>8287387.2469411138</v>
      </c>
      <c r="AW218" s="168">
        <f t="shared" si="53"/>
        <v>0</v>
      </c>
      <c r="AX218" s="168">
        <f t="shared" si="53"/>
        <v>7624290.748063433</v>
      </c>
      <c r="AY218" s="168">
        <f t="shared" si="53"/>
        <v>0</v>
      </c>
      <c r="AZ218" s="168">
        <f t="shared" si="53"/>
        <v>11403531.258654332</v>
      </c>
      <c r="BA218" s="168">
        <f t="shared" si="53"/>
        <v>0</v>
      </c>
      <c r="BB218" s="168">
        <f t="shared" si="53"/>
        <v>2618843</v>
      </c>
      <c r="BC218" s="168">
        <f t="shared" si="53"/>
        <v>0</v>
      </c>
      <c r="BD218" s="168">
        <f t="shared" si="53"/>
        <v>947183</v>
      </c>
      <c r="BE218" s="168">
        <f t="shared" si="53"/>
        <v>0</v>
      </c>
      <c r="BF218" s="168">
        <f t="shared" si="53"/>
        <v>0</v>
      </c>
      <c r="BG218" s="168">
        <f t="shared" si="53"/>
        <v>0</v>
      </c>
      <c r="BH218" s="168">
        <f t="shared" si="53"/>
        <v>0</v>
      </c>
      <c r="BI218" s="168">
        <f t="shared" si="53"/>
        <v>0</v>
      </c>
      <c r="BJ218" s="168">
        <f t="shared" si="53"/>
        <v>0</v>
      </c>
      <c r="BK218" s="168">
        <f t="shared" si="53"/>
        <v>0</v>
      </c>
      <c r="BL218" s="168">
        <f t="shared" si="53"/>
        <v>0</v>
      </c>
      <c r="BM218" s="168">
        <f t="shared" si="53"/>
        <v>0</v>
      </c>
      <c r="BN218" s="168">
        <f t="shared" si="53"/>
        <v>137504867.3548387</v>
      </c>
      <c r="BO218" s="168">
        <f t="shared" si="53"/>
        <v>0</v>
      </c>
      <c r="BP218" s="168">
        <f t="shared" si="53"/>
        <v>5621125</v>
      </c>
      <c r="BQ218" s="168">
        <f t="shared" si="53"/>
        <v>2030320</v>
      </c>
      <c r="BR218" s="168">
        <f t="shared" si="53"/>
        <v>44505656.472315781</v>
      </c>
      <c r="BS218" s="168">
        <f t="shared" si="53"/>
        <v>2030320</v>
      </c>
      <c r="BT218" s="168">
        <f t="shared" si="53"/>
        <v>178703732.82715446</v>
      </c>
      <c r="BU218" s="168">
        <f t="shared" si="53"/>
        <v>2030320</v>
      </c>
      <c r="BV218" s="168">
        <f>R218-BT218</f>
        <v>-5062022.8271544576</v>
      </c>
      <c r="BW218" s="173"/>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21" customFormat="1">
      <c r="A219" s="56" t="s">
        <v>251</v>
      </c>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9"/>
      <c r="AV219" s="10"/>
      <c r="AW219" s="10"/>
      <c r="AX219" s="10"/>
      <c r="AY219" s="10"/>
      <c r="AZ219" s="10"/>
      <c r="BA219" s="10"/>
      <c r="BB219" s="10"/>
      <c r="BC219" s="10"/>
      <c r="BD219" s="10"/>
      <c r="BE219" s="10"/>
      <c r="BF219" s="10"/>
      <c r="BG219" s="10"/>
      <c r="BH219" s="10"/>
      <c r="BI219" s="10"/>
      <c r="BJ219" s="10"/>
      <c r="BK219" s="10"/>
      <c r="BL219" s="10"/>
      <c r="BM219" s="9"/>
      <c r="BN219" s="10"/>
      <c r="BO219" s="9"/>
      <c r="BP219" s="10"/>
      <c r="BQ219" s="9"/>
      <c r="BR219" s="10"/>
      <c r="BS219" s="9"/>
      <c r="BT219" s="10"/>
      <c r="BU219" s="9"/>
      <c r="BV219" s="10"/>
      <c r="BW219" s="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8" t="s">
        <v>269</v>
      </c>
      <c r="B221" s="31"/>
      <c r="J221" s="8"/>
      <c r="L221" s="143"/>
      <c r="M221" s="9"/>
      <c r="N221" s="10"/>
      <c r="O221" s="9"/>
      <c r="P221" s="10"/>
      <c r="Q221" s="9"/>
      <c r="R221" s="10">
        <v>0</v>
      </c>
      <c r="S221" s="9"/>
      <c r="T221" s="10">
        <v>0</v>
      </c>
      <c r="U221" s="9"/>
      <c r="V221" s="10">
        <v>0</v>
      </c>
      <c r="W221" s="9"/>
      <c r="X221" s="10">
        <v>0</v>
      </c>
      <c r="Y221" s="9"/>
      <c r="Z221" s="10">
        <v>0</v>
      </c>
      <c r="AA221" s="9"/>
      <c r="AB221" s="10">
        <v>0</v>
      </c>
      <c r="AC221" s="9"/>
      <c r="AD221" s="10">
        <v>0</v>
      </c>
      <c r="AE221" s="9"/>
      <c r="AF221" s="10">
        <v>0</v>
      </c>
      <c r="AG221" s="9"/>
      <c r="AH221" s="10">
        <v>0</v>
      </c>
      <c r="AI221" s="9"/>
      <c r="AJ221" s="10"/>
      <c r="AK221" s="9"/>
      <c r="AL221" s="10">
        <v>0</v>
      </c>
      <c r="AM221" s="9"/>
      <c r="AN221" s="10"/>
      <c r="AO221" s="9"/>
      <c r="AP221" s="10"/>
      <c r="AQ221" s="9"/>
      <c r="AR221" s="10">
        <f>-35</f>
        <v>-35</v>
      </c>
      <c r="AS221" s="9"/>
      <c r="AT221" s="10">
        <v>-2100</v>
      </c>
      <c r="AU221" s="9"/>
      <c r="AV221" s="10"/>
      <c r="AW221" s="10"/>
      <c r="AX221" s="10"/>
      <c r="AY221" s="10"/>
      <c r="AZ221" s="10"/>
      <c r="BA221" s="10"/>
      <c r="BB221" s="10"/>
      <c r="BC221" s="10"/>
      <c r="BD221" s="10"/>
      <c r="BE221" s="10"/>
      <c r="BF221" s="10"/>
      <c r="BG221" s="10"/>
      <c r="BH221" s="10"/>
      <c r="BI221" s="10"/>
      <c r="BJ221" s="10"/>
      <c r="BK221" s="10"/>
      <c r="BL221" s="10"/>
      <c r="BM221" s="9"/>
      <c r="BN221" s="10">
        <f>SUM(T221:BM221)</f>
        <v>-2135</v>
      </c>
      <c r="BO221" s="9"/>
      <c r="BP221" s="10"/>
      <c r="BQ221" s="9"/>
      <c r="BR221" s="10">
        <v>0</v>
      </c>
      <c r="BS221" s="9"/>
      <c r="BT221" s="9">
        <f>+BN221+BR221</f>
        <v>-2135</v>
      </c>
      <c r="BU221" s="9"/>
      <c r="BV221" s="6">
        <f>+R221-BT221</f>
        <v>2135</v>
      </c>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9"/>
      <c r="AV222" s="10"/>
      <c r="AW222" s="10"/>
      <c r="AX222" s="10"/>
      <c r="AY222" s="10"/>
      <c r="AZ222" s="10"/>
      <c r="BA222" s="10"/>
      <c r="BB222" s="10"/>
      <c r="BC222" s="10"/>
      <c r="BD222" s="10"/>
      <c r="BE222" s="10"/>
      <c r="BF222" s="10"/>
      <c r="BG222" s="10"/>
      <c r="BH222" s="10"/>
      <c r="BI222" s="10"/>
      <c r="BJ222" s="10"/>
      <c r="BK222" s="10"/>
      <c r="BL222" s="10"/>
      <c r="BM222" s="9"/>
      <c r="BN222" s="10">
        <f>SUM(T222:BM222)</f>
        <v>0</v>
      </c>
      <c r="BO222" s="9"/>
      <c r="BP222" s="10"/>
      <c r="BQ222" s="9"/>
      <c r="BR222" s="10"/>
      <c r="BS222" s="9"/>
      <c r="BT222" s="9"/>
      <c r="BU222" s="9"/>
      <c r="BV222" s="10"/>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c r="BO223" s="9"/>
      <c r="BP223" s="10"/>
      <c r="BQ223" s="9"/>
      <c r="BR223" s="10"/>
      <c r="BS223" s="9"/>
      <c r="BT223" s="10"/>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462" customFormat="1" ht="13.5" thickBot="1">
      <c r="A224" s="162" t="s">
        <v>557</v>
      </c>
      <c r="B224" s="461"/>
      <c r="L224" s="463"/>
      <c r="M224" s="464"/>
      <c r="N224" s="465"/>
      <c r="O224" s="464"/>
      <c r="P224" s="465"/>
      <c r="Q224" s="464"/>
      <c r="R224" s="466">
        <f t="shared" ref="R224:BW224" si="54">R218+R221</f>
        <v>173641710</v>
      </c>
      <c r="S224" s="466">
        <f t="shared" si="54"/>
        <v>0</v>
      </c>
      <c r="T224" s="466">
        <f t="shared" si="54"/>
        <v>0</v>
      </c>
      <c r="U224" s="466">
        <f t="shared" si="54"/>
        <v>0</v>
      </c>
      <c r="V224" s="466">
        <f t="shared" si="54"/>
        <v>0</v>
      </c>
      <c r="W224" s="466">
        <f t="shared" si="54"/>
        <v>0</v>
      </c>
      <c r="X224" s="466">
        <f t="shared" si="54"/>
        <v>0</v>
      </c>
      <c r="Y224" s="466">
        <f t="shared" si="54"/>
        <v>0</v>
      </c>
      <c r="Z224" s="466">
        <f t="shared" si="54"/>
        <v>0</v>
      </c>
      <c r="AA224" s="466">
        <f t="shared" si="54"/>
        <v>0</v>
      </c>
      <c r="AB224" s="466">
        <f t="shared" si="54"/>
        <v>0</v>
      </c>
      <c r="AC224" s="466">
        <f t="shared" si="54"/>
        <v>0</v>
      </c>
      <c r="AD224" s="466">
        <f t="shared" si="54"/>
        <v>0</v>
      </c>
      <c r="AE224" s="466">
        <f t="shared" si="54"/>
        <v>0</v>
      </c>
      <c r="AF224" s="466">
        <f t="shared" si="54"/>
        <v>0</v>
      </c>
      <c r="AG224" s="466">
        <f t="shared" si="54"/>
        <v>0</v>
      </c>
      <c r="AH224" s="466">
        <f t="shared" si="54"/>
        <v>0</v>
      </c>
      <c r="AI224" s="466"/>
      <c r="AJ224" s="466">
        <f t="shared" si="54"/>
        <v>22626.809999999998</v>
      </c>
      <c r="AK224" s="466"/>
      <c r="AL224" s="466">
        <f t="shared" si="54"/>
        <v>93152637.489999995</v>
      </c>
      <c r="AM224" s="466"/>
      <c r="AN224" s="466">
        <f t="shared" si="54"/>
        <v>715387.53999999992</v>
      </c>
      <c r="AO224" s="466"/>
      <c r="AP224" s="466">
        <f t="shared" si="54"/>
        <v>2178269.8126763888</v>
      </c>
      <c r="AQ224" s="466"/>
      <c r="AR224" s="466">
        <f t="shared" si="54"/>
        <v>7520773.7532297745</v>
      </c>
      <c r="AS224" s="466">
        <f t="shared" si="54"/>
        <v>0</v>
      </c>
      <c r="AT224" s="466">
        <f t="shared" si="54"/>
        <v>3031801.6952736583</v>
      </c>
      <c r="AU224" s="466">
        <f t="shared" si="54"/>
        <v>0</v>
      </c>
      <c r="AV224" s="466">
        <f t="shared" si="54"/>
        <v>8287387.2469411138</v>
      </c>
      <c r="AW224" s="466">
        <f t="shared" si="54"/>
        <v>0</v>
      </c>
      <c r="AX224" s="466">
        <f t="shared" si="54"/>
        <v>7624290.748063433</v>
      </c>
      <c r="AY224" s="466">
        <f t="shared" si="54"/>
        <v>0</v>
      </c>
      <c r="AZ224" s="466">
        <f t="shared" si="54"/>
        <v>11403531.258654332</v>
      </c>
      <c r="BA224" s="466">
        <f t="shared" si="54"/>
        <v>0</v>
      </c>
      <c r="BB224" s="466">
        <f t="shared" si="54"/>
        <v>2618843</v>
      </c>
      <c r="BC224" s="466">
        <f t="shared" si="54"/>
        <v>0</v>
      </c>
      <c r="BD224" s="466">
        <f t="shared" si="54"/>
        <v>947183</v>
      </c>
      <c r="BE224" s="466">
        <f t="shared" si="54"/>
        <v>0</v>
      </c>
      <c r="BF224" s="466">
        <f t="shared" si="54"/>
        <v>0</v>
      </c>
      <c r="BG224" s="466">
        <f t="shared" si="54"/>
        <v>0</v>
      </c>
      <c r="BH224" s="466">
        <f t="shared" si="54"/>
        <v>0</v>
      </c>
      <c r="BI224" s="466">
        <f t="shared" si="54"/>
        <v>0</v>
      </c>
      <c r="BJ224" s="466">
        <f t="shared" si="54"/>
        <v>0</v>
      </c>
      <c r="BK224" s="466">
        <f t="shared" si="54"/>
        <v>0</v>
      </c>
      <c r="BL224" s="466">
        <f t="shared" si="54"/>
        <v>0</v>
      </c>
      <c r="BM224" s="466">
        <f t="shared" si="54"/>
        <v>0</v>
      </c>
      <c r="BN224" s="466">
        <f t="shared" si="54"/>
        <v>137502732.3548387</v>
      </c>
      <c r="BO224" s="466">
        <f t="shared" si="54"/>
        <v>0</v>
      </c>
      <c r="BP224" s="466">
        <f t="shared" si="54"/>
        <v>5621125</v>
      </c>
      <c r="BQ224" s="466">
        <f t="shared" si="54"/>
        <v>2030320</v>
      </c>
      <c r="BR224" s="466">
        <f t="shared" si="54"/>
        <v>44505656.472315781</v>
      </c>
      <c r="BS224" s="466">
        <f t="shared" si="54"/>
        <v>2030320</v>
      </c>
      <c r="BT224" s="466">
        <f t="shared" si="54"/>
        <v>178701597.82715446</v>
      </c>
      <c r="BU224" s="466">
        <f t="shared" si="54"/>
        <v>2030320</v>
      </c>
      <c r="BV224" s="466">
        <f>BV218+BV221</f>
        <v>-5059887.8271544576</v>
      </c>
      <c r="BW224" s="466">
        <f t="shared" si="54"/>
        <v>0</v>
      </c>
      <c r="BX224" s="467"/>
      <c r="BY224" s="467"/>
      <c r="BZ224" s="467"/>
      <c r="CA224" s="467"/>
      <c r="CB224" s="467"/>
      <c r="CC224" s="467"/>
      <c r="CD224" s="467"/>
      <c r="CE224" s="467"/>
      <c r="CF224" s="467"/>
      <c r="CG224" s="467"/>
      <c r="CH224" s="467"/>
      <c r="CI224" s="467"/>
      <c r="CJ224" s="467"/>
      <c r="CK224" s="467"/>
      <c r="CL224" s="467"/>
      <c r="CM224" s="467"/>
      <c r="CN224" s="467"/>
      <c r="CO224" s="467"/>
      <c r="CP224" s="467"/>
      <c r="CQ224" s="467"/>
      <c r="CR224" s="467"/>
      <c r="CS224" s="467"/>
      <c r="CT224" s="467"/>
      <c r="CU224" s="467"/>
      <c r="CV224" s="467"/>
      <c r="CW224" s="467"/>
      <c r="CX224" s="467"/>
      <c r="CY224" s="467"/>
      <c r="CZ224" s="467"/>
      <c r="DA224" s="467"/>
      <c r="DB224" s="467"/>
      <c r="DC224" s="467"/>
      <c r="DD224" s="467"/>
      <c r="DE224" s="467"/>
      <c r="DF224" s="467"/>
      <c r="DG224" s="467"/>
      <c r="DH224" s="467"/>
      <c r="DI224" s="467"/>
      <c r="DJ224" s="467"/>
      <c r="DK224" s="467"/>
      <c r="DL224" s="467"/>
      <c r="DM224" s="467"/>
      <c r="DN224" s="467"/>
      <c r="DO224" s="467"/>
      <c r="DP224" s="467"/>
      <c r="DQ224" s="467"/>
      <c r="DR224" s="467"/>
      <c r="DS224" s="467"/>
      <c r="DT224" s="467"/>
    </row>
    <row r="225" spans="1:124" s="21" customFormat="1" ht="13.5" thickTop="1">
      <c r="A225" s="58"/>
      <c r="B225" s="31"/>
      <c r="J225" s="8"/>
      <c r="L225" s="143"/>
      <c r="M225" s="9"/>
      <c r="N225" s="10"/>
      <c r="O225" s="9"/>
      <c r="P225" s="10"/>
      <c r="Q225" s="9"/>
      <c r="R225" s="10"/>
      <c r="S225" s="9"/>
      <c r="T225" s="10"/>
      <c r="U225" s="9"/>
      <c r="V225" s="10"/>
      <c r="W225" s="9"/>
      <c r="X225" s="10"/>
      <c r="Y225" s="9"/>
      <c r="Z225" s="10"/>
      <c r="AA225" s="9"/>
      <c r="AB225" s="10"/>
      <c r="AC225" s="9"/>
      <c r="AD225" s="10"/>
      <c r="AE225" s="9"/>
      <c r="AF225" s="10"/>
      <c r="AG225" s="9"/>
      <c r="AH225" s="10"/>
      <c r="AI225" s="9"/>
      <c r="AJ225" s="10"/>
      <c r="AK225" s="9"/>
      <c r="AL225" s="10"/>
      <c r="AM225" s="9"/>
      <c r="AN225" s="10"/>
      <c r="AO225" s="9"/>
      <c r="AP225" s="10"/>
      <c r="AQ225" s="9"/>
      <c r="AR225" s="10"/>
      <c r="AS225" s="9"/>
      <c r="AT225" s="10"/>
      <c r="AU225" s="9"/>
      <c r="AV225" s="10"/>
      <c r="AW225" s="10"/>
      <c r="AX225" s="10"/>
      <c r="AY225" s="10"/>
      <c r="AZ225" s="10"/>
      <c r="BA225" s="10"/>
      <c r="BB225" s="10"/>
      <c r="BC225" s="10"/>
      <c r="BD225" s="10"/>
      <c r="BE225" s="10"/>
      <c r="BF225" s="10"/>
      <c r="BG225" s="10"/>
      <c r="BH225" s="10"/>
      <c r="BI225" s="10"/>
      <c r="BJ225" s="10"/>
      <c r="BK225" s="10"/>
      <c r="BL225" s="10"/>
      <c r="BM225" s="9"/>
      <c r="BN225" s="10"/>
      <c r="BO225" s="9"/>
      <c r="BP225" s="10"/>
      <c r="BQ225" s="9"/>
      <c r="BR225" s="10"/>
      <c r="BS225" s="9"/>
      <c r="BT225" s="10"/>
      <c r="BU225" s="9"/>
      <c r="BV225" s="10"/>
      <c r="BW225" s="9"/>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24">
      <c r="C226"/>
      <c r="D226"/>
      <c r="E226"/>
      <c r="F226"/>
      <c r="G226"/>
      <c r="H226"/>
      <c r="I226"/>
      <c r="J226" s="49"/>
      <c r="K226"/>
      <c r="L226" s="134"/>
      <c r="M226" s="6"/>
      <c r="O226" s="6"/>
      <c r="Q226" s="6"/>
      <c r="S226" s="6"/>
      <c r="T226" s="6"/>
      <c r="U226" s="6"/>
      <c r="V226" s="6"/>
      <c r="X226" s="6"/>
      <c r="Z226" s="6"/>
      <c r="AB226" s="6"/>
      <c r="AD226" s="6"/>
      <c r="BL226" s="6"/>
      <c r="BM226" s="6"/>
      <c r="BO226" s="6"/>
      <c r="BP226" s="6"/>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ustomFormat="1" ht="15" hidden="1">
      <c r="A227" s="468" t="s">
        <v>555</v>
      </c>
      <c r="BN227" s="369"/>
    </row>
    <row r="228" spans="1:124" customFormat="1" hidden="1">
      <c r="A228" s="56" t="s">
        <v>288</v>
      </c>
      <c r="BN228" s="369"/>
    </row>
    <row r="229" spans="1:124" customFormat="1" hidden="1">
      <c r="B229" t="s">
        <v>558</v>
      </c>
      <c r="L229" s="49">
        <v>43950</v>
      </c>
      <c r="R229" s="35">
        <v>25518545</v>
      </c>
      <c r="BB229" s="35">
        <v>62749</v>
      </c>
      <c r="BD229" s="35">
        <v>200000</v>
      </c>
      <c r="BE229" s="35"/>
      <c r="BF229" s="35"/>
      <c r="BG229" s="35"/>
      <c r="BH229" s="35"/>
      <c r="BI229" s="35"/>
      <c r="BJ229" s="35"/>
      <c r="BK229" s="35"/>
      <c r="BL229" s="35"/>
      <c r="BM229" s="35"/>
      <c r="BN229" s="10">
        <f>SUM(T229:BM229)</f>
        <v>262749</v>
      </c>
      <c r="BO229" s="9"/>
      <c r="BP229" s="10">
        <v>0</v>
      </c>
      <c r="BQ229" s="9"/>
      <c r="BR229" s="6">
        <f>IF(+R229-BN229+BP229&gt;0,R229-BN229+BP229,0)</f>
        <v>25255796</v>
      </c>
      <c r="BS229" s="9"/>
      <c r="BT229" s="9">
        <f>+BN229+BR229</f>
        <v>25518545</v>
      </c>
      <c r="BU229" s="9"/>
      <c r="BV229" s="6">
        <f>+R229-BT229</f>
        <v>0</v>
      </c>
      <c r="BW229" s="9"/>
      <c r="BX229" s="35"/>
      <c r="BY229" s="35"/>
      <c r="BZ229" s="35"/>
      <c r="CA229" s="35"/>
      <c r="CB229" s="35"/>
      <c r="CC229" s="35"/>
      <c r="CD229" s="35"/>
      <c r="CE229" s="35"/>
      <c r="CF229" s="35"/>
      <c r="CG229" s="35"/>
      <c r="CH229" s="35"/>
      <c r="CI229" s="35"/>
      <c r="CJ229" s="35"/>
    </row>
    <row r="230" spans="1:124" customFormat="1" hidden="1">
      <c r="B230" t="s">
        <v>559</v>
      </c>
      <c r="L230" s="49" t="s">
        <v>554</v>
      </c>
      <c r="R230" s="35">
        <v>975356</v>
      </c>
      <c r="BB230" s="35">
        <v>629</v>
      </c>
      <c r="BD230" s="35"/>
      <c r="BE230" s="35"/>
      <c r="BF230" s="35"/>
      <c r="BG230" s="35"/>
      <c r="BH230" s="35"/>
      <c r="BI230" s="35"/>
      <c r="BJ230" s="35"/>
      <c r="BK230" s="35"/>
      <c r="BL230" s="35"/>
      <c r="BM230" s="35"/>
      <c r="BN230" s="10">
        <f>SUM(T230:BM230)</f>
        <v>629</v>
      </c>
      <c r="BO230" s="9"/>
      <c r="BP230" s="10">
        <v>0</v>
      </c>
      <c r="BQ230" s="9"/>
      <c r="BR230" s="6">
        <f>IF(+R230-BN230+BP230&gt;0,R230-BN230+BP230,0)</f>
        <v>974727</v>
      </c>
      <c r="BS230" s="9"/>
      <c r="BT230" s="9">
        <f>+BN230+BR230</f>
        <v>975356</v>
      </c>
      <c r="BU230" s="9"/>
      <c r="BV230" s="6">
        <f>+R230-BT230</f>
        <v>0</v>
      </c>
      <c r="BW230" s="9"/>
      <c r="BX230" s="35"/>
      <c r="BY230" s="35"/>
      <c r="BZ230" s="35"/>
      <c r="CA230" s="35"/>
      <c r="CB230" s="35"/>
      <c r="CC230" s="35"/>
      <c r="CD230" s="35"/>
      <c r="CE230" s="35"/>
      <c r="CF230" s="35"/>
      <c r="CG230" s="35"/>
      <c r="CH230" s="35"/>
      <c r="CI230" s="35"/>
      <c r="CJ230" s="35"/>
    </row>
    <row r="231" spans="1:124" customFormat="1" hidden="1">
      <c r="B231" s="11" t="s">
        <v>480</v>
      </c>
      <c r="L231" s="49">
        <v>44484</v>
      </c>
      <c r="R231" s="36">
        <v>132742</v>
      </c>
      <c r="BB231" s="36">
        <f>1005+15818+8004</f>
        <v>24827</v>
      </c>
      <c r="BD231" s="36"/>
      <c r="BE231" s="35"/>
      <c r="BF231" s="35"/>
      <c r="BG231" s="35"/>
      <c r="BH231" s="35"/>
      <c r="BI231" s="35"/>
      <c r="BJ231" s="35"/>
      <c r="BK231" s="35"/>
      <c r="BL231" s="35"/>
      <c r="BM231" s="35"/>
      <c r="BN231" s="469">
        <f>SUM(T231:BM231)</f>
        <v>24827</v>
      </c>
      <c r="BO231" s="9"/>
      <c r="BP231" s="10">
        <v>0</v>
      </c>
      <c r="BQ231" s="9"/>
      <c r="BR231" s="6">
        <f>IF(+R231-BN231+BP231&gt;0,R231-BN231+BP231,0)</f>
        <v>107915</v>
      </c>
      <c r="BS231" s="9"/>
      <c r="BT231" s="469">
        <f>+BN231+BR231</f>
        <v>132742</v>
      </c>
      <c r="BU231" s="9"/>
      <c r="BV231" s="470">
        <f>+R231-BT231</f>
        <v>0</v>
      </c>
      <c r="BW231" s="9"/>
      <c r="BX231" s="35"/>
      <c r="BY231" s="35"/>
      <c r="BZ231" s="35"/>
      <c r="CA231" s="35"/>
      <c r="CB231" s="35"/>
      <c r="CC231" s="35"/>
      <c r="CD231" s="35"/>
      <c r="CE231" s="35"/>
      <c r="CF231" s="35"/>
      <c r="CG231" s="35"/>
      <c r="CH231" s="35"/>
      <c r="CI231" s="35"/>
      <c r="CJ231" s="35"/>
    </row>
    <row r="232" spans="1:124" customFormat="1" hidden="1">
      <c r="L232" s="49"/>
      <c r="R232" s="35">
        <f>SUM(R229:R231)</f>
        <v>26626643</v>
      </c>
      <c r="BB232" s="35">
        <f>SUM(BB229:BB231)</f>
        <v>88205</v>
      </c>
      <c r="BD232" s="35">
        <f>SUM(BD229:BD231)</f>
        <v>200000</v>
      </c>
      <c r="BE232" s="35"/>
      <c r="BF232" s="35"/>
      <c r="BG232" s="35"/>
      <c r="BH232" s="35"/>
      <c r="BI232" s="35"/>
      <c r="BJ232" s="35"/>
      <c r="BK232" s="35"/>
      <c r="BL232" s="35"/>
      <c r="BM232" s="35"/>
      <c r="BN232" s="10">
        <f>SUM(T232:BM232)</f>
        <v>288205</v>
      </c>
      <c r="BO232" s="9"/>
      <c r="BP232" s="10">
        <f>SUM(V232:BO232)</f>
        <v>576410</v>
      </c>
      <c r="BQ232" s="9"/>
      <c r="BR232" s="102">
        <f>SUM(BR229:BR231)</f>
        <v>26338438</v>
      </c>
      <c r="BS232" s="9"/>
      <c r="BT232" s="9">
        <f>+BN232+BR232</f>
        <v>26626643</v>
      </c>
      <c r="BU232" s="9"/>
      <c r="BV232" s="6">
        <f>+R232-BT232</f>
        <v>0</v>
      </c>
      <c r="BW232" s="9"/>
      <c r="BX232" s="35"/>
      <c r="BY232" s="35"/>
      <c r="BZ232" s="35"/>
      <c r="CA232" s="35"/>
      <c r="CB232" s="35"/>
      <c r="CC232" s="35"/>
      <c r="CD232" s="35"/>
      <c r="CE232" s="35"/>
      <c r="CF232" s="35"/>
      <c r="CG232" s="35"/>
      <c r="CH232" s="35"/>
      <c r="CI232" s="35"/>
      <c r="CJ232" s="35"/>
    </row>
    <row r="233" spans="1:124" customFormat="1" hidden="1">
      <c r="L233" s="49"/>
      <c r="BB233" s="35"/>
      <c r="BD233" s="35"/>
      <c r="BE233" s="35"/>
      <c r="BF233" s="35"/>
      <c r="BG233" s="35"/>
      <c r="BH233" s="35"/>
      <c r="BI233" s="35"/>
      <c r="BJ233" s="35"/>
      <c r="BK233" s="35"/>
      <c r="BL233" s="35"/>
      <c r="BM233" s="35"/>
      <c r="BN233" s="35"/>
      <c r="BO233" s="35"/>
      <c r="BP233" s="35"/>
      <c r="BQ233" s="35"/>
      <c r="BR233" s="35"/>
      <c r="BS233" s="35"/>
      <c r="BT233" s="35"/>
      <c r="BU233" s="35"/>
      <c r="BV233" s="35"/>
      <c r="BW233" s="35"/>
      <c r="BX233" s="35"/>
      <c r="BY233" s="35"/>
      <c r="BZ233" s="35"/>
      <c r="CA233" s="35"/>
      <c r="CB233" s="35"/>
      <c r="CC233" s="35"/>
      <c r="CD233" s="35"/>
      <c r="CE233" s="35"/>
      <c r="CF233" s="35"/>
      <c r="CG233" s="35"/>
      <c r="CH233" s="35"/>
      <c r="CI233" s="35"/>
      <c r="CJ233" s="35"/>
    </row>
    <row r="234" spans="1:124" customFormat="1" hidden="1">
      <c r="L234" s="49"/>
      <c r="BB234" s="35"/>
      <c r="BD234" s="35"/>
      <c r="BE234" s="35"/>
      <c r="BF234" s="35"/>
      <c r="BG234" s="35"/>
      <c r="BH234" s="35"/>
      <c r="BI234" s="35"/>
      <c r="BJ234" s="35"/>
      <c r="BK234" s="35"/>
      <c r="BL234" s="35"/>
      <c r="BM234" s="35"/>
      <c r="BN234" s="35"/>
      <c r="BO234" s="35"/>
      <c r="BP234" s="35"/>
      <c r="BQ234" s="35"/>
      <c r="BR234" s="35"/>
      <c r="BS234" s="35"/>
      <c r="BT234" s="35"/>
      <c r="BU234" s="35"/>
      <c r="BV234" s="35"/>
      <c r="BW234" s="35"/>
      <c r="BX234" s="35"/>
      <c r="BY234" s="35"/>
      <c r="BZ234" s="35"/>
      <c r="CA234" s="35"/>
      <c r="CB234" s="35"/>
      <c r="CC234" s="35"/>
      <c r="CD234" s="35"/>
      <c r="CE234" s="35"/>
      <c r="CF234" s="35"/>
      <c r="CG234" s="35"/>
      <c r="CH234" s="35"/>
      <c r="CI234" s="35"/>
      <c r="CJ234" s="35"/>
    </row>
    <row r="235" spans="1:124" s="105" customFormat="1" ht="15.75" hidden="1" thickBot="1">
      <c r="A235" s="471" t="s">
        <v>556</v>
      </c>
      <c r="B235" s="472"/>
      <c r="C235" s="473"/>
      <c r="D235" s="473"/>
      <c r="E235" s="473"/>
      <c r="F235" s="473"/>
      <c r="G235" s="473"/>
      <c r="H235" s="473"/>
      <c r="I235" s="473"/>
      <c r="J235" s="474"/>
      <c r="K235" s="473"/>
      <c r="L235" s="475"/>
      <c r="M235" s="476"/>
      <c r="N235" s="477"/>
      <c r="O235" s="476"/>
      <c r="P235" s="477"/>
      <c r="Q235" s="476"/>
      <c r="R235" s="478">
        <f>R224+R232</f>
        <v>200268353</v>
      </c>
      <c r="S235" s="478">
        <f t="shared" ref="S235:BW235" si="55">S229+S232</f>
        <v>0</v>
      </c>
      <c r="T235" s="478">
        <f t="shared" si="55"/>
        <v>0</v>
      </c>
      <c r="U235" s="478">
        <f t="shared" si="55"/>
        <v>0</v>
      </c>
      <c r="V235" s="478">
        <f t="shared" si="55"/>
        <v>0</v>
      </c>
      <c r="W235" s="478">
        <f t="shared" si="55"/>
        <v>0</v>
      </c>
      <c r="X235" s="478">
        <f t="shared" si="55"/>
        <v>0</v>
      </c>
      <c r="Y235" s="478">
        <f t="shared" si="55"/>
        <v>0</v>
      </c>
      <c r="Z235" s="478">
        <f t="shared" si="55"/>
        <v>0</v>
      </c>
      <c r="AA235" s="478">
        <f t="shared" si="55"/>
        <v>0</v>
      </c>
      <c r="AB235" s="478">
        <f t="shared" si="55"/>
        <v>0</v>
      </c>
      <c r="AC235" s="478">
        <f t="shared" si="55"/>
        <v>0</v>
      </c>
      <c r="AD235" s="478">
        <f t="shared" si="55"/>
        <v>0</v>
      </c>
      <c r="AE235" s="478">
        <f t="shared" si="55"/>
        <v>0</v>
      </c>
      <c r="AF235" s="478">
        <f t="shared" si="55"/>
        <v>0</v>
      </c>
      <c r="AG235" s="478">
        <f t="shared" si="55"/>
        <v>0</v>
      </c>
      <c r="AH235" s="478">
        <f t="shared" si="55"/>
        <v>0</v>
      </c>
      <c r="AI235" s="478"/>
      <c r="AJ235" s="478">
        <f t="shared" si="55"/>
        <v>0</v>
      </c>
      <c r="AK235" s="478"/>
      <c r="AL235" s="478">
        <f t="shared" si="55"/>
        <v>0</v>
      </c>
      <c r="AM235" s="478"/>
      <c r="AN235" s="478">
        <f t="shared" si="55"/>
        <v>0</v>
      </c>
      <c r="AO235" s="478"/>
      <c r="AP235" s="478">
        <f t="shared" si="55"/>
        <v>0</v>
      </c>
      <c r="AQ235" s="478"/>
      <c r="AR235" s="478">
        <f t="shared" si="55"/>
        <v>0</v>
      </c>
      <c r="AS235" s="478">
        <f t="shared" si="55"/>
        <v>0</v>
      </c>
      <c r="AT235" s="478">
        <f t="shared" si="55"/>
        <v>0</v>
      </c>
      <c r="AU235" s="478">
        <f t="shared" si="55"/>
        <v>0</v>
      </c>
      <c r="AV235" s="478">
        <f t="shared" si="55"/>
        <v>0</v>
      </c>
      <c r="AW235" s="478">
        <f t="shared" si="55"/>
        <v>0</v>
      </c>
      <c r="AX235" s="478">
        <f t="shared" si="55"/>
        <v>0</v>
      </c>
      <c r="AY235" s="478">
        <f t="shared" si="55"/>
        <v>0</v>
      </c>
      <c r="AZ235" s="478">
        <f>AZ224+AZ232</f>
        <v>11403531.258654332</v>
      </c>
      <c r="BA235" s="478">
        <f t="shared" si="55"/>
        <v>0</v>
      </c>
      <c r="BB235" s="478">
        <f>BB224+BB232</f>
        <v>2707048</v>
      </c>
      <c r="BC235" s="478">
        <f t="shared" si="55"/>
        <v>0</v>
      </c>
      <c r="BD235" s="478">
        <f>BD224+BD232</f>
        <v>1147183</v>
      </c>
      <c r="BE235" s="478">
        <f t="shared" si="55"/>
        <v>0</v>
      </c>
      <c r="BF235" s="478">
        <f t="shared" si="55"/>
        <v>0</v>
      </c>
      <c r="BG235" s="478">
        <f t="shared" si="55"/>
        <v>0</v>
      </c>
      <c r="BH235" s="478">
        <f t="shared" si="55"/>
        <v>0</v>
      </c>
      <c r="BI235" s="478">
        <f t="shared" si="55"/>
        <v>0</v>
      </c>
      <c r="BJ235" s="478">
        <f t="shared" si="55"/>
        <v>0</v>
      </c>
      <c r="BK235" s="478">
        <f t="shared" si="55"/>
        <v>0</v>
      </c>
      <c r="BL235" s="478">
        <f t="shared" si="55"/>
        <v>0</v>
      </c>
      <c r="BM235" s="478">
        <f t="shared" si="55"/>
        <v>0</v>
      </c>
      <c r="BN235" s="478">
        <f>BN224+BN232</f>
        <v>137790937.3548387</v>
      </c>
      <c r="BO235" s="478">
        <f t="shared" si="55"/>
        <v>0</v>
      </c>
      <c r="BP235" s="478">
        <f>BP224+BP232</f>
        <v>6197535</v>
      </c>
      <c r="BQ235" s="478">
        <f t="shared" si="55"/>
        <v>0</v>
      </c>
      <c r="BR235" s="478">
        <f>BR224+BR232</f>
        <v>70844094.472315788</v>
      </c>
      <c r="BS235" s="478">
        <f t="shared" si="55"/>
        <v>0</v>
      </c>
      <c r="BT235" s="478">
        <f>BT224+BT232</f>
        <v>205328240.82715446</v>
      </c>
      <c r="BU235" s="478">
        <f t="shared" si="55"/>
        <v>0</v>
      </c>
      <c r="BV235" s="478">
        <f>BV224+BV232</f>
        <v>-5059887.8271544576</v>
      </c>
      <c r="BW235" s="478">
        <f t="shared" si="55"/>
        <v>0</v>
      </c>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row>
    <row r="236" spans="1:124" customFormat="1" ht="13.5" hidden="1" thickTop="1">
      <c r="L236" s="49"/>
      <c r="BB236" s="35"/>
      <c r="BN236" s="369"/>
    </row>
    <row r="237" spans="1:124" customFormat="1" hidden="1">
      <c r="L237" s="49"/>
      <c r="BB237" s="35"/>
      <c r="BN237" s="369"/>
    </row>
    <row r="238" spans="1:124" customFormat="1" hidden="1">
      <c r="L238" s="49"/>
      <c r="BB238" s="35"/>
      <c r="BN238" s="369"/>
    </row>
    <row r="239" spans="1:124" customFormat="1" hidden="1">
      <c r="L239" s="49"/>
      <c r="BB239" s="35"/>
      <c r="BN239" s="369"/>
    </row>
    <row r="240" spans="1:124" customFormat="1">
      <c r="L240" s="49"/>
      <c r="AT240" s="368"/>
      <c r="BB240" s="35"/>
      <c r="BN240" s="369"/>
    </row>
    <row r="241" spans="46:66" customFormat="1">
      <c r="AT241" s="368"/>
      <c r="BB241" s="35"/>
      <c r="BN241" s="369"/>
    </row>
    <row r="242" spans="46:66" customFormat="1">
      <c r="AT242" s="368"/>
      <c r="BB242" s="35"/>
      <c r="BN242" s="370"/>
    </row>
    <row r="243" spans="46:66" customFormat="1">
      <c r="BB243" s="35"/>
    </row>
    <row r="244" spans="46:66" customFormat="1"/>
    <row r="245" spans="46:66" customFormat="1"/>
    <row r="246" spans="46:66" customFormat="1"/>
    <row r="247" spans="46:66" customFormat="1"/>
    <row r="248" spans="46:66" customFormat="1"/>
    <row r="249" spans="46:66" customFormat="1"/>
    <row r="250" spans="46:66" customFormat="1"/>
    <row r="251" spans="46:66" customFormat="1"/>
    <row r="252" spans="46:66" customFormat="1"/>
    <row r="253" spans="46:66" customFormat="1"/>
    <row r="254" spans="46:66" customFormat="1"/>
    <row r="255" spans="46:66" customFormat="1"/>
    <row r="256" spans="46:66" customFormat="1"/>
    <row r="257" spans="66:66" customFormat="1"/>
    <row r="258" spans="66:66" customFormat="1"/>
    <row r="259" spans="66:66" customFormat="1"/>
    <row r="260" spans="66:66" customFormat="1"/>
    <row r="261" spans="66:66" customFormat="1"/>
    <row r="262" spans="66:66" customFormat="1"/>
    <row r="263" spans="66:66" customFormat="1"/>
    <row r="264" spans="66:66" customFormat="1"/>
    <row r="265" spans="66:66" customFormat="1"/>
    <row r="266" spans="66:66" customFormat="1"/>
    <row r="267" spans="66:66" customFormat="1"/>
    <row r="268" spans="66:66" customFormat="1"/>
    <row r="269" spans="66:66" customFormat="1"/>
    <row r="270" spans="66:66">
      <c r="BN270" s="22"/>
    </row>
    <row r="271" spans="66:66">
      <c r="BN271" s="22"/>
    </row>
    <row r="272" spans="66:66">
      <c r="BN272" s="22"/>
    </row>
    <row r="273" spans="66:66">
      <c r="BN273" s="22"/>
    </row>
    <row r="274" spans="66:66">
      <c r="BN274" s="22"/>
    </row>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sheetData>
  <printOptions horizontalCentered="1"/>
  <pageMargins left="0" right="0" top="0.25" bottom="0.19" header="0.25" footer="0.19"/>
  <pageSetup scale="40"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1"/>
  <sheetViews>
    <sheetView zoomScale="80" zoomScaleNormal="66" workbookViewId="0">
      <pane xSplit="19" ySplit="7" topLeftCell="BM172" activePane="bottomRight" state="frozen"/>
      <selection activeCell="J9" sqref="J9"/>
      <selection pane="topRight" activeCell="J9" sqref="J9"/>
      <selection pane="bottomLeft" activeCell="J9" sqref="J9"/>
      <selection pane="bottomRight" activeCell="BR176" sqref="BR17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 style="6" customWidth="1"/>
    <col min="19" max="19" width="1.42578125" style="4" hidden="1" customWidth="1"/>
    <col min="20" max="20" width="19.57031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28515625" style="6" hidden="1" customWidth="1"/>
    <col min="35" max="35" width="1" style="6" hidden="1" customWidth="1"/>
    <col min="36" max="36" width="17.85546875" style="6" hidden="1" customWidth="1"/>
    <col min="37" max="37" width="0.85546875" style="6" hidden="1" customWidth="1"/>
    <col min="38" max="38" width="0.14062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customWidth="1"/>
    <col min="46" max="46" width="17.85546875" style="6" hidden="1" customWidth="1"/>
    <col min="47" max="47" width="0.85546875" style="6" hidden="1" customWidth="1"/>
    <col min="48" max="48" width="17.28515625" style="6" hidden="1" customWidth="1"/>
    <col min="49" max="49" width="0.85546875" style="6" hidden="1" customWidth="1"/>
    <col min="50" max="50" width="17.2851562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- 042500.xls]Wilton</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36641.611076388886</v>
      </c>
      <c r="BR3" s="23"/>
      <c r="BT3" s="78" t="str">
        <f>Summary!A5</f>
        <v>Revision # 55</v>
      </c>
      <c r="BV3" s="18" t="str">
        <f>Summary!A5</f>
        <v>Revision # 55</v>
      </c>
    </row>
    <row r="4" spans="1:74" s="18" customFormat="1" ht="15.75">
      <c r="A4" s="94"/>
      <c r="B4" s="19">
        <f>Summary!C15</f>
        <v>470</v>
      </c>
      <c r="C4"/>
      <c r="G4" s="67"/>
      <c r="J4" s="479"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4/14/00</v>
      </c>
      <c r="U7" s="96"/>
      <c r="V7" s="82" t="str">
        <f>+Summary!$O$4</f>
        <v xml:space="preserve"> As of 4/14/00</v>
      </c>
      <c r="W7" s="69"/>
      <c r="X7" s="82" t="str">
        <f>+Summary!$O$4</f>
        <v xml:space="preserve"> As of 4/14/00</v>
      </c>
      <c r="Y7" s="69"/>
      <c r="Z7" s="82" t="str">
        <f>+Summary!$O$4</f>
        <v xml:space="preserve"> As of 4/14/00</v>
      </c>
      <c r="AA7" s="69"/>
      <c r="AB7" s="82" t="str">
        <f>+Summary!$O$4</f>
        <v xml:space="preserve"> As of 4/14/00</v>
      </c>
      <c r="AC7" s="69"/>
      <c r="AD7" s="82" t="str">
        <f>+Summary!$O$4</f>
        <v xml:space="preserve"> As of 4/14/00</v>
      </c>
      <c r="AE7" s="69"/>
      <c r="AF7" s="82" t="str">
        <f>+Summary!$O$4</f>
        <v xml:space="preserve"> As of 4/14/00</v>
      </c>
      <c r="AG7" s="69"/>
      <c r="AH7" s="82" t="str">
        <f>+Summary!$O$4</f>
        <v xml:space="preserve"> As of 4/14/00</v>
      </c>
      <c r="AI7" s="69"/>
      <c r="AJ7" s="82" t="str">
        <f>+Summary!$O$4</f>
        <v xml:space="preserve"> As of 4/14/00</v>
      </c>
      <c r="AK7" s="69"/>
      <c r="AL7" s="82" t="str">
        <f>+Summary!$O$4</f>
        <v xml:space="preserve"> As of 4/14/00</v>
      </c>
      <c r="AM7" s="69"/>
      <c r="AN7" s="82" t="str">
        <f>+Summary!$O$4</f>
        <v xml:space="preserve"> As of 4/14/00</v>
      </c>
      <c r="AO7" s="69"/>
      <c r="AP7" s="82" t="str">
        <f>+Summary!$O$4</f>
        <v xml:space="preserve"> As of 4/14/00</v>
      </c>
      <c r="AQ7" s="69"/>
      <c r="AR7" s="82" t="str">
        <f>+Summary!$O$4</f>
        <v xml:space="preserve"> As of 4/14/00</v>
      </c>
      <c r="AS7" s="69"/>
      <c r="AT7" s="82" t="str">
        <f>+Summary!$O$4</f>
        <v xml:space="preserve"> As of 4/14/00</v>
      </c>
      <c r="AU7" s="82"/>
      <c r="AV7" s="82" t="str">
        <f>+Summary!$O$4</f>
        <v xml:space="preserve"> As of 4/14/00</v>
      </c>
      <c r="AW7" s="82"/>
      <c r="AX7" s="82" t="str">
        <f>+Summary!$O$4</f>
        <v xml:space="preserve"> As of 4/14/00</v>
      </c>
      <c r="AY7" s="82"/>
      <c r="AZ7" s="82" t="str">
        <f>+Summary!$O$4</f>
        <v xml:space="preserve"> As of 4/14/00</v>
      </c>
      <c r="BA7" s="82"/>
      <c r="BB7" s="82" t="str">
        <f>+Summary!$O$4</f>
        <v xml:space="preserve"> As of 4/14/00</v>
      </c>
      <c r="BC7" s="82"/>
      <c r="BD7" s="82" t="str">
        <f>+Summary!$O$4</f>
        <v xml:space="preserve"> As of 4/14/00</v>
      </c>
      <c r="BE7" s="82"/>
      <c r="BF7" s="82" t="str">
        <f>+Summary!$O$4</f>
        <v xml:space="preserve"> As of 4/14/00</v>
      </c>
      <c r="BG7" s="82"/>
      <c r="BH7" s="82" t="str">
        <f>+Summary!$O$4</f>
        <v xml:space="preserve"> As of 4/14/00</v>
      </c>
      <c r="BI7" s="82"/>
      <c r="BJ7" s="82" t="str">
        <f>+Summary!$O$4</f>
        <v xml:space="preserve"> As of 4/14/00</v>
      </c>
      <c r="BL7" s="71" t="str">
        <f>+Summary!$O$4</f>
        <v xml:space="preserve"> As of 4/14/00</v>
      </c>
      <c r="BN7" s="64" t="str">
        <f>+Summary!$O$4</f>
        <v xml:space="preserve"> As of 4/14/00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f>1587342-975006</f>
        <v>612336</v>
      </c>
      <c r="AZ15" s="6">
        <v>0</v>
      </c>
      <c r="BB15" s="6">
        <v>0</v>
      </c>
      <c r="BD15" s="6">
        <v>0</v>
      </c>
      <c r="BF15" s="6">
        <v>0</v>
      </c>
      <c r="BH15" s="6">
        <v>0</v>
      </c>
      <c r="BJ15" s="6">
        <v>0</v>
      </c>
      <c r="BK15" s="6"/>
      <c r="BL15" s="6">
        <f>SUM(T15:BK15)</f>
        <v>3787019.2</v>
      </c>
      <c r="BM15" s="6"/>
      <c r="BN15" s="6">
        <f>3968354-3949654+215500</f>
        <v>234200</v>
      </c>
      <c r="BO15" s="6"/>
      <c r="BP15" s="6">
        <f t="shared" ref="BP15:BP31" si="2">IF(+R15-BL15+BN15&gt;0,R15-BL15+BN15,0)</f>
        <v>396834.79999999981</v>
      </c>
      <c r="BR15" s="6">
        <f t="shared" si="0"/>
        <v>4183854</v>
      </c>
      <c r="BT15" s="6">
        <f t="shared" si="1"/>
        <v>-234200</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4259199.2</v>
      </c>
      <c r="BM32" s="6"/>
      <c r="BN32" s="101">
        <f>SUM(BN14:BN31)</f>
        <v>293980</v>
      </c>
      <c r="BO32" s="6"/>
      <c r="BP32" s="101">
        <f>SUM(BP14:BP31)</f>
        <v>396834.79999999981</v>
      </c>
      <c r="BR32" s="101">
        <f>SUM(BR14:BR31)</f>
        <v>4656034</v>
      </c>
      <c r="BT32" s="101">
        <f>SUM(BT14:BT31)</f>
        <v>-293980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86203052.140000015</v>
      </c>
      <c r="BM34" s="115"/>
      <c r="BN34" s="115">
        <f>+BN32+BN12</f>
        <v>591781</v>
      </c>
      <c r="BO34" s="115"/>
      <c r="BP34" s="115">
        <f>+BP32+BP12</f>
        <v>4672282.8599999873</v>
      </c>
      <c r="BQ34" s="115"/>
      <c r="BR34" s="115">
        <f>+BR32+BR12</f>
        <v>90875335</v>
      </c>
      <c r="BS34" s="115"/>
      <c r="BT34" s="115">
        <f>+BT32+BT12</f>
        <v>-591781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c r="BA89" s="9"/>
      <c r="BB89" s="9"/>
      <c r="BC89" s="9"/>
      <c r="BD89" s="9"/>
      <c r="BE89" s="9"/>
      <c r="BF89" s="9"/>
      <c r="BG89" s="9"/>
      <c r="BH89" s="9"/>
      <c r="BI89" s="9"/>
      <c r="BJ89" s="9"/>
      <c r="BK89" s="9"/>
      <c r="BL89" s="6">
        <f>SUM(T89:BK89)</f>
        <v>10952658.120000001</v>
      </c>
      <c r="BM89" s="9"/>
      <c r="BN89" s="9">
        <v>0</v>
      </c>
      <c r="BO89" s="9"/>
      <c r="BP89" s="9">
        <f>-BL89</f>
        <v>-10952658.120000001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0</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23206730.120000001</v>
      </c>
      <c r="BM91" s="244">
        <f t="shared" si="21"/>
        <v>1171784</v>
      </c>
      <c r="BN91" s="244">
        <f t="shared" si="21"/>
        <v>6616916</v>
      </c>
      <c r="BO91" s="244">
        <f t="shared" si="21"/>
        <v>2643295</v>
      </c>
      <c r="BP91" s="244">
        <f t="shared" si="21"/>
        <v>16527654.879999999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0</v>
      </c>
      <c r="BD95" s="6">
        <v>0</v>
      </c>
      <c r="BF95" s="6">
        <v>0</v>
      </c>
      <c r="BH95" s="6">
        <v>0</v>
      </c>
      <c r="BJ95" s="6">
        <v>0</v>
      </c>
      <c r="BK95" s="6"/>
      <c r="BL95" s="6">
        <f t="shared" ref="BL95:BL100" si="22">SUM(T95:BK95)</f>
        <v>774832.99333333329</v>
      </c>
      <c r="BM95" s="6"/>
      <c r="BN95" s="6">
        <v>0</v>
      </c>
      <c r="BO95" s="6"/>
      <c r="BP95" s="6">
        <f t="shared" ref="BP95:BP101" si="23">IF(+R95-BL95+BN95&gt;0,R95-BL95+BN95,0)</f>
        <v>154967.00666666671</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0</v>
      </c>
      <c r="BB96" s="6">
        <v>0</v>
      </c>
      <c r="BD96" s="6">
        <v>0</v>
      </c>
      <c r="BF96" s="6">
        <v>0</v>
      </c>
      <c r="BH96" s="6">
        <v>0</v>
      </c>
      <c r="BJ96" s="6">
        <v>0</v>
      </c>
      <c r="BK96" s="6"/>
      <c r="BL96" s="6">
        <f t="shared" si="22"/>
        <v>1790015.3466666667</v>
      </c>
      <c r="BM96" s="6"/>
      <c r="BN96" s="6">
        <v>0</v>
      </c>
      <c r="BO96" s="6"/>
      <c r="BP96" s="6">
        <f t="shared" si="23"/>
        <v>596684.65333333332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3066700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3066700</v>
      </c>
      <c r="BR97" s="6">
        <f t="shared" si="24"/>
        <v>3066700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6383200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77483</v>
      </c>
      <c r="BA102" s="117"/>
      <c r="BB102" s="116">
        <f>SUM(BB95:BB101)</f>
        <v>0</v>
      </c>
      <c r="BC102" s="117"/>
      <c r="BD102" s="116">
        <f>SUM(BD95:BD101)</f>
        <v>0</v>
      </c>
      <c r="BE102" s="117"/>
      <c r="BF102" s="116">
        <f>SUM(BF95:BF101)</f>
        <v>0</v>
      </c>
      <c r="BG102" s="117"/>
      <c r="BH102" s="116">
        <f>SUM(BH95:BH101)</f>
        <v>0</v>
      </c>
      <c r="BI102" s="117"/>
      <c r="BJ102" s="116">
        <f>SUM(BJ95:BJ101)</f>
        <v>0</v>
      </c>
      <c r="BK102" s="115"/>
      <c r="BL102" s="116">
        <f>SUM(BL95:BL101)</f>
        <v>2564848.34</v>
      </c>
      <c r="BM102" s="115"/>
      <c r="BN102" s="116">
        <f>SUM(BN95:BN101)</f>
        <v>0</v>
      </c>
      <c r="BO102" s="115"/>
      <c r="BP102" s="116">
        <f>SUM(BP95:BP101)</f>
        <v>3818351.66</v>
      </c>
      <c r="BQ102" s="115"/>
      <c r="BR102" s="116">
        <f>SUM(BR95:BR101)</f>
        <v>6383200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0</v>
      </c>
      <c r="BB112" s="6">
        <v>0</v>
      </c>
      <c r="BD112" s="6">
        <v>0</v>
      </c>
      <c r="BF112" s="6">
        <v>0</v>
      </c>
      <c r="BH112" s="6">
        <v>0</v>
      </c>
      <c r="BJ112" s="6">
        <v>0</v>
      </c>
      <c r="BK112" s="6"/>
      <c r="BL112" s="6">
        <f>SUM(T112:BK112)</f>
        <v>74000</v>
      </c>
      <c r="BM112" s="6"/>
      <c r="BN112" s="6">
        <v>0</v>
      </c>
      <c r="BO112" s="6"/>
      <c r="BP112" s="6">
        <f>IF(+R112-BL112+BN112&gt;0,R112-BL112+BN112,0)</f>
        <v>111000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0</v>
      </c>
      <c r="BB113" s="6">
        <v>0</v>
      </c>
      <c r="BD113" s="6">
        <v>0</v>
      </c>
      <c r="BF113" s="6">
        <v>0</v>
      </c>
      <c r="BH113" s="6">
        <v>0</v>
      </c>
      <c r="BJ113" s="6">
        <v>0</v>
      </c>
      <c r="BK113" s="6"/>
      <c r="BL113" s="6">
        <f>SUM(T113:BK113)</f>
        <v>173319.82</v>
      </c>
      <c r="BM113" s="6"/>
      <c r="BN113" s="6">
        <v>0</v>
      </c>
      <c r="BO113" s="6"/>
      <c r="BP113" s="6">
        <f>+R113-BL113+BN113</f>
        <v>550466.17999999993</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0</v>
      </c>
      <c r="BA115" s="10"/>
      <c r="BB115" s="102">
        <f>SUM(BB112:BB114)</f>
        <v>0</v>
      </c>
      <c r="BC115" s="10"/>
      <c r="BD115" s="102">
        <f>SUM(BD112:BD114)</f>
        <v>0</v>
      </c>
      <c r="BE115" s="10"/>
      <c r="BF115" s="102">
        <f>SUM(BF112:BF114)</f>
        <v>0</v>
      </c>
      <c r="BG115" s="10"/>
      <c r="BH115" s="102">
        <f>SUM(BH112:BH114)</f>
        <v>0</v>
      </c>
      <c r="BI115" s="10"/>
      <c r="BJ115" s="102">
        <f>SUM(BJ112:BJ114)</f>
        <v>0</v>
      </c>
      <c r="BK115" s="9"/>
      <c r="BL115" s="102">
        <f>SUM(BL112:BL114)</f>
        <v>247319.82</v>
      </c>
      <c r="BM115" s="9"/>
      <c r="BN115" s="102">
        <f>SUM(BN112:BN114)</f>
        <v>0</v>
      </c>
      <c r="BO115" s="9"/>
      <c r="BP115" s="102">
        <f>SUM(BP112:BP114)</f>
        <v>661466.17999999993</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0</v>
      </c>
      <c r="BB126" s="6">
        <v>0</v>
      </c>
      <c r="BD126" s="6">
        <v>0</v>
      </c>
      <c r="BF126" s="6">
        <v>0</v>
      </c>
      <c r="BH126" s="6">
        <v>0</v>
      </c>
      <c r="BJ126" s="6">
        <v>0</v>
      </c>
      <c r="BK126" s="6"/>
      <c r="BL126" s="6">
        <f>SUM(T126:BK126)</f>
        <v>62220.61</v>
      </c>
      <c r="BM126" s="6"/>
      <c r="BN126" s="6">
        <v>1000</v>
      </c>
      <c r="BO126" s="6"/>
      <c r="BP126" s="6">
        <f>IF(+R126-BL126+BN126&gt;0,R126-BL126+BN126,0)</f>
        <v>0</v>
      </c>
      <c r="BR126" s="6">
        <f>+BL126+BP126</f>
        <v>62220.61</v>
      </c>
      <c r="BT126" s="6">
        <f>+R126-BR126</f>
        <v>-19720.61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28975</v>
      </c>
      <c r="BA130" s="10"/>
      <c r="BB130" s="102">
        <f>SUM(BB126:BB129)</f>
        <v>0</v>
      </c>
      <c r="BC130" s="10"/>
      <c r="BD130" s="102">
        <f>SUM(BD126:BD129)</f>
        <v>0</v>
      </c>
      <c r="BE130" s="10"/>
      <c r="BF130" s="102">
        <f>SUM(BF126:BF129)</f>
        <v>0</v>
      </c>
      <c r="BG130" s="10"/>
      <c r="BH130" s="102">
        <f>SUM(BH126:BH129)</f>
        <v>0</v>
      </c>
      <c r="BI130" s="10"/>
      <c r="BJ130" s="102">
        <f>SUM(BJ126:BJ129)</f>
        <v>0</v>
      </c>
      <c r="BK130" s="9"/>
      <c r="BL130" s="102">
        <f>SUM(BL126:BL129)</f>
        <v>1899602.57</v>
      </c>
      <c r="BM130" s="9"/>
      <c r="BN130" s="102">
        <f>SUM(BN126:BN129)</f>
        <v>342944</v>
      </c>
      <c r="BO130" s="9"/>
      <c r="BP130" s="102">
        <f>SUM(BP126:BP129)</f>
        <v>0</v>
      </c>
      <c r="BQ130" s="9"/>
      <c r="BR130" s="102">
        <f>SUM(BR126:BR129)</f>
        <v>1899602.57</v>
      </c>
      <c r="BS130" s="9"/>
      <c r="BT130" s="102">
        <f>SUM(BT126:BT129)</f>
        <v>-1129602.57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f>1869963.27-BL130</f>
        <v>-29639.300000000047</v>
      </c>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0</v>
      </c>
      <c r="BD135" s="6">
        <v>0</v>
      </c>
      <c r="BF135" s="6">
        <v>0</v>
      </c>
      <c r="BH135" s="6">
        <v>0</v>
      </c>
      <c r="BJ135" s="6">
        <v>0</v>
      </c>
      <c r="BK135" s="6"/>
      <c r="BL135" s="6">
        <f>SUM(T135:BK135)</f>
        <v>429565.44999999995</v>
      </c>
      <c r="BM135" s="6"/>
      <c r="BN135" s="6">
        <v>0</v>
      </c>
      <c r="BO135" s="6"/>
      <c r="BP135" s="6">
        <f>IF(+R135-BL135+BN135&gt;0,R135-BL135+BN135,0)</f>
        <v>20434.550000000047</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0</v>
      </c>
      <c r="BC137" s="10"/>
      <c r="BD137" s="102">
        <f>SUM(BD133:BD136)</f>
        <v>0</v>
      </c>
      <c r="BE137" s="10"/>
      <c r="BF137" s="102">
        <f>SUM(BF133:BF136)</f>
        <v>0</v>
      </c>
      <c r="BG137" s="10"/>
      <c r="BH137" s="102">
        <f>SUM(BH133:BH136)</f>
        <v>0</v>
      </c>
      <c r="BI137" s="10"/>
      <c r="BJ137" s="102">
        <f>SUM(BJ133:BJ136)</f>
        <v>0</v>
      </c>
      <c r="BK137" s="9"/>
      <c r="BL137" s="102">
        <f>SUM(BL133:BL136)</f>
        <v>429565.44999999995</v>
      </c>
      <c r="BM137" s="9"/>
      <c r="BN137" s="102">
        <f>SUM(BN133:BN136)</f>
        <v>0</v>
      </c>
      <c r="BO137" s="9"/>
      <c r="BP137" s="102">
        <f>SUM(BP133:BP136)</f>
        <v>20434.550000000047</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6">
        <f>IF(+R145-BL145+BN145&gt;0,R145-BL145+BN145,0)</f>
        <v>1000000</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0</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0</v>
      </c>
      <c r="BM147" s="16"/>
      <c r="BN147" s="108">
        <f>SUM(BN144:BN146)</f>
        <v>0</v>
      </c>
      <c r="BO147" s="16"/>
      <c r="BP147" s="108">
        <f>SUM(BP144:BP146)</f>
        <v>1000000</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0</v>
      </c>
      <c r="BC155" s="12"/>
      <c r="BD155" s="12">
        <v>0</v>
      </c>
      <c r="BE155" s="12"/>
      <c r="BF155" s="12">
        <v>0</v>
      </c>
      <c r="BG155" s="12"/>
      <c r="BH155" s="12">
        <v>0</v>
      </c>
      <c r="BI155" s="12"/>
      <c r="BJ155" s="12">
        <v>0</v>
      </c>
      <c r="BK155" s="12"/>
      <c r="BL155" s="12">
        <f t="shared" si="26"/>
        <v>76106.75</v>
      </c>
      <c r="BM155" s="12"/>
      <c r="BN155" s="12">
        <v>0</v>
      </c>
      <c r="BO155" s="12"/>
      <c r="BP155" s="6">
        <f t="shared" si="27"/>
        <v>73893.25</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v>66831</v>
      </c>
      <c r="BA157" s="12"/>
      <c r="BB157" s="12">
        <v>0</v>
      </c>
      <c r="BC157" s="12"/>
      <c r="BD157" s="12">
        <v>0</v>
      </c>
      <c r="BE157" s="12"/>
      <c r="BF157" s="12">
        <v>0</v>
      </c>
      <c r="BG157" s="12"/>
      <c r="BH157" s="12">
        <v>0</v>
      </c>
      <c r="BI157" s="12"/>
      <c r="BJ157" s="12">
        <v>0</v>
      </c>
      <c r="BK157" s="12"/>
      <c r="BL157" s="12">
        <f t="shared" si="26"/>
        <v>293250.02999999997</v>
      </c>
      <c r="BM157" s="12"/>
      <c r="BN157" s="12">
        <v>0</v>
      </c>
      <c r="BO157" s="12"/>
      <c r="BP157" s="6">
        <f t="shared" si="27"/>
        <v>0</v>
      </c>
      <c r="BQ157" s="12"/>
      <c r="BR157" s="6">
        <f t="shared" si="28"/>
        <v>293250.02999999997</v>
      </c>
      <c r="BS157" s="12"/>
      <c r="BT157" s="6">
        <f t="shared" si="29"/>
        <v>-73250.02999999997</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66831</v>
      </c>
      <c r="BA160" s="102">
        <f t="shared" si="30"/>
        <v>0</v>
      </c>
      <c r="BB160" s="102">
        <f t="shared" si="30"/>
        <v>0</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747250.85</v>
      </c>
      <c r="BM160" s="102">
        <f t="shared" si="30"/>
        <v>0</v>
      </c>
      <c r="BN160" s="102">
        <f t="shared" si="30"/>
        <v>159233</v>
      </c>
      <c r="BO160" s="102">
        <f t="shared" si="30"/>
        <v>0</v>
      </c>
      <c r="BP160" s="102">
        <f t="shared" si="30"/>
        <v>89396.07</v>
      </c>
      <c r="BQ160" s="102">
        <f t="shared" si="30"/>
        <v>0</v>
      </c>
      <c r="BR160" s="102">
        <f t="shared" si="30"/>
        <v>836646.91999999993</v>
      </c>
      <c r="BS160" s="102">
        <f t="shared" si="30"/>
        <v>0</v>
      </c>
      <c r="BT160" s="102">
        <f t="shared" si="30"/>
        <v>-436646.91999999993</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0</v>
      </c>
      <c r="BA165" s="12"/>
      <c r="BB165" s="12">
        <v>0</v>
      </c>
      <c r="BC165" s="12"/>
      <c r="BD165" s="12">
        <v>0</v>
      </c>
      <c r="BE165" s="12"/>
      <c r="BF165" s="12">
        <v>0</v>
      </c>
      <c r="BG165" s="12"/>
      <c r="BH165" s="12">
        <v>0</v>
      </c>
      <c r="BI165" s="12"/>
      <c r="BJ165" s="12">
        <v>0</v>
      </c>
      <c r="BK165" s="12"/>
      <c r="BL165" s="12">
        <f>SUM(T165:BK165)</f>
        <v>170677.19000000003</v>
      </c>
      <c r="BM165" s="12"/>
      <c r="BN165" s="12">
        <v>0</v>
      </c>
      <c r="BO165" s="12"/>
      <c r="BP165" s="6">
        <f>IF(+R165-BL165+BN165&gt;0,R165-BL165+BN165,0)</f>
        <v>229322.80999999997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472349.32000000007</v>
      </c>
      <c r="BM167" s="9"/>
      <c r="BN167" s="102">
        <f>SUM(BN163:BN166)</f>
        <v>0</v>
      </c>
      <c r="BO167" s="9"/>
      <c r="BP167" s="102">
        <f>SUM(BP163:BP166)</f>
        <v>229322.80999999997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[2]Wheatland!$I$39</f>
        <v>431577.41862083337</v>
      </c>
      <c r="AG169" s="10"/>
      <c r="AH169" s="10">
        <f>[2]Wheatland!$J$39</f>
        <v>437225.48213836289</v>
      </c>
      <c r="AI169" s="10"/>
      <c r="AJ169" s="10">
        <f>[2]Wheatland!$K$39</f>
        <v>445286.67641661229</v>
      </c>
      <c r="AK169" s="10"/>
      <c r="AL169" s="10">
        <f>[2]Wheatland!$L$39</f>
        <v>454783</v>
      </c>
      <c r="AM169" s="10"/>
      <c r="AN169" s="10">
        <f>[2]Wheatland!$M$39</f>
        <v>462626.31550692458</v>
      </c>
      <c r="AO169" s="10"/>
      <c r="AP169" s="10">
        <f>[2]Wheatland!$N$39</f>
        <v>491955.34096592036</v>
      </c>
      <c r="AQ169" s="10"/>
      <c r="AR169" s="10">
        <f>[2]Wheatland!$O$39</f>
        <v>516340</v>
      </c>
      <c r="AS169" s="10"/>
      <c r="AT169" s="10">
        <f>[2]Wheatland!$P$39</f>
        <v>563836.3251100413</v>
      </c>
      <c r="AU169" s="10"/>
      <c r="AV169" s="10">
        <f>[2]Wheatland!$Q$39</f>
        <v>615994.85825994285</v>
      </c>
      <c r="AW169" s="10"/>
      <c r="AX169" s="10">
        <f>[2]Wheatland!$R$39</f>
        <v>668433.20015885099</v>
      </c>
      <c r="AY169" s="10"/>
      <c r="AZ169" s="10">
        <v>0</v>
      </c>
      <c r="BA169" s="10"/>
      <c r="BB169" s="10">
        <v>0</v>
      </c>
      <c r="BC169" s="10"/>
      <c r="BD169" s="10">
        <v>0</v>
      </c>
      <c r="BE169" s="10"/>
      <c r="BF169" s="10">
        <v>0</v>
      </c>
      <c r="BG169" s="10"/>
      <c r="BH169" s="10">
        <v>0</v>
      </c>
      <c r="BI169" s="10"/>
      <c r="BJ169" s="10">
        <v>0</v>
      </c>
      <c r="BK169" s="10"/>
      <c r="BL169" s="10">
        <f>SUM(T169:BK169)</f>
        <v>7345342.6171774883</v>
      </c>
      <c r="BM169" s="10"/>
      <c r="BN169" s="10">
        <f>-R169+[2]Wheatland!$Y$39</f>
        <v>-329573.05996026099</v>
      </c>
      <c r="BO169" s="10"/>
      <c r="BP169" s="6">
        <f>IF(+R169-BL169+BN169&gt;0,R169-BL169+BN169,0)</f>
        <v>2357409.3228622507</v>
      </c>
      <c r="BQ169" s="10"/>
      <c r="BR169" s="9">
        <f>+BL169+BP169</f>
        <v>9702751.940039739</v>
      </c>
      <c r="BS169" s="10"/>
      <c r="BT169" s="9">
        <f>+R169-BR169</f>
        <v>329573.05996026099</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95806</v>
      </c>
      <c r="BA171" s="120">
        <f t="shared" si="31"/>
        <v>0</v>
      </c>
      <c r="BB171" s="120">
        <f t="shared" si="31"/>
        <v>0</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12897467.037177488</v>
      </c>
      <c r="BM171" s="120">
        <f t="shared" si="31"/>
        <v>0</v>
      </c>
      <c r="BN171" s="120">
        <f t="shared" si="31"/>
        <v>172603.94003973901</v>
      </c>
      <c r="BO171" s="120">
        <f t="shared" si="31"/>
        <v>0</v>
      </c>
      <c r="BP171" s="120">
        <f t="shared" si="31"/>
        <v>12224723.522862252</v>
      </c>
      <c r="BQ171" s="120">
        <f t="shared" si="31"/>
        <v>0</v>
      </c>
      <c r="BR171" s="120">
        <f t="shared" si="31"/>
        <v>25122190.56003974</v>
      </c>
      <c r="BS171" s="120">
        <f t="shared" si="31"/>
        <v>0</v>
      </c>
      <c r="BT171" s="120">
        <f t="shared" si="31"/>
        <v>-1538348.5600397391</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161517948.09999999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173289</v>
      </c>
      <c r="BA176" s="168">
        <f t="shared" si="33"/>
        <v>0</v>
      </c>
      <c r="BB176" s="168">
        <f t="shared" si="33"/>
        <v>0</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124872097.63717751</v>
      </c>
      <c r="BM176" s="168">
        <f t="shared" si="33"/>
        <v>3202104</v>
      </c>
      <c r="BN176" s="168">
        <f t="shared" si="33"/>
        <v>4057148.940039739</v>
      </c>
      <c r="BO176" s="168">
        <f t="shared" si="33"/>
        <v>4673615</v>
      </c>
      <c r="BP176" s="168">
        <f t="shared" si="33"/>
        <v>37243013.022862241</v>
      </c>
      <c r="BQ176" s="168">
        <f t="shared" si="33"/>
        <v>7699097</v>
      </c>
      <c r="BR176" s="168">
        <f t="shared" si="33"/>
        <v>163058975.66003972</v>
      </c>
      <c r="BS176" s="168">
        <f t="shared" si="33"/>
        <v>14335953</v>
      </c>
      <c r="BT176" s="168">
        <f t="shared" si="33"/>
        <v>-1541027.5600397391</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346933.99076604197</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250</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f>SUM(T181:BK181)</f>
        <v>0</v>
      </c>
      <c r="BM181" s="9"/>
      <c r="BN181" s="10">
        <v>0</v>
      </c>
      <c r="BO181" s="9"/>
      <c r="BP181" s="10">
        <f>+R181-BL181+BN181</f>
        <v>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161456991.09999999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173289</v>
      </c>
      <c r="BA185" s="10">
        <f t="shared" si="34"/>
        <v>0</v>
      </c>
      <c r="BB185" s="10">
        <f t="shared" si="34"/>
        <v>0</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si="34"/>
        <v>124760776.14717752</v>
      </c>
      <c r="BM185" s="10">
        <f t="shared" si="34"/>
        <v>3202104</v>
      </c>
      <c r="BN185" s="10">
        <f>BN176+BN179+BN181+BN183</f>
        <v>4057148.940039739</v>
      </c>
      <c r="BO185" s="10">
        <f t="shared" si="34"/>
        <v>4673615</v>
      </c>
      <c r="BP185" s="10">
        <f t="shared" si="34"/>
        <v>37243012.512862243</v>
      </c>
      <c r="BQ185" s="10">
        <f t="shared" si="34"/>
        <v>7699097</v>
      </c>
      <c r="BR185" s="10">
        <f t="shared" si="34"/>
        <v>162947653.66003972</v>
      </c>
      <c r="BS185" s="10">
        <f t="shared" si="34"/>
        <v>14335953</v>
      </c>
      <c r="BT185" s="10">
        <f t="shared" si="34"/>
        <v>-1541027.5600397391</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75">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5"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5"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5"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161517948.09999999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173289</v>
      </c>
      <c r="BA198" s="121">
        <f t="shared" si="36"/>
        <v>0</v>
      </c>
      <c r="BB198" s="121">
        <f t="shared" si="36"/>
        <v>0</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124887197.63717751</v>
      </c>
      <c r="BM198" s="121">
        <f t="shared" si="36"/>
        <v>3202104</v>
      </c>
      <c r="BN198" s="121">
        <f t="shared" si="36"/>
        <v>4057148.940039739</v>
      </c>
      <c r="BO198" s="121">
        <f t="shared" si="36"/>
        <v>4673615</v>
      </c>
      <c r="BP198" s="121">
        <f t="shared" si="36"/>
        <v>37243013.022862241</v>
      </c>
      <c r="BQ198" s="121">
        <f t="shared" si="36"/>
        <v>7699097</v>
      </c>
      <c r="BR198" s="121">
        <f t="shared" si="36"/>
        <v>163074075.66003972</v>
      </c>
      <c r="BS198" s="121">
        <f t="shared" si="36"/>
        <v>14335953</v>
      </c>
      <c r="BT198" s="121">
        <f t="shared" si="36"/>
        <v>-1541027.5600397391</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5"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161456991.09999999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173289</v>
      </c>
      <c r="BA200" s="121">
        <f t="shared" si="37"/>
        <v>0</v>
      </c>
      <c r="BB200" s="121">
        <f t="shared" si="37"/>
        <v>0</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124775876.14717752</v>
      </c>
      <c r="BM200" s="121">
        <f t="shared" si="37"/>
        <v>3202104</v>
      </c>
      <c r="BN200" s="121">
        <f t="shared" si="37"/>
        <v>4057148.940039739</v>
      </c>
      <c r="BO200" s="121">
        <f t="shared" si="37"/>
        <v>4673615</v>
      </c>
      <c r="BP200" s="121">
        <f t="shared" si="37"/>
        <v>37243012.512862243</v>
      </c>
      <c r="BQ200" s="121">
        <f t="shared" si="37"/>
        <v>7699097</v>
      </c>
      <c r="BR200" s="121">
        <f t="shared" si="37"/>
        <v>162962753.66003972</v>
      </c>
      <c r="BS200" s="121">
        <f t="shared" si="37"/>
        <v>14335953</v>
      </c>
      <c r="BT200" s="121">
        <f t="shared" si="37"/>
        <v>-1541027.5600397391</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19" right="0.17" top="0.25" bottom="0.25" header="0.5" footer="0.5"/>
  <pageSetup scale="23"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2000-04-25T19:31:07Z</cp:lastPrinted>
  <dcterms:created xsi:type="dcterms:W3CDTF">1998-11-04T14:40:39Z</dcterms:created>
  <dcterms:modified xsi:type="dcterms:W3CDTF">2023-09-13T22:57:20Z</dcterms:modified>
</cp:coreProperties>
</file>